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20" yWindow="990" windowWidth="11565" windowHeight="7980" tabRatio="930" activeTab="7"/>
  </bookViews>
  <sheets>
    <sheet name="naslov za situacije" sheetId="51" r:id="rId1"/>
    <sheet name="List1" sheetId="49" r:id="rId2"/>
    <sheet name="troškovnik" sheetId="47" r:id="rId3"/>
    <sheet name="troškovnik (2)" sheetId="52" r:id="rId4"/>
    <sheet name="kalkulacija" sheetId="16" r:id="rId5"/>
    <sheet name="rekapitulacija" sheetId="48" r:id="rId6"/>
    <sheet name="Obrazac kalkulacije" sheetId="8" r:id="rId7"/>
    <sheet name="Cjenik RS" sheetId="30" r:id="rId8"/>
    <sheet name="Cjenik M" sheetId="13" r:id="rId9"/>
    <sheet name="Cjenik PM" sheetId="45" r:id="rId10"/>
    <sheet name="Devizni tecaj, porez i gorivo" sheetId="41" r:id="rId11"/>
    <sheet name="Nabavna cijena" sheetId="42" r:id="rId12"/>
    <sheet name="Cijena sata rada" sheetId="43" r:id="rId13"/>
    <sheet name="Cjenik VSO (pomoćna) (2)" sheetId="50" r:id="rId14"/>
    <sheet name="Cjenik VSO (pomoćna)" sheetId="44" r:id="rId15"/>
    <sheet name="Cjenik VSO" sheetId="31" r:id="rId16"/>
    <sheet name="Cjenik M (pomoćna)" sheetId="46" r:id="rId17"/>
  </sheets>
  <externalReferences>
    <externalReference r:id="rId18"/>
    <externalReference r:id="rId19"/>
    <externalReference r:id="rId20"/>
  </externalReferences>
  <definedNames>
    <definedName name="_xlnm._FilterDatabase" localSheetId="8" hidden="1">'Cjenik M'!$B$9:$D$73</definedName>
    <definedName name="_xlnm._FilterDatabase" localSheetId="16" hidden="1">'Cjenik M (pomoćna)'!$B$5:$B$95</definedName>
    <definedName name="_xlnm._FilterDatabase" localSheetId="15" hidden="1">'Cjenik VSO'!$A$7:$C$85</definedName>
    <definedName name="_xlnm._FilterDatabase" localSheetId="14" hidden="1">'Cjenik VSO (pomoćna)'!$A$7:$C$88</definedName>
    <definedName name="_xlnm._FilterDatabase" localSheetId="13" hidden="1">'Cjenik VSO (pomoćna) (2)'!$A$7:$C$21</definedName>
    <definedName name="_xlnm.Print_Titles" localSheetId="12">'Cijena sata rada'!$A:$A</definedName>
    <definedName name="_xlnm.Print_Titles" localSheetId="8">'Cjenik M'!$A:$C,'Cjenik M'!$5:$10</definedName>
    <definedName name="_xlnm.Print_Titles" localSheetId="16">'Cjenik M (pomoćna)'!$A:$C,'Cjenik M (pomoćna)'!$1:$7</definedName>
    <definedName name="_xlnm.Print_Titles" localSheetId="9">'Cjenik PM'!$1:$9</definedName>
    <definedName name="_xlnm.Print_Titles" localSheetId="15">'Cjenik VSO'!$2:$8</definedName>
    <definedName name="_xlnm.Print_Titles" localSheetId="14">'Cjenik VSO (pomoćna)'!$2:$8</definedName>
    <definedName name="_xlnm.Print_Titles" localSheetId="13">'Cjenik VSO (pomoćna) (2)'!$2:$8</definedName>
    <definedName name="_xlnm.Print_Titles" localSheetId="11">'Nabavna cijena'!$A:$B,'Nabavna cijena'!$1:$6</definedName>
    <definedName name="_xlnm.Print_Titles" localSheetId="5">rekapitulacija!$A:$B</definedName>
    <definedName name="_xlnm.Print_Titles" localSheetId="2">troškovnik!$A:$C,troškovnik!$1:$7</definedName>
    <definedName name="_xlnm.Print_Titles" localSheetId="3">'troškovnik (2)'!$A:$C,'troškovnik (2)'!$1:$7</definedName>
    <definedName name="_xlnm.Print_Area" localSheetId="12">'Cijena sata rada'!$A$1:$BZ$55</definedName>
    <definedName name="_xlnm.Print_Area" localSheetId="8">'Cjenik M'!$A$1:$D$446</definedName>
    <definedName name="_xlnm.Print_Area" localSheetId="16">'Cjenik M (pomoćna)'!$A$1:$G$109</definedName>
    <definedName name="_xlnm.Print_Area" localSheetId="9">'Cjenik PM'!$A$3:$I$90</definedName>
    <definedName name="_xlnm.Print_Area" localSheetId="7">'Cjenik RS'!$A$1:$F$35</definedName>
    <definedName name="_xlnm.Print_Area" localSheetId="15">'Cjenik VSO'!$A$1:$D$85</definedName>
    <definedName name="_xlnm.Print_Area" localSheetId="14">'Cjenik VSO (pomoćna)'!$A$1:$E$89</definedName>
    <definedName name="_xlnm.Print_Area" localSheetId="13">'Cjenik VSO (pomoćna) (2)'!$A$1:$C$37</definedName>
    <definedName name="_xlnm.Print_Area" localSheetId="10">'Devizni tecaj, porez i gorivo'!$A$1:$D$21</definedName>
    <definedName name="_xlnm.Print_Area" localSheetId="4">kalkulacija!$A$1:$G$1086</definedName>
    <definedName name="_xlnm.Print_Area" localSheetId="11">'Nabavna cijena'!$A$1:$J$83</definedName>
    <definedName name="_xlnm.Print_Area" localSheetId="6">'Obrazac kalkulacije'!$A$1:$G$26</definedName>
    <definedName name="_xlnm.Print_Area" localSheetId="5">rekapitulacija!$A$1:$C$34</definedName>
    <definedName name="_xlnm.Print_Area" localSheetId="2">troškovnik!$A$1:$R$144</definedName>
    <definedName name="_xlnm.Print_Area" localSheetId="3">'troškovnik (2)'!$A$1:$R$125</definedName>
  </definedNames>
  <calcPr calcId="125725"/>
</workbook>
</file>

<file path=xl/calcChain.xml><?xml version="1.0" encoding="utf-8"?>
<calcChain xmlns="http://schemas.openxmlformats.org/spreadsheetml/2006/main">
  <c r="D24" i="30"/>
  <c r="E24" s="1"/>
  <c r="F24" s="1"/>
  <c r="B488" i="16"/>
  <c r="B455"/>
  <c r="B422"/>
  <c r="P513"/>
  <c r="M513"/>
  <c r="F513"/>
  <c r="C513"/>
  <c r="P512"/>
  <c r="M512"/>
  <c r="F512"/>
  <c r="C512"/>
  <c r="O509"/>
  <c r="E509"/>
  <c r="P508"/>
  <c r="O508"/>
  <c r="F508"/>
  <c r="E508"/>
  <c r="O507"/>
  <c r="E507"/>
  <c r="P506"/>
  <c r="Q506" s="1"/>
  <c r="N506"/>
  <c r="L506"/>
  <c r="F506"/>
  <c r="F505"/>
  <c r="G505" s="1"/>
  <c r="F504"/>
  <c r="G504" s="1"/>
  <c r="P502"/>
  <c r="Q502" s="1"/>
  <c r="N502"/>
  <c r="L502"/>
  <c r="G502"/>
  <c r="P501"/>
  <c r="Q501" s="1"/>
  <c r="N501"/>
  <c r="L501"/>
  <c r="F501"/>
  <c r="G501" s="1"/>
  <c r="P500"/>
  <c r="Q500" s="1"/>
  <c r="N500"/>
  <c r="L500"/>
  <c r="F500"/>
  <c r="G500" s="1"/>
  <c r="F499"/>
  <c r="G499" s="1"/>
  <c r="P498"/>
  <c r="Q498" s="1"/>
  <c r="N498"/>
  <c r="L498"/>
  <c r="F498"/>
  <c r="G498" s="1"/>
  <c r="Q497"/>
  <c r="P497"/>
  <c r="N497"/>
  <c r="L497"/>
  <c r="F497"/>
  <c r="G497" s="1"/>
  <c r="L496"/>
  <c r="B496"/>
  <c r="P495"/>
  <c r="Q495" s="1"/>
  <c r="F495"/>
  <c r="G495" s="1"/>
  <c r="P494"/>
  <c r="Q494" s="1"/>
  <c r="F494"/>
  <c r="G494" s="1"/>
  <c r="P493"/>
  <c r="Q493" s="1"/>
  <c r="Q492" s="1"/>
  <c r="I493"/>
  <c r="F493"/>
  <c r="G493" s="1"/>
  <c r="L492"/>
  <c r="B492"/>
  <c r="P491"/>
  <c r="Q491" s="1"/>
  <c r="F491"/>
  <c r="G491" s="1"/>
  <c r="I490"/>
  <c r="I489"/>
  <c r="B19" i="47"/>
  <c r="I460" i="16"/>
  <c r="P480"/>
  <c r="M480"/>
  <c r="F480"/>
  <c r="C480"/>
  <c r="P479"/>
  <c r="M479"/>
  <c r="F479"/>
  <c r="C479"/>
  <c r="O476"/>
  <c r="E476"/>
  <c r="P475"/>
  <c r="O475"/>
  <c r="F475"/>
  <c r="E475"/>
  <c r="O474"/>
  <c r="E474"/>
  <c r="P473"/>
  <c r="Q473" s="1"/>
  <c r="N473"/>
  <c r="L473"/>
  <c r="F473"/>
  <c r="F472"/>
  <c r="G472" s="1"/>
  <c r="F471"/>
  <c r="G471" s="1"/>
  <c r="P469"/>
  <c r="Q469" s="1"/>
  <c r="N469"/>
  <c r="L469"/>
  <c r="G469"/>
  <c r="P468"/>
  <c r="Q468" s="1"/>
  <c r="N468"/>
  <c r="L468"/>
  <c r="F468"/>
  <c r="G468" s="1"/>
  <c r="P467"/>
  <c r="Q467" s="1"/>
  <c r="N467"/>
  <c r="L467"/>
  <c r="F467"/>
  <c r="G467" s="1"/>
  <c r="F466"/>
  <c r="G466" s="1"/>
  <c r="P465"/>
  <c r="Q465" s="1"/>
  <c r="N465"/>
  <c r="L465"/>
  <c r="F465"/>
  <c r="G465" s="1"/>
  <c r="P464"/>
  <c r="Q464" s="1"/>
  <c r="N464"/>
  <c r="L464"/>
  <c r="F464"/>
  <c r="G464" s="1"/>
  <c r="L463"/>
  <c r="B463"/>
  <c r="P462"/>
  <c r="Q462" s="1"/>
  <c r="F462"/>
  <c r="G462" s="1"/>
  <c r="P461"/>
  <c r="Q461" s="1"/>
  <c r="F461"/>
  <c r="G461" s="1"/>
  <c r="P460"/>
  <c r="Q460" s="1"/>
  <c r="Q459" s="1"/>
  <c r="G460"/>
  <c r="F460"/>
  <c r="L459"/>
  <c r="B459"/>
  <c r="P458"/>
  <c r="Q458" s="1"/>
  <c r="F458"/>
  <c r="G458" s="1"/>
  <c r="I457"/>
  <c r="I456"/>
  <c r="F433"/>
  <c r="G433" s="1"/>
  <c r="I423"/>
  <c r="P447"/>
  <c r="M447"/>
  <c r="F447"/>
  <c r="C447"/>
  <c r="P446"/>
  <c r="M446"/>
  <c r="F446"/>
  <c r="C446"/>
  <c r="O443"/>
  <c r="E443"/>
  <c r="P442"/>
  <c r="O442"/>
  <c r="F442"/>
  <c r="E442"/>
  <c r="O441"/>
  <c r="E441"/>
  <c r="P440"/>
  <c r="Q440" s="1"/>
  <c r="N440"/>
  <c r="L440"/>
  <c r="F440"/>
  <c r="F439"/>
  <c r="G439" s="1"/>
  <c r="F438"/>
  <c r="G438" s="1"/>
  <c r="P436"/>
  <c r="Q436" s="1"/>
  <c r="N436"/>
  <c r="L436"/>
  <c r="G436"/>
  <c r="P435"/>
  <c r="Q435" s="1"/>
  <c r="N435"/>
  <c r="L435"/>
  <c r="F435"/>
  <c r="G435" s="1"/>
  <c r="P434"/>
  <c r="Q434" s="1"/>
  <c r="N434"/>
  <c r="L434"/>
  <c r="F434"/>
  <c r="G434" s="1"/>
  <c r="P432"/>
  <c r="Q432" s="1"/>
  <c r="N432"/>
  <c r="L432"/>
  <c r="F432"/>
  <c r="G432" s="1"/>
  <c r="P431"/>
  <c r="Q431" s="1"/>
  <c r="N431"/>
  <c r="L431"/>
  <c r="F431"/>
  <c r="G431" s="1"/>
  <c r="L430"/>
  <c r="B430"/>
  <c r="P429"/>
  <c r="Q429" s="1"/>
  <c r="F429"/>
  <c r="G429" s="1"/>
  <c r="P428"/>
  <c r="Q428" s="1"/>
  <c r="F428"/>
  <c r="G428" s="1"/>
  <c r="P427"/>
  <c r="Q427" s="1"/>
  <c r="Q426" s="1"/>
  <c r="I427"/>
  <c r="F427"/>
  <c r="G427" s="1"/>
  <c r="L426"/>
  <c r="B426"/>
  <c r="P425"/>
  <c r="Q425" s="1"/>
  <c r="F425"/>
  <c r="G425" s="1"/>
  <c r="I424"/>
  <c r="I394"/>
  <c r="I391"/>
  <c r="I390"/>
  <c r="P414"/>
  <c r="M414"/>
  <c r="F414"/>
  <c r="C414"/>
  <c r="P413"/>
  <c r="M413"/>
  <c r="F413"/>
  <c r="C413"/>
  <c r="O410"/>
  <c r="E410"/>
  <c r="P409"/>
  <c r="O409"/>
  <c r="F409"/>
  <c r="E409"/>
  <c r="O408"/>
  <c r="E408"/>
  <c r="P407"/>
  <c r="Q407" s="1"/>
  <c r="N407"/>
  <c r="L407"/>
  <c r="F407"/>
  <c r="F406"/>
  <c r="G406" s="1"/>
  <c r="F405"/>
  <c r="G405" s="1"/>
  <c r="P403"/>
  <c r="Q403" s="1"/>
  <c r="N403"/>
  <c r="L403"/>
  <c r="G403"/>
  <c r="P402"/>
  <c r="Q402" s="1"/>
  <c r="N402"/>
  <c r="L402"/>
  <c r="F402"/>
  <c r="G402" s="1"/>
  <c r="P401"/>
  <c r="Q401" s="1"/>
  <c r="N401"/>
  <c r="L401"/>
  <c r="F401"/>
  <c r="G401" s="1"/>
  <c r="F400"/>
  <c r="G400" s="1"/>
  <c r="P399"/>
  <c r="Q399" s="1"/>
  <c r="N399"/>
  <c r="L399"/>
  <c r="F399"/>
  <c r="G399" s="1"/>
  <c r="P398"/>
  <c r="Q398" s="1"/>
  <c r="N398"/>
  <c r="L398"/>
  <c r="F398"/>
  <c r="G398" s="1"/>
  <c r="L397"/>
  <c r="B397"/>
  <c r="P396"/>
  <c r="Q396" s="1"/>
  <c r="F396"/>
  <c r="G396" s="1"/>
  <c r="P395"/>
  <c r="Q395" s="1"/>
  <c r="F395"/>
  <c r="G395" s="1"/>
  <c r="P394"/>
  <c r="Q394" s="1"/>
  <c r="F394"/>
  <c r="G394" s="1"/>
  <c r="L393"/>
  <c r="B393"/>
  <c r="P392"/>
  <c r="Q392" s="1"/>
  <c r="Q389" s="1"/>
  <c r="F392"/>
  <c r="G392" s="1"/>
  <c r="L389"/>
  <c r="B389"/>
  <c r="Q387"/>
  <c r="P387"/>
  <c r="O387"/>
  <c r="N387"/>
  <c r="L387"/>
  <c r="G387"/>
  <c r="F387"/>
  <c r="E387"/>
  <c r="D387"/>
  <c r="B387"/>
  <c r="F335"/>
  <c r="F334"/>
  <c r="G334" s="1"/>
  <c r="F333"/>
  <c r="G333" s="1"/>
  <c r="F331"/>
  <c r="G331" s="1"/>
  <c r="P377"/>
  <c r="M377"/>
  <c r="F377"/>
  <c r="C377"/>
  <c r="P376"/>
  <c r="M376"/>
  <c r="F376"/>
  <c r="C376"/>
  <c r="O373"/>
  <c r="E373"/>
  <c r="P372"/>
  <c r="O372"/>
  <c r="F372"/>
  <c r="E372"/>
  <c r="O371"/>
  <c r="E371"/>
  <c r="P370"/>
  <c r="Q370" s="1"/>
  <c r="N370"/>
  <c r="L370"/>
  <c r="F370"/>
  <c r="F369"/>
  <c r="G369" s="1"/>
  <c r="F368"/>
  <c r="G368" s="1"/>
  <c r="P366"/>
  <c r="Q366" s="1"/>
  <c r="N366"/>
  <c r="L366"/>
  <c r="G366"/>
  <c r="P365"/>
  <c r="Q365" s="1"/>
  <c r="N365"/>
  <c r="L365"/>
  <c r="F365"/>
  <c r="G365" s="1"/>
  <c r="P364"/>
  <c r="Q364" s="1"/>
  <c r="N364"/>
  <c r="L364"/>
  <c r="F364"/>
  <c r="G364" s="1"/>
  <c r="F363"/>
  <c r="G363" s="1"/>
  <c r="P362"/>
  <c r="Q362" s="1"/>
  <c r="N362"/>
  <c r="L362"/>
  <c r="F362"/>
  <c r="G362" s="1"/>
  <c r="P361"/>
  <c r="Q361" s="1"/>
  <c r="N361"/>
  <c r="L361"/>
  <c r="F361"/>
  <c r="G361" s="1"/>
  <c r="L360"/>
  <c r="B360"/>
  <c r="P359"/>
  <c r="Q359" s="1"/>
  <c r="F359"/>
  <c r="G359" s="1"/>
  <c r="P358"/>
  <c r="Q358" s="1"/>
  <c r="F358"/>
  <c r="G358" s="1"/>
  <c r="P357"/>
  <c r="Q357" s="1"/>
  <c r="F357"/>
  <c r="G357" s="1"/>
  <c r="G356" s="1"/>
  <c r="L356"/>
  <c r="I356"/>
  <c r="B356"/>
  <c r="P355"/>
  <c r="Q355" s="1"/>
  <c r="Q352" s="1"/>
  <c r="F355"/>
  <c r="G355" s="1"/>
  <c r="F354"/>
  <c r="G354" s="1"/>
  <c r="L352"/>
  <c r="B352"/>
  <c r="P330"/>
  <c r="Q330" s="1"/>
  <c r="N330"/>
  <c r="L330"/>
  <c r="F330"/>
  <c r="G330" s="1"/>
  <c r="P320"/>
  <c r="Q320" s="1"/>
  <c r="Q317" s="1"/>
  <c r="F320"/>
  <c r="G320" s="1"/>
  <c r="B18" i="47"/>
  <c r="B17"/>
  <c r="B16"/>
  <c r="B15"/>
  <c r="B14"/>
  <c r="B13"/>
  <c r="B12"/>
  <c r="B11"/>
  <c r="B10"/>
  <c r="B9"/>
  <c r="P342" i="16"/>
  <c r="M342"/>
  <c r="F342"/>
  <c r="C342"/>
  <c r="P341"/>
  <c r="M341"/>
  <c r="F341"/>
  <c r="C341"/>
  <c r="O338"/>
  <c r="E338"/>
  <c r="P337"/>
  <c r="O337"/>
  <c r="F337"/>
  <c r="E337"/>
  <c r="O336"/>
  <c r="E336"/>
  <c r="P335"/>
  <c r="Q335" s="1"/>
  <c r="N335"/>
  <c r="L335"/>
  <c r="P331"/>
  <c r="Q331" s="1"/>
  <c r="N331"/>
  <c r="L331"/>
  <c r="P329"/>
  <c r="Q329" s="1"/>
  <c r="N329"/>
  <c r="L329"/>
  <c r="F329"/>
  <c r="G329" s="1"/>
  <c r="F328"/>
  <c r="G328" s="1"/>
  <c r="P327"/>
  <c r="Q327" s="1"/>
  <c r="N327"/>
  <c r="L327"/>
  <c r="F327"/>
  <c r="G327" s="1"/>
  <c r="P326"/>
  <c r="Q326" s="1"/>
  <c r="N326"/>
  <c r="L326"/>
  <c r="F326"/>
  <c r="G326" s="1"/>
  <c r="L325"/>
  <c r="B325"/>
  <c r="P324"/>
  <c r="Q324" s="1"/>
  <c r="F324"/>
  <c r="G324" s="1"/>
  <c r="P323"/>
  <c r="Q323" s="1"/>
  <c r="F323"/>
  <c r="G323" s="1"/>
  <c r="P322"/>
  <c r="Q322" s="1"/>
  <c r="F322"/>
  <c r="G322" s="1"/>
  <c r="L321"/>
  <c r="I321"/>
  <c r="B321"/>
  <c r="L317"/>
  <c r="B317"/>
  <c r="D497" l="1"/>
  <c r="D499"/>
  <c r="G492"/>
  <c r="G496"/>
  <c r="Q496"/>
  <c r="Q507" s="1"/>
  <c r="Q508" s="1"/>
  <c r="Q509" s="1"/>
  <c r="D498"/>
  <c r="D464"/>
  <c r="D466"/>
  <c r="G459"/>
  <c r="G463"/>
  <c r="Q463"/>
  <c r="Q474" s="1"/>
  <c r="Q430"/>
  <c r="D465"/>
  <c r="Q441"/>
  <c r="Q442" s="1"/>
  <c r="Q443" s="1"/>
  <c r="D433"/>
  <c r="Q393"/>
  <c r="D432"/>
  <c r="G430"/>
  <c r="D431"/>
  <c r="G426"/>
  <c r="Q321"/>
  <c r="G393"/>
  <c r="G397"/>
  <c r="Q397"/>
  <c r="D398"/>
  <c r="Q360"/>
  <c r="Q356"/>
  <c r="Q371" s="1"/>
  <c r="G360"/>
  <c r="D361"/>
  <c r="G321"/>
  <c r="Q325"/>
  <c r="Q336" s="1"/>
  <c r="Q337" s="1"/>
  <c r="Q338" s="1"/>
  <c r="D326"/>
  <c r="G325"/>
  <c r="Q408" l="1"/>
  <c r="Q409" s="1"/>
  <c r="Q410" s="1"/>
  <c r="G507"/>
  <c r="G474"/>
  <c r="Q475"/>
  <c r="Q476" s="1"/>
  <c r="G475"/>
  <c r="G441"/>
  <c r="G442" s="1"/>
  <c r="G443" s="1"/>
  <c r="Q372"/>
  <c r="Q373" s="1"/>
  <c r="P306"/>
  <c r="M306"/>
  <c r="F306"/>
  <c r="C306"/>
  <c r="P305"/>
  <c r="M305"/>
  <c r="F305"/>
  <c r="C305"/>
  <c r="O302"/>
  <c r="E302"/>
  <c r="P301"/>
  <c r="O301"/>
  <c r="F301"/>
  <c r="E301"/>
  <c r="O300"/>
  <c r="E300"/>
  <c r="P299"/>
  <c r="Q299" s="1"/>
  <c r="N299"/>
  <c r="L299"/>
  <c r="F299"/>
  <c r="F298"/>
  <c r="G298" s="1"/>
  <c r="F297"/>
  <c r="G297" s="1"/>
  <c r="P295"/>
  <c r="Q295" s="1"/>
  <c r="N295"/>
  <c r="L295"/>
  <c r="G295"/>
  <c r="D295"/>
  <c r="P294"/>
  <c r="Q294" s="1"/>
  <c r="N294"/>
  <c r="L294"/>
  <c r="F294"/>
  <c r="G294" s="1"/>
  <c r="F293"/>
  <c r="G293" s="1"/>
  <c r="P292"/>
  <c r="Q292" s="1"/>
  <c r="N292"/>
  <c r="L292"/>
  <c r="F292"/>
  <c r="G292" s="1"/>
  <c r="P291"/>
  <c r="Q291" s="1"/>
  <c r="N291"/>
  <c r="L291"/>
  <c r="F291"/>
  <c r="G291" s="1"/>
  <c r="L290"/>
  <c r="B290"/>
  <c r="P289"/>
  <c r="Q289" s="1"/>
  <c r="F289"/>
  <c r="G289" s="1"/>
  <c r="P288"/>
  <c r="Q288" s="1"/>
  <c r="F288"/>
  <c r="G288" s="1"/>
  <c r="P287"/>
  <c r="Q287" s="1"/>
  <c r="Q286" s="1"/>
  <c r="F287"/>
  <c r="G287" s="1"/>
  <c r="G286" s="1"/>
  <c r="L286"/>
  <c r="I286"/>
  <c r="B286"/>
  <c r="L282"/>
  <c r="B282"/>
  <c r="P271"/>
  <c r="M271"/>
  <c r="F271"/>
  <c r="C271"/>
  <c r="P270"/>
  <c r="M270"/>
  <c r="F270"/>
  <c r="C270"/>
  <c r="O267"/>
  <c r="E267"/>
  <c r="P266"/>
  <c r="O266"/>
  <c r="F266"/>
  <c r="E266"/>
  <c r="O265"/>
  <c r="E265"/>
  <c r="P264"/>
  <c r="Q264" s="1"/>
  <c r="N264"/>
  <c r="L264"/>
  <c r="F264"/>
  <c r="F263"/>
  <c r="G263" s="1"/>
  <c r="F262"/>
  <c r="G262" s="1"/>
  <c r="P260"/>
  <c r="Q260" s="1"/>
  <c r="N260"/>
  <c r="L260"/>
  <c r="G260"/>
  <c r="D260"/>
  <c r="P259"/>
  <c r="Q259" s="1"/>
  <c r="N259"/>
  <c r="L259"/>
  <c r="F259"/>
  <c r="G259" s="1"/>
  <c r="F258"/>
  <c r="G258" s="1"/>
  <c r="P257"/>
  <c r="Q257" s="1"/>
  <c r="N257"/>
  <c r="L257"/>
  <c r="F257"/>
  <c r="G257" s="1"/>
  <c r="P256"/>
  <c r="Q256" s="1"/>
  <c r="N256"/>
  <c r="L256"/>
  <c r="F256"/>
  <c r="G256" s="1"/>
  <c r="L255"/>
  <c r="B255"/>
  <c r="P254"/>
  <c r="Q254" s="1"/>
  <c r="F254"/>
  <c r="G254" s="1"/>
  <c r="P253"/>
  <c r="Q253" s="1"/>
  <c r="F253"/>
  <c r="G253" s="1"/>
  <c r="P252"/>
  <c r="Q252" s="1"/>
  <c r="Q251" s="1"/>
  <c r="F252"/>
  <c r="G252" s="1"/>
  <c r="G251" s="1"/>
  <c r="L251"/>
  <c r="I251"/>
  <c r="B251"/>
  <c r="L247"/>
  <c r="B247"/>
  <c r="Q245"/>
  <c r="P245"/>
  <c r="O245"/>
  <c r="N245"/>
  <c r="L245"/>
  <c r="G245"/>
  <c r="F245"/>
  <c r="E245"/>
  <c r="D245"/>
  <c r="B245"/>
  <c r="P237"/>
  <c r="M237"/>
  <c r="F237"/>
  <c r="C237"/>
  <c r="P236"/>
  <c r="M236"/>
  <c r="F236"/>
  <c r="C236"/>
  <c r="O233"/>
  <c r="E233"/>
  <c r="P232"/>
  <c r="O232"/>
  <c r="F232"/>
  <c r="E232"/>
  <c r="O231"/>
  <c r="E231"/>
  <c r="P230"/>
  <c r="Q230" s="1"/>
  <c r="N230"/>
  <c r="L230"/>
  <c r="F230"/>
  <c r="F229"/>
  <c r="G229" s="1"/>
  <c r="F228"/>
  <c r="G228" s="1"/>
  <c r="P226"/>
  <c r="Q226" s="1"/>
  <c r="N226"/>
  <c r="L226"/>
  <c r="G226"/>
  <c r="D226"/>
  <c r="P225"/>
  <c r="Q225" s="1"/>
  <c r="N225"/>
  <c r="L225"/>
  <c r="F225"/>
  <c r="G225" s="1"/>
  <c r="F224"/>
  <c r="G224" s="1"/>
  <c r="P223"/>
  <c r="Q223" s="1"/>
  <c r="N223"/>
  <c r="L223"/>
  <c r="F223"/>
  <c r="G223" s="1"/>
  <c r="P222"/>
  <c r="Q222" s="1"/>
  <c r="N222"/>
  <c r="L222"/>
  <c r="F222"/>
  <c r="G222" s="1"/>
  <c r="L221"/>
  <c r="B221"/>
  <c r="P220"/>
  <c r="Q220" s="1"/>
  <c r="F220"/>
  <c r="G220" s="1"/>
  <c r="P219"/>
  <c r="Q219" s="1"/>
  <c r="F219"/>
  <c r="G219" s="1"/>
  <c r="P218"/>
  <c r="Q218" s="1"/>
  <c r="Q217" s="1"/>
  <c r="F218"/>
  <c r="G218" s="1"/>
  <c r="G217" s="1"/>
  <c r="L217"/>
  <c r="I217"/>
  <c r="B217"/>
  <c r="L213"/>
  <c r="B213"/>
  <c r="Q211"/>
  <c r="P211"/>
  <c r="O211"/>
  <c r="N211"/>
  <c r="L211"/>
  <c r="G211"/>
  <c r="F211"/>
  <c r="E211"/>
  <c r="D211"/>
  <c r="B211"/>
  <c r="P203"/>
  <c r="M203"/>
  <c r="F203"/>
  <c r="C203"/>
  <c r="P202"/>
  <c r="M202"/>
  <c r="F202"/>
  <c r="C202"/>
  <c r="O199"/>
  <c r="E199"/>
  <c r="P198"/>
  <c r="O198"/>
  <c r="F198"/>
  <c r="E198"/>
  <c r="O197"/>
  <c r="E197"/>
  <c r="P196"/>
  <c r="Q196" s="1"/>
  <c r="N196"/>
  <c r="L196"/>
  <c r="F196"/>
  <c r="F195"/>
  <c r="G195" s="1"/>
  <c r="F194"/>
  <c r="G194" s="1"/>
  <c r="P192"/>
  <c r="Q192" s="1"/>
  <c r="N192"/>
  <c r="L192"/>
  <c r="G192"/>
  <c r="P191"/>
  <c r="Q191" s="1"/>
  <c r="N191"/>
  <c r="L191"/>
  <c r="F191"/>
  <c r="G191" s="1"/>
  <c r="F190"/>
  <c r="G190" s="1"/>
  <c r="P189"/>
  <c r="Q189" s="1"/>
  <c r="N189"/>
  <c r="L189"/>
  <c r="F189"/>
  <c r="G189" s="1"/>
  <c r="P188"/>
  <c r="Q188" s="1"/>
  <c r="N188"/>
  <c r="L188"/>
  <c r="F188"/>
  <c r="G188" s="1"/>
  <c r="L187"/>
  <c r="B187"/>
  <c r="P186"/>
  <c r="Q186" s="1"/>
  <c r="F186"/>
  <c r="G186" s="1"/>
  <c r="P185"/>
  <c r="Q185" s="1"/>
  <c r="F185"/>
  <c r="G185" s="1"/>
  <c r="P184"/>
  <c r="Q184" s="1"/>
  <c r="F184"/>
  <c r="G184" s="1"/>
  <c r="G183" s="1"/>
  <c r="L183"/>
  <c r="I183"/>
  <c r="B183"/>
  <c r="L179"/>
  <c r="B179"/>
  <c r="F158"/>
  <c r="G158" s="1"/>
  <c r="F157"/>
  <c r="G157" s="1"/>
  <c r="P169"/>
  <c r="M169"/>
  <c r="F169"/>
  <c r="C169"/>
  <c r="P168"/>
  <c r="M168"/>
  <c r="F168"/>
  <c r="C168"/>
  <c r="O165"/>
  <c r="E165"/>
  <c r="P164"/>
  <c r="O164"/>
  <c r="F164"/>
  <c r="E164"/>
  <c r="O163"/>
  <c r="E163"/>
  <c r="P162"/>
  <c r="Q162" s="1"/>
  <c r="N162"/>
  <c r="L162"/>
  <c r="F162"/>
  <c r="F161"/>
  <c r="G161" s="1"/>
  <c r="F160"/>
  <c r="G160" s="1"/>
  <c r="P158"/>
  <c r="Q158" s="1"/>
  <c r="N158"/>
  <c r="L158"/>
  <c r="P157"/>
  <c r="Q157" s="1"/>
  <c r="N157"/>
  <c r="L157"/>
  <c r="F156"/>
  <c r="G156" s="1"/>
  <c r="P155"/>
  <c r="Q155" s="1"/>
  <c r="N155"/>
  <c r="L155"/>
  <c r="F155"/>
  <c r="G155" s="1"/>
  <c r="P154"/>
  <c r="Q154" s="1"/>
  <c r="N154"/>
  <c r="L154"/>
  <c r="F154"/>
  <c r="G154" s="1"/>
  <c r="L153"/>
  <c r="B153"/>
  <c r="P152"/>
  <c r="Q152" s="1"/>
  <c r="F152"/>
  <c r="G152" s="1"/>
  <c r="P151"/>
  <c r="Q151" s="1"/>
  <c r="F151"/>
  <c r="G151" s="1"/>
  <c r="P150"/>
  <c r="Q150" s="1"/>
  <c r="F150"/>
  <c r="G150" s="1"/>
  <c r="L149"/>
  <c r="I149"/>
  <c r="B149"/>
  <c r="P148"/>
  <c r="Q148" s="1"/>
  <c r="Q145" s="1"/>
  <c r="L145"/>
  <c r="B145"/>
  <c r="I115"/>
  <c r="F91"/>
  <c r="G91" s="1"/>
  <c r="I82"/>
  <c r="F18"/>
  <c r="D18" s="1"/>
  <c r="F26"/>
  <c r="F25"/>
  <c r="F24"/>
  <c r="F23"/>
  <c r="G23" s="1"/>
  <c r="F22"/>
  <c r="G22" s="1"/>
  <c r="F21"/>
  <c r="G21" s="1"/>
  <c r="F20"/>
  <c r="G20" s="1"/>
  <c r="F19"/>
  <c r="D19" s="1"/>
  <c r="E12" i="13"/>
  <c r="E11"/>
  <c r="F16" i="16"/>
  <c r="F60"/>
  <c r="F59"/>
  <c r="F128"/>
  <c r="F127"/>
  <c r="G127" s="1"/>
  <c r="F126"/>
  <c r="G126" s="1"/>
  <c r="P135"/>
  <c r="M135"/>
  <c r="F135"/>
  <c r="C135"/>
  <c r="P134"/>
  <c r="M134"/>
  <c r="F134"/>
  <c r="C134"/>
  <c r="O131"/>
  <c r="E131"/>
  <c r="P130"/>
  <c r="O130"/>
  <c r="F130"/>
  <c r="E130"/>
  <c r="O129"/>
  <c r="E129"/>
  <c r="P128"/>
  <c r="Q128" s="1"/>
  <c r="N128"/>
  <c r="L128"/>
  <c r="F125"/>
  <c r="G125" s="1"/>
  <c r="P124"/>
  <c r="Q124" s="1"/>
  <c r="N124"/>
  <c r="L124"/>
  <c r="F124"/>
  <c r="G124" s="1"/>
  <c r="P123"/>
  <c r="Q123" s="1"/>
  <c r="N123"/>
  <c r="L123"/>
  <c r="F123"/>
  <c r="G123" s="1"/>
  <c r="F122"/>
  <c r="G122" s="1"/>
  <c r="P121"/>
  <c r="Q121" s="1"/>
  <c r="N121"/>
  <c r="L121"/>
  <c r="F121"/>
  <c r="G121" s="1"/>
  <c r="P120"/>
  <c r="Q120" s="1"/>
  <c r="N120"/>
  <c r="L120"/>
  <c r="F120"/>
  <c r="G120" s="1"/>
  <c r="L119"/>
  <c r="B119"/>
  <c r="P118"/>
  <c r="Q118" s="1"/>
  <c r="F118"/>
  <c r="G118" s="1"/>
  <c r="P117"/>
  <c r="Q117" s="1"/>
  <c r="F117"/>
  <c r="G117" s="1"/>
  <c r="P116"/>
  <c r="Q116" s="1"/>
  <c r="F116"/>
  <c r="G116" s="1"/>
  <c r="L115"/>
  <c r="B115"/>
  <c r="L111"/>
  <c r="B111"/>
  <c r="P102"/>
  <c r="M102"/>
  <c r="F102"/>
  <c r="C102"/>
  <c r="P101"/>
  <c r="M101"/>
  <c r="F101"/>
  <c r="C101"/>
  <c r="O98"/>
  <c r="E98"/>
  <c r="P97"/>
  <c r="O97"/>
  <c r="F97"/>
  <c r="E97"/>
  <c r="O96"/>
  <c r="E96"/>
  <c r="P95"/>
  <c r="Q95" s="1"/>
  <c r="N95"/>
  <c r="L95"/>
  <c r="G95"/>
  <c r="F92"/>
  <c r="G92" s="1"/>
  <c r="P91"/>
  <c r="Q91" s="1"/>
  <c r="N91"/>
  <c r="L91"/>
  <c r="P90"/>
  <c r="Q90" s="1"/>
  <c r="N90"/>
  <c r="L90"/>
  <c r="F90"/>
  <c r="G90" s="1"/>
  <c r="F89"/>
  <c r="G89" s="1"/>
  <c r="P88"/>
  <c r="Q88" s="1"/>
  <c r="N88"/>
  <c r="L88"/>
  <c r="F88"/>
  <c r="G88" s="1"/>
  <c r="P87"/>
  <c r="Q87" s="1"/>
  <c r="N87"/>
  <c r="L87"/>
  <c r="F87"/>
  <c r="G87" s="1"/>
  <c r="L86"/>
  <c r="B86"/>
  <c r="P85"/>
  <c r="Q85" s="1"/>
  <c r="F85"/>
  <c r="G85" s="1"/>
  <c r="P84"/>
  <c r="Q84" s="1"/>
  <c r="F84"/>
  <c r="G84" s="1"/>
  <c r="P83"/>
  <c r="Q83" s="1"/>
  <c r="F83"/>
  <c r="G83" s="1"/>
  <c r="G82" s="1"/>
  <c r="L82"/>
  <c r="B82"/>
  <c r="L78"/>
  <c r="B78"/>
  <c r="P69"/>
  <c r="M69"/>
  <c r="F69"/>
  <c r="C69"/>
  <c r="P68"/>
  <c r="M68"/>
  <c r="F68"/>
  <c r="C68"/>
  <c r="O64"/>
  <c r="E64"/>
  <c r="P63"/>
  <c r="O63"/>
  <c r="F63"/>
  <c r="E63"/>
  <c r="O62"/>
  <c r="E62"/>
  <c r="P61"/>
  <c r="Q61" s="1"/>
  <c r="N61"/>
  <c r="L61"/>
  <c r="G61"/>
  <c r="F58"/>
  <c r="G58" s="1"/>
  <c r="P57"/>
  <c r="Q57" s="1"/>
  <c r="N57"/>
  <c r="L57"/>
  <c r="F57"/>
  <c r="G57" s="1"/>
  <c r="P56"/>
  <c r="Q56" s="1"/>
  <c r="N56"/>
  <c r="L56"/>
  <c r="F56"/>
  <c r="G56" s="1"/>
  <c r="F55"/>
  <c r="G55" s="1"/>
  <c r="P54"/>
  <c r="Q54" s="1"/>
  <c r="N54"/>
  <c r="L54"/>
  <c r="F54"/>
  <c r="G54" s="1"/>
  <c r="P53"/>
  <c r="Q53" s="1"/>
  <c r="N53"/>
  <c r="L53"/>
  <c r="F53"/>
  <c r="G53" s="1"/>
  <c r="L52"/>
  <c r="B52"/>
  <c r="P51"/>
  <c r="Q51" s="1"/>
  <c r="F51"/>
  <c r="G51" s="1"/>
  <c r="P50"/>
  <c r="Q50" s="1"/>
  <c r="F50"/>
  <c r="G50" s="1"/>
  <c r="P49"/>
  <c r="Q49" s="1"/>
  <c r="L48"/>
  <c r="B48"/>
  <c r="L44"/>
  <c r="B44"/>
  <c r="P22"/>
  <c r="Q22" s="1"/>
  <c r="N22"/>
  <c r="L22"/>
  <c r="P21"/>
  <c r="Q21" s="1"/>
  <c r="N21"/>
  <c r="L21"/>
  <c r="F15"/>
  <c r="R104" i="52"/>
  <c r="N104"/>
  <c r="O104" s="1"/>
  <c r="K104"/>
  <c r="L104" s="1"/>
  <c r="H104"/>
  <c r="I104" s="1"/>
  <c r="F104"/>
  <c r="R103"/>
  <c r="N103"/>
  <c r="O103" s="1"/>
  <c r="O102" s="1"/>
  <c r="K103"/>
  <c r="L103" s="1"/>
  <c r="H103"/>
  <c r="I103" s="1"/>
  <c r="I102" s="1"/>
  <c r="F103"/>
  <c r="R102"/>
  <c r="N102"/>
  <c r="K102"/>
  <c r="H102"/>
  <c r="F102"/>
  <c r="R101"/>
  <c r="N101"/>
  <c r="O101" s="1"/>
  <c r="K101"/>
  <c r="L101" s="1"/>
  <c r="H101"/>
  <c r="I101" s="1"/>
  <c r="F101"/>
  <c r="R100"/>
  <c r="O100"/>
  <c r="N100"/>
  <c r="L100"/>
  <c r="K100"/>
  <c r="I100"/>
  <c r="H100"/>
  <c r="F100"/>
  <c r="R99"/>
  <c r="O99"/>
  <c r="N99"/>
  <c r="L99"/>
  <c r="K99"/>
  <c r="I99"/>
  <c r="H99"/>
  <c r="F99"/>
  <c r="R97"/>
  <c r="O97"/>
  <c r="N97"/>
  <c r="L97"/>
  <c r="K97"/>
  <c r="I97"/>
  <c r="H97"/>
  <c r="F97"/>
  <c r="R96"/>
  <c r="O96"/>
  <c r="N96"/>
  <c r="L96"/>
  <c r="K96"/>
  <c r="I96"/>
  <c r="H96"/>
  <c r="F96"/>
  <c r="R95"/>
  <c r="O95"/>
  <c r="N95"/>
  <c r="L95"/>
  <c r="K95"/>
  <c r="I95"/>
  <c r="H95"/>
  <c r="F95"/>
  <c r="R94"/>
  <c r="O94"/>
  <c r="N94"/>
  <c r="L94"/>
  <c r="K94"/>
  <c r="I94"/>
  <c r="H94"/>
  <c r="F94"/>
  <c r="R93"/>
  <c r="O93"/>
  <c r="N93"/>
  <c r="L93"/>
  <c r="K93"/>
  <c r="I93"/>
  <c r="H93"/>
  <c r="F93"/>
  <c r="R92"/>
  <c r="O92"/>
  <c r="N92"/>
  <c r="L92"/>
  <c r="K92"/>
  <c r="I92"/>
  <c r="H92"/>
  <c r="F92"/>
  <c r="R91"/>
  <c r="O91"/>
  <c r="N91"/>
  <c r="L91"/>
  <c r="K91"/>
  <c r="I91"/>
  <c r="H91"/>
  <c r="F91"/>
  <c r="R90"/>
  <c r="O90"/>
  <c r="N90"/>
  <c r="L90"/>
  <c r="K90"/>
  <c r="I90"/>
  <c r="H90"/>
  <c r="F90"/>
  <c r="R89"/>
  <c r="O89"/>
  <c r="N89"/>
  <c r="L89"/>
  <c r="K89"/>
  <c r="I89"/>
  <c r="H89"/>
  <c r="F89"/>
  <c r="R88"/>
  <c r="O88"/>
  <c r="N88"/>
  <c r="L88"/>
  <c r="K88"/>
  <c r="I88"/>
  <c r="H88"/>
  <c r="F88"/>
  <c r="R87"/>
  <c r="O87"/>
  <c r="N87"/>
  <c r="L87"/>
  <c r="K87"/>
  <c r="I87"/>
  <c r="H87"/>
  <c r="F87"/>
  <c r="R86"/>
  <c r="O86"/>
  <c r="N86"/>
  <c r="L86"/>
  <c r="K86"/>
  <c r="I86"/>
  <c r="H86"/>
  <c r="F86"/>
  <c r="R85"/>
  <c r="O85"/>
  <c r="N85"/>
  <c r="L85"/>
  <c r="K85"/>
  <c r="I85"/>
  <c r="H85"/>
  <c r="F85"/>
  <c r="R84"/>
  <c r="O84"/>
  <c r="N84"/>
  <c r="L84"/>
  <c r="K84"/>
  <c r="I84"/>
  <c r="H84"/>
  <c r="F84"/>
  <c r="R83"/>
  <c r="O83"/>
  <c r="N83"/>
  <c r="L83"/>
  <c r="K83"/>
  <c r="I83"/>
  <c r="H83"/>
  <c r="F83"/>
  <c r="R82"/>
  <c r="O82"/>
  <c r="N82"/>
  <c r="L82"/>
  <c r="K82"/>
  <c r="I82"/>
  <c r="H82"/>
  <c r="F82"/>
  <c r="R81"/>
  <c r="O81"/>
  <c r="N81"/>
  <c r="L81"/>
  <c r="K81"/>
  <c r="I81"/>
  <c r="H81"/>
  <c r="F81"/>
  <c r="R80"/>
  <c r="O80"/>
  <c r="N80"/>
  <c r="L80"/>
  <c r="K80"/>
  <c r="I80"/>
  <c r="H80"/>
  <c r="F80"/>
  <c r="R79"/>
  <c r="O79"/>
  <c r="N79"/>
  <c r="L79"/>
  <c r="K79"/>
  <c r="I79"/>
  <c r="H79"/>
  <c r="F79"/>
  <c r="R78"/>
  <c r="O78"/>
  <c r="N78"/>
  <c r="L78"/>
  <c r="K78"/>
  <c r="I78"/>
  <c r="H78"/>
  <c r="F78"/>
  <c r="R77"/>
  <c r="O77"/>
  <c r="N77"/>
  <c r="L77"/>
  <c r="K77"/>
  <c r="I77"/>
  <c r="H77"/>
  <c r="F77"/>
  <c r="R76"/>
  <c r="O76"/>
  <c r="N76"/>
  <c r="L76"/>
  <c r="K76"/>
  <c r="I76"/>
  <c r="H76"/>
  <c r="F76"/>
  <c r="R75"/>
  <c r="O75"/>
  <c r="N75"/>
  <c r="L75"/>
  <c r="K75"/>
  <c r="I75"/>
  <c r="H75"/>
  <c r="F75"/>
  <c r="R74"/>
  <c r="O74"/>
  <c r="N74"/>
  <c r="L74"/>
  <c r="K74"/>
  <c r="I74"/>
  <c r="H74"/>
  <c r="F74"/>
  <c r="R73"/>
  <c r="O73"/>
  <c r="N73"/>
  <c r="L73"/>
  <c r="K73"/>
  <c r="I73"/>
  <c r="H73"/>
  <c r="F73"/>
  <c r="R72"/>
  <c r="O72"/>
  <c r="N72"/>
  <c r="L72"/>
  <c r="K72"/>
  <c r="I72"/>
  <c r="H72"/>
  <c r="F72"/>
  <c r="R71"/>
  <c r="O71"/>
  <c r="N71"/>
  <c r="L71"/>
  <c r="K71"/>
  <c r="I71"/>
  <c r="H71"/>
  <c r="F71"/>
  <c r="R70"/>
  <c r="O70"/>
  <c r="N70"/>
  <c r="L70"/>
  <c r="K70"/>
  <c r="I70"/>
  <c r="H70"/>
  <c r="F70"/>
  <c r="R69"/>
  <c r="O69"/>
  <c r="N69"/>
  <c r="L69"/>
  <c r="K69"/>
  <c r="I69"/>
  <c r="H69"/>
  <c r="F69"/>
  <c r="R68"/>
  <c r="O68"/>
  <c r="N68"/>
  <c r="L68"/>
  <c r="K68"/>
  <c r="I68"/>
  <c r="H68"/>
  <c r="F68"/>
  <c r="R67"/>
  <c r="O67"/>
  <c r="N67"/>
  <c r="L67"/>
  <c r="K67"/>
  <c r="I67"/>
  <c r="H67"/>
  <c r="F67"/>
  <c r="R66"/>
  <c r="O66"/>
  <c r="N66"/>
  <c r="L66"/>
  <c r="K66"/>
  <c r="I66"/>
  <c r="H66"/>
  <c r="F66"/>
  <c r="R65"/>
  <c r="O65"/>
  <c r="N65"/>
  <c r="L65"/>
  <c r="K65"/>
  <c r="I65"/>
  <c r="H65"/>
  <c r="F65"/>
  <c r="R64"/>
  <c r="O64"/>
  <c r="N64"/>
  <c r="L64"/>
  <c r="K64"/>
  <c r="I64"/>
  <c r="H64"/>
  <c r="F64"/>
  <c r="R63"/>
  <c r="O63"/>
  <c r="N63"/>
  <c r="L63"/>
  <c r="K63"/>
  <c r="I63"/>
  <c r="H63"/>
  <c r="F63"/>
  <c r="R62"/>
  <c r="O62"/>
  <c r="N62"/>
  <c r="L62"/>
  <c r="K62"/>
  <c r="I62"/>
  <c r="H62"/>
  <c r="F62"/>
  <c r="R61"/>
  <c r="O61"/>
  <c r="N61"/>
  <c r="L61"/>
  <c r="K61"/>
  <c r="I61"/>
  <c r="H61"/>
  <c r="F61"/>
  <c r="R60"/>
  <c r="O60"/>
  <c r="N60"/>
  <c r="L60"/>
  <c r="K60"/>
  <c r="I60"/>
  <c r="H60"/>
  <c r="F60"/>
  <c r="R59"/>
  <c r="O59"/>
  <c r="N59"/>
  <c r="L59"/>
  <c r="K59"/>
  <c r="I59"/>
  <c r="H59"/>
  <c r="F59"/>
  <c r="R58"/>
  <c r="O58"/>
  <c r="N58"/>
  <c r="L58"/>
  <c r="K58"/>
  <c r="I58"/>
  <c r="H58"/>
  <c r="F58"/>
  <c r="R57"/>
  <c r="O57"/>
  <c r="N57"/>
  <c r="L57"/>
  <c r="K57"/>
  <c r="I57"/>
  <c r="H57"/>
  <c r="F57"/>
  <c r="R56"/>
  <c r="O56"/>
  <c r="N56"/>
  <c r="L56"/>
  <c r="K56"/>
  <c r="I56"/>
  <c r="H56"/>
  <c r="F56"/>
  <c r="R55"/>
  <c r="O55"/>
  <c r="N55"/>
  <c r="L55"/>
  <c r="K55"/>
  <c r="I55"/>
  <c r="H55"/>
  <c r="F55"/>
  <c r="R54"/>
  <c r="O54"/>
  <c r="N54"/>
  <c r="L54"/>
  <c r="K54"/>
  <c r="I54"/>
  <c r="H54"/>
  <c r="F54"/>
  <c r="R53"/>
  <c r="O53"/>
  <c r="N53"/>
  <c r="L53"/>
  <c r="K53"/>
  <c r="I53"/>
  <c r="H53"/>
  <c r="F53"/>
  <c r="R52"/>
  <c r="O52"/>
  <c r="N52"/>
  <c r="L52"/>
  <c r="K52"/>
  <c r="I52"/>
  <c r="H52"/>
  <c r="F52"/>
  <c r="R51"/>
  <c r="O51"/>
  <c r="N51"/>
  <c r="L51"/>
  <c r="K51"/>
  <c r="I51"/>
  <c r="H51"/>
  <c r="F51"/>
  <c r="R50"/>
  <c r="O50"/>
  <c r="N50"/>
  <c r="L50"/>
  <c r="K50"/>
  <c r="I50"/>
  <c r="H50"/>
  <c r="F50"/>
  <c r="R49"/>
  <c r="O49"/>
  <c r="N49"/>
  <c r="L49"/>
  <c r="K49"/>
  <c r="I49"/>
  <c r="H49"/>
  <c r="F49"/>
  <c r="R48"/>
  <c r="O48"/>
  <c r="N48"/>
  <c r="L48"/>
  <c r="K48"/>
  <c r="I48"/>
  <c r="H48"/>
  <c r="F48"/>
  <c r="R47"/>
  <c r="O47"/>
  <c r="N47"/>
  <c r="L47"/>
  <c r="K47"/>
  <c r="I47"/>
  <c r="H47"/>
  <c r="F47"/>
  <c r="R46"/>
  <c r="O46"/>
  <c r="N46"/>
  <c r="L46"/>
  <c r="K46"/>
  <c r="I46"/>
  <c r="H46"/>
  <c r="F46"/>
  <c r="R45"/>
  <c r="O45"/>
  <c r="N45"/>
  <c r="L45"/>
  <c r="K45"/>
  <c r="I45"/>
  <c r="H45"/>
  <c r="F45"/>
  <c r="R44"/>
  <c r="O44"/>
  <c r="N44"/>
  <c r="L44"/>
  <c r="K44"/>
  <c r="I44"/>
  <c r="H44"/>
  <c r="F44"/>
  <c r="R43"/>
  <c r="O43"/>
  <c r="N43"/>
  <c r="L43"/>
  <c r="K43"/>
  <c r="I43"/>
  <c r="H43"/>
  <c r="F43"/>
  <c r="R42"/>
  <c r="O42"/>
  <c r="N42"/>
  <c r="L42"/>
  <c r="K42"/>
  <c r="I42"/>
  <c r="H42"/>
  <c r="F42"/>
  <c r="R41"/>
  <c r="O41"/>
  <c r="N41"/>
  <c r="L41"/>
  <c r="K41"/>
  <c r="I41"/>
  <c r="H41"/>
  <c r="F41"/>
  <c r="R40"/>
  <c r="O40"/>
  <c r="N40"/>
  <c r="L40"/>
  <c r="K40"/>
  <c r="I40"/>
  <c r="H40"/>
  <c r="F40"/>
  <c r="R39"/>
  <c r="O39"/>
  <c r="N39"/>
  <c r="L39"/>
  <c r="K39"/>
  <c r="I39"/>
  <c r="H39"/>
  <c r="F39"/>
  <c r="Q38"/>
  <c r="R38" s="1"/>
  <c r="N38"/>
  <c r="O38" s="1"/>
  <c r="K38"/>
  <c r="L38" s="1"/>
  <c r="H38"/>
  <c r="I38" s="1"/>
  <c r="F38"/>
  <c r="R37"/>
  <c r="Q37"/>
  <c r="O37"/>
  <c r="N37"/>
  <c r="L37"/>
  <c r="K37"/>
  <c r="I37"/>
  <c r="H37"/>
  <c r="F37"/>
  <c r="F35" s="1"/>
  <c r="Q36"/>
  <c r="R36" s="1"/>
  <c r="N36"/>
  <c r="O36" s="1"/>
  <c r="O35" s="1"/>
  <c r="K36"/>
  <c r="L36" s="1"/>
  <c r="L35" s="1"/>
  <c r="H36"/>
  <c r="I36" s="1"/>
  <c r="I35" s="1"/>
  <c r="F36"/>
  <c r="N35"/>
  <c r="K35"/>
  <c r="H35"/>
  <c r="R30"/>
  <c r="N30"/>
  <c r="O30" s="1"/>
  <c r="K30"/>
  <c r="L30" s="1"/>
  <c r="H30"/>
  <c r="I30" s="1"/>
  <c r="F30"/>
  <c r="R29"/>
  <c r="Q29"/>
  <c r="O29"/>
  <c r="N29"/>
  <c r="L29"/>
  <c r="K29"/>
  <c r="I29"/>
  <c r="H29"/>
  <c r="F29"/>
  <c r="Q28"/>
  <c r="R28" s="1"/>
  <c r="N28"/>
  <c r="O28" s="1"/>
  <c r="K28"/>
  <c r="L28" s="1"/>
  <c r="H28"/>
  <c r="I28" s="1"/>
  <c r="F28"/>
  <c r="R27"/>
  <c r="N27"/>
  <c r="O27" s="1"/>
  <c r="O26" s="1"/>
  <c r="K27"/>
  <c r="L27" s="1"/>
  <c r="H27"/>
  <c r="I27" s="1"/>
  <c r="I26" s="1"/>
  <c r="F27"/>
  <c r="N26"/>
  <c r="K26"/>
  <c r="H26"/>
  <c r="F26"/>
  <c r="O23"/>
  <c r="N23"/>
  <c r="L23"/>
  <c r="K23"/>
  <c r="I23"/>
  <c r="H23"/>
  <c r="F23"/>
  <c r="Q21"/>
  <c r="R21" s="1"/>
  <c r="R18" s="1"/>
  <c r="O21"/>
  <c r="N21"/>
  <c r="L21"/>
  <c r="K21"/>
  <c r="I21"/>
  <c r="H21"/>
  <c r="F21"/>
  <c r="R20"/>
  <c r="O20"/>
  <c r="N20"/>
  <c r="L20"/>
  <c r="K20"/>
  <c r="I20"/>
  <c r="H20"/>
  <c r="F20"/>
  <c r="R19"/>
  <c r="O19"/>
  <c r="N19"/>
  <c r="L19"/>
  <c r="K19"/>
  <c r="I19"/>
  <c r="H19"/>
  <c r="F19"/>
  <c r="O18"/>
  <c r="N18"/>
  <c r="L18"/>
  <c r="K18"/>
  <c r="I18"/>
  <c r="H18"/>
  <c r="F18"/>
  <c r="R17"/>
  <c r="O17"/>
  <c r="N17"/>
  <c r="L17"/>
  <c r="K17"/>
  <c r="I17"/>
  <c r="H17"/>
  <c r="F17"/>
  <c r="R11"/>
  <c r="O11"/>
  <c r="N11"/>
  <c r="L11"/>
  <c r="K11"/>
  <c r="I11"/>
  <c r="H11"/>
  <c r="F11"/>
  <c r="R10"/>
  <c r="O10"/>
  <c r="N10"/>
  <c r="L10"/>
  <c r="K10"/>
  <c r="I10"/>
  <c r="H10"/>
  <c r="F10"/>
  <c r="R9"/>
  <c r="O9"/>
  <c r="N9"/>
  <c r="L9"/>
  <c r="K9"/>
  <c r="I9"/>
  <c r="H9"/>
  <c r="R8"/>
  <c r="O8"/>
  <c r="L8"/>
  <c r="I8"/>
  <c r="F8"/>
  <c r="B25" i="51"/>
  <c r="B26" s="1"/>
  <c r="Q183" i="16" l="1"/>
  <c r="G508"/>
  <c r="G509" s="1"/>
  <c r="G476"/>
  <c r="Q290"/>
  <c r="D291"/>
  <c r="G290"/>
  <c r="D293"/>
  <c r="D292"/>
  <c r="D294"/>
  <c r="D256"/>
  <c r="D258"/>
  <c r="G255"/>
  <c r="Q255"/>
  <c r="Q149"/>
  <c r="D222"/>
  <c r="D257"/>
  <c r="D259"/>
  <c r="G221"/>
  <c r="D224"/>
  <c r="Q221"/>
  <c r="D223"/>
  <c r="D225"/>
  <c r="G187"/>
  <c r="D189"/>
  <c r="D191"/>
  <c r="Q187"/>
  <c r="D57"/>
  <c r="D121"/>
  <c r="D125"/>
  <c r="D91"/>
  <c r="D123"/>
  <c r="D188"/>
  <c r="D190"/>
  <c r="D192"/>
  <c r="D20"/>
  <c r="D22"/>
  <c r="D53"/>
  <c r="D55"/>
  <c r="D87"/>
  <c r="D89"/>
  <c r="D155"/>
  <c r="D157"/>
  <c r="D21"/>
  <c r="D23"/>
  <c r="D54"/>
  <c r="D56"/>
  <c r="D58"/>
  <c r="D88"/>
  <c r="D90"/>
  <c r="D120"/>
  <c r="D122"/>
  <c r="D124"/>
  <c r="D154"/>
  <c r="D156"/>
  <c r="D158"/>
  <c r="G149"/>
  <c r="Q82"/>
  <c r="Q153"/>
  <c r="Q163" s="1"/>
  <c r="Q164" s="1"/>
  <c r="Q165" s="1"/>
  <c r="G153"/>
  <c r="Q115"/>
  <c r="G115"/>
  <c r="R35" i="52"/>
  <c r="G119" i="16"/>
  <c r="Q119"/>
  <c r="G86"/>
  <c r="Q48"/>
  <c r="Q86"/>
  <c r="G52"/>
  <c r="Q52"/>
  <c r="F49"/>
  <c r="G49" s="1"/>
  <c r="G48" s="1"/>
  <c r="L26" i="52"/>
  <c r="R26"/>
  <c r="R112" s="1"/>
  <c r="L102"/>
  <c r="B27" i="51"/>
  <c r="B22" s="1"/>
  <c r="C21" i="50" l="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B14"/>
  <c r="A14"/>
  <c r="C13"/>
  <c r="B13"/>
  <c r="A13"/>
  <c r="C12"/>
  <c r="B12"/>
  <c r="A12"/>
  <c r="C11"/>
  <c r="B11"/>
  <c r="A11"/>
  <c r="C10"/>
  <c r="B10"/>
  <c r="A10"/>
  <c r="C9"/>
  <c r="B9"/>
  <c r="A9"/>
  <c r="B9" i="44" l="1"/>
  <c r="B10"/>
  <c r="B11"/>
  <c r="B12"/>
  <c r="B13"/>
  <c r="B14"/>
  <c r="B15"/>
  <c r="B16"/>
  <c r="B17"/>
  <c r="B18"/>
  <c r="B19"/>
  <c r="B20"/>
  <c r="B21"/>
  <c r="B22"/>
  <c r="B23"/>
  <c r="B24"/>
  <c r="D21" i="30" l="1"/>
  <c r="E21" s="1"/>
  <c r="F21" s="1"/>
  <c r="D22"/>
  <c r="E22" s="1"/>
  <c r="F22" s="1"/>
  <c r="D23"/>
  <c r="E23" s="1"/>
  <c r="F23" s="1"/>
  <c r="D20"/>
  <c r="D19"/>
  <c r="D17"/>
  <c r="L7" i="16"/>
  <c r="L9"/>
  <c r="L13"/>
  <c r="L17"/>
  <c r="L18"/>
  <c r="L19"/>
  <c r="L26"/>
  <c r="L42"/>
  <c r="L76"/>
  <c r="L109"/>
  <c r="L143"/>
  <c r="L177"/>
  <c r="L315"/>
  <c r="L350"/>
  <c r="L385"/>
  <c r="L421"/>
  <c r="L454"/>
  <c r="L487"/>
  <c r="L514"/>
  <c r="L517"/>
  <c r="L529"/>
  <c r="L530"/>
  <c r="L531"/>
  <c r="L547"/>
  <c r="L549"/>
  <c r="L551"/>
  <c r="L563"/>
  <c r="L564"/>
  <c r="L565"/>
  <c r="L581"/>
  <c r="L583"/>
  <c r="L585"/>
  <c r="L597"/>
  <c r="L598"/>
  <c r="L599"/>
  <c r="L615"/>
  <c r="L617"/>
  <c r="L619"/>
  <c r="L631"/>
  <c r="L632"/>
  <c r="L633"/>
  <c r="L649"/>
  <c r="L651"/>
  <c r="L653"/>
  <c r="L665"/>
  <c r="L666"/>
  <c r="L667"/>
  <c r="L683"/>
  <c r="L685"/>
  <c r="L687"/>
  <c r="L699"/>
  <c r="L700"/>
  <c r="L701"/>
  <c r="L717"/>
  <c r="L719"/>
  <c r="L721"/>
  <c r="L733"/>
  <c r="L734"/>
  <c r="L735"/>
  <c r="L751"/>
  <c r="L753"/>
  <c r="L755"/>
  <c r="L767"/>
  <c r="L768"/>
  <c r="L769"/>
  <c r="L785"/>
  <c r="L787"/>
  <c r="L789"/>
  <c r="L801"/>
  <c r="L802"/>
  <c r="L803"/>
  <c r="L819"/>
  <c r="L821"/>
  <c r="L823"/>
  <c r="L835"/>
  <c r="L836"/>
  <c r="L837"/>
  <c r="L853"/>
  <c r="L855"/>
  <c r="L857"/>
  <c r="L869"/>
  <c r="L870"/>
  <c r="L871"/>
  <c r="L887"/>
  <c r="L889"/>
  <c r="L891"/>
  <c r="L913"/>
  <c r="L915"/>
  <c r="L917"/>
  <c r="L939"/>
  <c r="L941"/>
  <c r="L943"/>
  <c r="L965"/>
  <c r="L967"/>
  <c r="L969"/>
  <c r="L990"/>
  <c r="L992"/>
  <c r="L994"/>
  <c r="L995"/>
  <c r="L1010"/>
  <c r="L1012"/>
  <c r="L1028"/>
  <c r="L1030"/>
  <c r="L1032"/>
  <c r="L1048"/>
  <c r="L1050"/>
  <c r="L1052"/>
  <c r="L1068"/>
  <c r="L1070"/>
  <c r="L1072"/>
  <c r="L1076"/>
  <c r="L1077"/>
  <c r="B8" i="46"/>
  <c r="G8"/>
  <c r="B9"/>
  <c r="G9"/>
  <c r="B10"/>
  <c r="G10"/>
  <c r="B11"/>
  <c r="G11"/>
  <c r="B12"/>
  <c r="G12"/>
  <c r="B13"/>
  <c r="G13"/>
  <c r="B14"/>
  <c r="G14"/>
  <c r="B15"/>
  <c r="G15"/>
  <c r="B16"/>
  <c r="G16"/>
  <c r="B17"/>
  <c r="G17"/>
  <c r="Q57" i="47"/>
  <c r="R57" s="1"/>
  <c r="N57"/>
  <c r="O57" s="1"/>
  <c r="K57"/>
  <c r="L57" s="1"/>
  <c r="H57"/>
  <c r="I57" s="1"/>
  <c r="F57"/>
  <c r="Q56"/>
  <c r="R56" s="1"/>
  <c r="N56"/>
  <c r="O56" s="1"/>
  <c r="K56"/>
  <c r="L56" s="1"/>
  <c r="H56"/>
  <c r="I56" s="1"/>
  <c r="F56"/>
  <c r="Q55"/>
  <c r="R55" s="1"/>
  <c r="N55"/>
  <c r="O55" s="1"/>
  <c r="K55"/>
  <c r="L55" s="1"/>
  <c r="H55"/>
  <c r="I55" s="1"/>
  <c r="F55"/>
  <c r="Q48"/>
  <c r="R48" s="1"/>
  <c r="N48"/>
  <c r="O48" s="1"/>
  <c r="K48"/>
  <c r="L48" s="1"/>
  <c r="H48"/>
  <c r="I48" s="1"/>
  <c r="F48"/>
  <c r="Q47"/>
  <c r="R47" s="1"/>
  <c r="N47"/>
  <c r="O47" s="1"/>
  <c r="K47"/>
  <c r="L47" s="1"/>
  <c r="H47"/>
  <c r="I47" s="1"/>
  <c r="F47"/>
  <c r="R46"/>
  <c r="N46"/>
  <c r="O46" s="1"/>
  <c r="K46"/>
  <c r="L46" s="1"/>
  <c r="H46"/>
  <c r="I46" s="1"/>
  <c r="F46"/>
  <c r="Q40"/>
  <c r="R40" s="1"/>
  <c r="N40"/>
  <c r="O40" s="1"/>
  <c r="K40"/>
  <c r="L40" s="1"/>
  <c r="H40"/>
  <c r="I40" s="1"/>
  <c r="F40"/>
  <c r="R39"/>
  <c r="N39"/>
  <c r="O39" s="1"/>
  <c r="K39"/>
  <c r="L39" s="1"/>
  <c r="H39"/>
  <c r="I39" s="1"/>
  <c r="F39"/>
  <c r="R29"/>
  <c r="R28" s="1"/>
  <c r="N29"/>
  <c r="O29" s="1"/>
  <c r="K29"/>
  <c r="L29" s="1"/>
  <c r="H29"/>
  <c r="I29" s="1"/>
  <c r="F29"/>
  <c r="O42"/>
  <c r="N42"/>
  <c r="L42"/>
  <c r="K42"/>
  <c r="I42"/>
  <c r="H42"/>
  <c r="F42"/>
  <c r="A2" i="48"/>
  <c r="B91" i="44"/>
  <c r="B90"/>
  <c r="CB9" i="43"/>
  <c r="CB4"/>
  <c r="CB46"/>
  <c r="CB47"/>
  <c r="CB48"/>
  <c r="CB36"/>
  <c r="CB37"/>
  <c r="CB38"/>
  <c r="CB10"/>
  <c r="CB11"/>
  <c r="I85" i="42"/>
  <c r="J85"/>
  <c r="CA4" i="43"/>
  <c r="CA48"/>
  <c r="CA47"/>
  <c r="CA46"/>
  <c r="CA38"/>
  <c r="CA37"/>
  <c r="CA36"/>
  <c r="CA11"/>
  <c r="CA10"/>
  <c r="J84" i="42"/>
  <c r="I84"/>
  <c r="CA9" i="43" s="1"/>
  <c r="B768" i="16"/>
  <c r="E19" i="30" l="1"/>
  <c r="F424" i="16"/>
  <c r="G424" s="1"/>
  <c r="F391"/>
  <c r="G391" s="1"/>
  <c r="F319"/>
  <c r="G319" s="1"/>
  <c r="F490"/>
  <c r="G490" s="1"/>
  <c r="F457"/>
  <c r="G457" s="1"/>
  <c r="F112"/>
  <c r="G112" s="1"/>
  <c r="F146"/>
  <c r="G146" s="1"/>
  <c r="F79"/>
  <c r="G79" s="1"/>
  <c r="F46"/>
  <c r="G46" s="1"/>
  <c r="F10"/>
  <c r="G10" s="1"/>
  <c r="E20" i="30"/>
  <c r="F20" s="1"/>
  <c r="F456" i="16"/>
  <c r="G456" s="1"/>
  <c r="F423"/>
  <c r="G423" s="1"/>
  <c r="F390"/>
  <c r="G390" s="1"/>
  <c r="G389" s="1"/>
  <c r="G408" s="1"/>
  <c r="G409" s="1"/>
  <c r="G410" s="1"/>
  <c r="F215"/>
  <c r="G215" s="1"/>
  <c r="F181"/>
  <c r="G181" s="1"/>
  <c r="F249"/>
  <c r="G249" s="1"/>
  <c r="F80"/>
  <c r="G80" s="1"/>
  <c r="F113"/>
  <c r="G113" s="1"/>
  <c r="F45"/>
  <c r="G45" s="1"/>
  <c r="F11"/>
  <c r="G11" s="1"/>
  <c r="F19" i="30"/>
  <c r="CA35" i="43"/>
  <c r="CA34"/>
  <c r="CA33"/>
  <c r="CB33" l="1"/>
  <c r="CB34"/>
  <c r="CB35"/>
  <c r="C85" i="31"/>
  <c r="C84"/>
  <c r="H84" s="1"/>
  <c r="C83"/>
  <c r="C82"/>
  <c r="C81"/>
  <c r="C80"/>
  <c r="C79"/>
  <c r="C78"/>
  <c r="C76"/>
  <c r="C75"/>
  <c r="F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F57" s="1"/>
  <c r="C56"/>
  <c r="C55"/>
  <c r="C54"/>
  <c r="C53"/>
  <c r="C52"/>
  <c r="C51"/>
  <c r="C50"/>
  <c r="C49"/>
  <c r="H49" s="1"/>
  <c r="C48"/>
  <c r="C47"/>
  <c r="C46"/>
  <c r="C45"/>
  <c r="F45" s="1"/>
  <c r="C43"/>
  <c r="C42"/>
  <c r="C41"/>
  <c r="H41"/>
  <c r="C40"/>
  <c r="C39"/>
  <c r="F39" s="1"/>
  <c r="C38"/>
  <c r="C37"/>
  <c r="C36"/>
  <c r="C34"/>
  <c r="C33"/>
  <c r="C32"/>
  <c r="C31"/>
  <c r="C30"/>
  <c r="C29"/>
  <c r="H29" s="1"/>
  <c r="C28"/>
  <c r="C27"/>
  <c r="C26"/>
  <c r="C25"/>
  <c r="F25" s="1"/>
  <c r="C24"/>
  <c r="C23"/>
  <c r="C22"/>
  <c r="C21"/>
  <c r="C20"/>
  <c r="C19"/>
  <c r="C18"/>
  <c r="C17"/>
  <c r="C16"/>
  <c r="C14"/>
  <c r="C13"/>
  <c r="H13" s="1"/>
  <c r="C12"/>
  <c r="H12"/>
  <c r="C11"/>
  <c r="C10"/>
  <c r="C9"/>
  <c r="F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9"/>
  <c r="C19" i="41"/>
  <c r="H9" i="31"/>
  <c r="C20" i="41"/>
  <c r="BZ18" i="43" s="1"/>
  <c r="BZ21" s="1"/>
  <c r="BZ45" s="1"/>
  <c r="H85" i="31"/>
  <c r="H81"/>
  <c r="H75"/>
  <c r="H72"/>
  <c r="H69"/>
  <c r="H65"/>
  <c r="H61"/>
  <c r="H53"/>
  <c r="H36"/>
  <c r="H32"/>
  <c r="H25"/>
  <c r="H17"/>
  <c r="H11"/>
  <c r="F85"/>
  <c r="F76"/>
  <c r="F72"/>
  <c r="F69"/>
  <c r="F65"/>
  <c r="F61"/>
  <c r="F53"/>
  <c r="F49"/>
  <c r="F41"/>
  <c r="F32"/>
  <c r="F29"/>
  <c r="F21"/>
  <c r="F11"/>
  <c r="AD10" i="43"/>
  <c r="J35" i="42"/>
  <c r="AD11" i="43" s="1"/>
  <c r="AD9" s="1"/>
  <c r="AD33" s="1"/>
  <c r="E10"/>
  <c r="J10" i="42"/>
  <c r="E11" i="43" s="1"/>
  <c r="AB10"/>
  <c r="J33" i="42"/>
  <c r="AB11" i="43" s="1"/>
  <c r="AB9" s="1"/>
  <c r="AJ10"/>
  <c r="J41" i="42"/>
  <c r="AJ11" i="43" s="1"/>
  <c r="AJ9" s="1"/>
  <c r="AJ34" s="1"/>
  <c r="AG10"/>
  <c r="J38" i="42"/>
  <c r="AG11" i="43" s="1"/>
  <c r="AG9" s="1"/>
  <c r="AG44"/>
  <c r="AG21"/>
  <c r="AG45" s="1"/>
  <c r="AG49" s="1"/>
  <c r="AF10"/>
  <c r="J37" i="42"/>
  <c r="AF11" i="43" s="1"/>
  <c r="AF12"/>
  <c r="AF39" s="1"/>
  <c r="AF40"/>
  <c r="AF44"/>
  <c r="AF21"/>
  <c r="AF45" s="1"/>
  <c r="AC10"/>
  <c r="J34" i="42"/>
  <c r="AC11" i="43" s="1"/>
  <c r="AC12"/>
  <c r="AC39" s="1"/>
  <c r="AC40"/>
  <c r="H10"/>
  <c r="J13" i="42"/>
  <c r="H11" i="43" s="1"/>
  <c r="T10"/>
  <c r="J25" i="42"/>
  <c r="T11" i="43" s="1"/>
  <c r="AH10"/>
  <c r="J39" i="42"/>
  <c r="AH11" i="43" s="1"/>
  <c r="AH12"/>
  <c r="AH39" s="1"/>
  <c r="AH40"/>
  <c r="AH44"/>
  <c r="AH21"/>
  <c r="AH45" s="1"/>
  <c r="AH49" s="1"/>
  <c r="BQ10"/>
  <c r="J74" i="42"/>
  <c r="BQ11" i="43" s="1"/>
  <c r="AI10"/>
  <c r="J40" i="42"/>
  <c r="AI11" i="43" s="1"/>
  <c r="AI12"/>
  <c r="AI39" s="1"/>
  <c r="AI40"/>
  <c r="AI44"/>
  <c r="AI21"/>
  <c r="AI45" s="1"/>
  <c r="AI49" s="1"/>
  <c r="S10"/>
  <c r="J24" i="42"/>
  <c r="S11" i="43" s="1"/>
  <c r="BH10"/>
  <c r="J65" i="42"/>
  <c r="BH11" i="43" s="1"/>
  <c r="BH12"/>
  <c r="BH39" s="1"/>
  <c r="BH40"/>
  <c r="BE10"/>
  <c r="J62" i="42"/>
  <c r="BE11" i="43" s="1"/>
  <c r="BA10"/>
  <c r="J58" i="42"/>
  <c r="BA11" i="43" s="1"/>
  <c r="V10"/>
  <c r="J27" i="42"/>
  <c r="V11" i="43" s="1"/>
  <c r="BF10"/>
  <c r="J63" i="42"/>
  <c r="BF11" i="43" s="1"/>
  <c r="U10"/>
  <c r="J26" i="42"/>
  <c r="U11" i="43" s="1"/>
  <c r="AP10"/>
  <c r="J47" i="42"/>
  <c r="AP11" i="43" s="1"/>
  <c r="AP12"/>
  <c r="AP39" s="1"/>
  <c r="AP40"/>
  <c r="AP44"/>
  <c r="AP21"/>
  <c r="AP45" s="1"/>
  <c r="AP49" s="1"/>
  <c r="AZ10"/>
  <c r="J57" i="42"/>
  <c r="AZ11" i="43" s="1"/>
  <c r="AS10"/>
  <c r="J50" i="42"/>
  <c r="AS11" i="43" s="1"/>
  <c r="AS40"/>
  <c r="AS21"/>
  <c r="AS45" s="1"/>
  <c r="G10"/>
  <c r="J12" i="42"/>
  <c r="G11" i="43" s="1"/>
  <c r="AK10"/>
  <c r="J42" i="42"/>
  <c r="AK11" i="43" s="1"/>
  <c r="AT10"/>
  <c r="J51" i="42"/>
  <c r="AT11" i="43" s="1"/>
  <c r="AT40"/>
  <c r="AT21"/>
  <c r="AT45" s="1"/>
  <c r="X10"/>
  <c r="J29" i="42"/>
  <c r="X11" i="43" s="1"/>
  <c r="X12"/>
  <c r="X39" s="1"/>
  <c r="X40"/>
  <c r="X44"/>
  <c r="X21"/>
  <c r="X45" s="1"/>
  <c r="BM10"/>
  <c r="J70" i="42"/>
  <c r="BM11" i="43" s="1"/>
  <c r="BM12"/>
  <c r="BM39" s="1"/>
  <c r="BM40"/>
  <c r="AQ10"/>
  <c r="J48" i="42"/>
  <c r="AQ11" i="43" s="1"/>
  <c r="AQ12"/>
  <c r="AQ39" s="1"/>
  <c r="AQ40"/>
  <c r="AQ44"/>
  <c r="AQ21"/>
  <c r="AQ45" s="1"/>
  <c r="AR10"/>
  <c r="J49" i="42"/>
  <c r="AR11" i="43" s="1"/>
  <c r="AR9" s="1"/>
  <c r="AR34" s="1"/>
  <c r="AR12"/>
  <c r="AR39"/>
  <c r="AR40"/>
  <c r="BS10"/>
  <c r="J76" i="42"/>
  <c r="BS11" i="43" s="1"/>
  <c r="BS40"/>
  <c r="BS21"/>
  <c r="BS45" s="1"/>
  <c r="BT10"/>
  <c r="J77" i="42"/>
  <c r="BT11" i="43"/>
  <c r="BT40"/>
  <c r="BT21"/>
  <c r="BT45" s="1"/>
  <c r="BU10"/>
  <c r="J78" i="42"/>
  <c r="BU11" i="43" s="1"/>
  <c r="BU40"/>
  <c r="BU21"/>
  <c r="BU45" s="1"/>
  <c r="BV10"/>
  <c r="J79" i="42"/>
  <c r="BV11" i="43" s="1"/>
  <c r="BV40"/>
  <c r="BV21"/>
  <c r="BV45" s="1"/>
  <c r="AN10"/>
  <c r="J45" i="42"/>
  <c r="AN11" i="43" s="1"/>
  <c r="AN12"/>
  <c r="AN39" s="1"/>
  <c r="AN40"/>
  <c r="AN44"/>
  <c r="AN21"/>
  <c r="AN45" s="1"/>
  <c r="AN49" s="1"/>
  <c r="AO10"/>
  <c r="J46" i="42"/>
  <c r="AO11" i="43" s="1"/>
  <c r="AO12"/>
  <c r="AO39" s="1"/>
  <c r="AO40"/>
  <c r="AO44"/>
  <c r="AO21"/>
  <c r="AO45" s="1"/>
  <c r="BR10"/>
  <c r="J75" i="42"/>
  <c r="BR11" i="43" s="1"/>
  <c r="BR40"/>
  <c r="BB10"/>
  <c r="J59" i="42"/>
  <c r="BB11" i="43" s="1"/>
  <c r="BC10"/>
  <c r="J60" i="42"/>
  <c r="BC11" i="43" s="1"/>
  <c r="BW10"/>
  <c r="J80" i="42"/>
  <c r="BW11" i="43" s="1"/>
  <c r="Z10"/>
  <c r="J31" i="42"/>
  <c r="Z11" i="43" s="1"/>
  <c r="Z12"/>
  <c r="Z39" s="1"/>
  <c r="Z40"/>
  <c r="Z44"/>
  <c r="Z21"/>
  <c r="Z45" s="1"/>
  <c r="BD10"/>
  <c r="J61" i="42"/>
  <c r="BD11" i="43" s="1"/>
  <c r="I10"/>
  <c r="J14" i="42"/>
  <c r="I11" i="43" s="1"/>
  <c r="I44"/>
  <c r="I21"/>
  <c r="I45" s="1"/>
  <c r="G30" i="46"/>
  <c r="M10" i="43"/>
  <c r="J18" i="42"/>
  <c r="M11" i="43" s="1"/>
  <c r="J10"/>
  <c r="J15" i="42"/>
  <c r="J11" i="43" s="1"/>
  <c r="L10"/>
  <c r="J17" i="42"/>
  <c r="L11" i="43" s="1"/>
  <c r="Y10"/>
  <c r="J30" i="42"/>
  <c r="Y11" i="43" s="1"/>
  <c r="Y12"/>
  <c r="Y39"/>
  <c r="Y40"/>
  <c r="Y44"/>
  <c r="Y21"/>
  <c r="Y45"/>
  <c r="K10"/>
  <c r="J16" i="42"/>
  <c r="K11" i="43" s="1"/>
  <c r="BP10"/>
  <c r="J73" i="42"/>
  <c r="BP11" i="43" s="1"/>
  <c r="AA10"/>
  <c r="J32" i="42"/>
  <c r="AA11" i="43" s="1"/>
  <c r="AV10"/>
  <c r="J53" i="42"/>
  <c r="AV11" i="43" s="1"/>
  <c r="F1073" i="16"/>
  <c r="G1073" s="1"/>
  <c r="F1033"/>
  <c r="G1033" s="1"/>
  <c r="G1032" s="1"/>
  <c r="N10" i="43"/>
  <c r="J19" i="42"/>
  <c r="N11" i="43" s="1"/>
  <c r="F971" i="16"/>
  <c r="F973"/>
  <c r="F974"/>
  <c r="F975"/>
  <c r="F945"/>
  <c r="F947"/>
  <c r="F919"/>
  <c r="F921"/>
  <c r="F893"/>
  <c r="F895"/>
  <c r="F858"/>
  <c r="F860"/>
  <c r="F861"/>
  <c r="P10" i="43"/>
  <c r="J21" i="42"/>
  <c r="P11" i="43" s="1"/>
  <c r="F863" i="16"/>
  <c r="O10" i="43"/>
  <c r="J20" i="42"/>
  <c r="O11" i="43" s="1"/>
  <c r="F864" i="16"/>
  <c r="F865"/>
  <c r="F866"/>
  <c r="F867"/>
  <c r="F868"/>
  <c r="F824"/>
  <c r="G824" s="1"/>
  <c r="F826"/>
  <c r="G826" s="1"/>
  <c r="F827"/>
  <c r="G827" s="1"/>
  <c r="F829"/>
  <c r="G829" s="1"/>
  <c r="F830"/>
  <c r="G830" s="1"/>
  <c r="F831"/>
  <c r="G831" s="1"/>
  <c r="F832"/>
  <c r="G832" s="1"/>
  <c r="F833"/>
  <c r="G833" s="1"/>
  <c r="F792"/>
  <c r="G792" s="1"/>
  <c r="F793"/>
  <c r="G793" s="1"/>
  <c r="F795"/>
  <c r="G795" s="1"/>
  <c r="F796"/>
  <c r="G796" s="1"/>
  <c r="F797"/>
  <c r="G797" s="1"/>
  <c r="F798"/>
  <c r="G798" s="1"/>
  <c r="F799"/>
  <c r="G799" s="1"/>
  <c r="F756"/>
  <c r="F758"/>
  <c r="F759"/>
  <c r="F761"/>
  <c r="F762"/>
  <c r="F763"/>
  <c r="F764"/>
  <c r="F765"/>
  <c r="F722"/>
  <c r="F724"/>
  <c r="F725"/>
  <c r="F727"/>
  <c r="F728"/>
  <c r="G728" s="1"/>
  <c r="F729"/>
  <c r="F730"/>
  <c r="F731"/>
  <c r="F732"/>
  <c r="F690"/>
  <c r="G690" s="1"/>
  <c r="F691"/>
  <c r="G691" s="1"/>
  <c r="F693"/>
  <c r="G693" s="1"/>
  <c r="F694"/>
  <c r="G694" s="1"/>
  <c r="F695"/>
  <c r="G695" s="1"/>
  <c r="F696"/>
  <c r="G696" s="1"/>
  <c r="F697"/>
  <c r="G697" s="1"/>
  <c r="G97" i="46"/>
  <c r="F654" i="16"/>
  <c r="G654" s="1"/>
  <c r="F656"/>
  <c r="G656" s="1"/>
  <c r="F657"/>
  <c r="G657" s="1"/>
  <c r="F659"/>
  <c r="G659" s="1"/>
  <c r="F660"/>
  <c r="G660" s="1"/>
  <c r="F661"/>
  <c r="G661" s="1"/>
  <c r="F662"/>
  <c r="G662" s="1"/>
  <c r="F663"/>
  <c r="G663" s="1"/>
  <c r="F664"/>
  <c r="G664" s="1"/>
  <c r="F620"/>
  <c r="F622"/>
  <c r="F623"/>
  <c r="F625"/>
  <c r="F626"/>
  <c r="F627"/>
  <c r="F628"/>
  <c r="F629"/>
  <c r="F586"/>
  <c r="F588"/>
  <c r="F589"/>
  <c r="F591"/>
  <c r="F592"/>
  <c r="F593"/>
  <c r="F594"/>
  <c r="F595"/>
  <c r="F552"/>
  <c r="G552" s="1"/>
  <c r="F554"/>
  <c r="G554" s="1"/>
  <c r="F555"/>
  <c r="G555" s="1"/>
  <c r="F557"/>
  <c r="G557" s="1"/>
  <c r="F558"/>
  <c r="G558" s="1"/>
  <c r="F559"/>
  <c r="G559" s="1"/>
  <c r="F560"/>
  <c r="G560" s="1"/>
  <c r="F561"/>
  <c r="G561" s="1"/>
  <c r="F518"/>
  <c r="G518" s="1"/>
  <c r="F520"/>
  <c r="G520" s="1"/>
  <c r="F521"/>
  <c r="G521" s="1"/>
  <c r="F523"/>
  <c r="G523" s="1"/>
  <c r="F524"/>
  <c r="G524" s="1"/>
  <c r="F525"/>
  <c r="G525" s="1"/>
  <c r="F526"/>
  <c r="G526" s="1"/>
  <c r="F527"/>
  <c r="G527" s="1"/>
  <c r="F528"/>
  <c r="G528" s="1"/>
  <c r="AW10" i="43"/>
  <c r="J54" i="42"/>
  <c r="AW11" i="43" s="1"/>
  <c r="AX10"/>
  <c r="J55" i="42"/>
  <c r="AX11" i="43" s="1"/>
  <c r="BL10"/>
  <c r="J69" i="42"/>
  <c r="BL11" i="43" s="1"/>
  <c r="BZ10"/>
  <c r="J83" i="42"/>
  <c r="BZ11" i="43" s="1"/>
  <c r="BZ40"/>
  <c r="BO10"/>
  <c r="J72" i="42"/>
  <c r="BO11" i="43" s="1"/>
  <c r="BY10"/>
  <c r="J82" i="42"/>
  <c r="BY11" i="43" s="1"/>
  <c r="BY40"/>
  <c r="BY21"/>
  <c r="BY45" s="1"/>
  <c r="BK10"/>
  <c r="J68" i="42"/>
  <c r="BK11" i="43" s="1"/>
  <c r="BK12"/>
  <c r="BK39" s="1"/>
  <c r="BK40"/>
  <c r="F10"/>
  <c r="J11" i="42"/>
  <c r="F11" i="43" s="1"/>
  <c r="R10"/>
  <c r="J23" i="42"/>
  <c r="R11" i="43" s="1"/>
  <c r="B10"/>
  <c r="J7" i="42"/>
  <c r="B11" i="43" s="1"/>
  <c r="B40"/>
  <c r="D88" i="45"/>
  <c r="D86"/>
  <c r="E86"/>
  <c r="D82"/>
  <c r="D76"/>
  <c r="D74"/>
  <c r="E74"/>
  <c r="D66"/>
  <c r="D60"/>
  <c r="H57"/>
  <c r="D54"/>
  <c r="H53"/>
  <c r="I53"/>
  <c r="D50"/>
  <c r="E50"/>
  <c r="D46"/>
  <c r="D42"/>
  <c r="H39"/>
  <c r="I39"/>
  <c r="D38"/>
  <c r="H37"/>
  <c r="I37" s="1"/>
  <c r="D36"/>
  <c r="H35"/>
  <c r="I35"/>
  <c r="D34"/>
  <c r="E34"/>
  <c r="H33"/>
  <c r="H31"/>
  <c r="I31" s="1"/>
  <c r="H29"/>
  <c r="H27"/>
  <c r="I27"/>
  <c r="D24"/>
  <c r="E24"/>
  <c r="D20"/>
  <c r="D16"/>
  <c r="E16" s="1"/>
  <c r="D12"/>
  <c r="E12" s="1"/>
  <c r="F12" s="1"/>
  <c r="H10"/>
  <c r="I10"/>
  <c r="E975" i="16"/>
  <c r="E974"/>
  <c r="E973"/>
  <c r="E972"/>
  <c r="E971"/>
  <c r="E970"/>
  <c r="E968"/>
  <c r="G965"/>
  <c r="F965"/>
  <c r="E965"/>
  <c r="E949"/>
  <c r="E948"/>
  <c r="E947"/>
  <c r="E946"/>
  <c r="E945"/>
  <c r="E944"/>
  <c r="E942"/>
  <c r="E923"/>
  <c r="E922"/>
  <c r="E921"/>
  <c r="E920"/>
  <c r="E919"/>
  <c r="E918"/>
  <c r="E916"/>
  <c r="E897"/>
  <c r="E896"/>
  <c r="E895"/>
  <c r="E894"/>
  <c r="E893"/>
  <c r="E892"/>
  <c r="E890"/>
  <c r="G109" i="46"/>
  <c r="G108"/>
  <c r="D90" i="45"/>
  <c r="D84"/>
  <c r="D80"/>
  <c r="D78"/>
  <c r="D72"/>
  <c r="E72"/>
  <c r="D68"/>
  <c r="D64"/>
  <c r="D56"/>
  <c r="E56"/>
  <c r="D52"/>
  <c r="D40"/>
  <c r="E40" s="1"/>
  <c r="D32"/>
  <c r="D28"/>
  <c r="E28"/>
  <c r="D26"/>
  <c r="E26"/>
  <c r="D22"/>
  <c r="D18"/>
  <c r="E18" s="1"/>
  <c r="D14"/>
  <c r="E14" s="1"/>
  <c r="G31" i="46"/>
  <c r="R72" i="47"/>
  <c r="G107" i="46"/>
  <c r="G106"/>
  <c r="G59"/>
  <c r="G60"/>
  <c r="G63"/>
  <c r="G64"/>
  <c r="G68"/>
  <c r="G71"/>
  <c r="G75"/>
  <c r="G76"/>
  <c r="G79"/>
  <c r="G80"/>
  <c r="G83"/>
  <c r="G84"/>
  <c r="G88"/>
  <c r="G91"/>
  <c r="G92"/>
  <c r="G100"/>
  <c r="H1053" i="16"/>
  <c r="H1031"/>
  <c r="H1033"/>
  <c r="E868"/>
  <c r="E867"/>
  <c r="E866"/>
  <c r="E865"/>
  <c r="E864"/>
  <c r="E863"/>
  <c r="E862"/>
  <c r="E861"/>
  <c r="E860"/>
  <c r="E859"/>
  <c r="E858"/>
  <c r="E856"/>
  <c r="E766"/>
  <c r="E765"/>
  <c r="E764"/>
  <c r="E763"/>
  <c r="E762"/>
  <c r="E761"/>
  <c r="E760"/>
  <c r="E759"/>
  <c r="E758"/>
  <c r="E757"/>
  <c r="E756"/>
  <c r="E754"/>
  <c r="E732"/>
  <c r="E731"/>
  <c r="E730"/>
  <c r="E729"/>
  <c r="E728"/>
  <c r="E727"/>
  <c r="E726"/>
  <c r="E725"/>
  <c r="E724"/>
  <c r="E723"/>
  <c r="E722"/>
  <c r="E720"/>
  <c r="E630"/>
  <c r="E629"/>
  <c r="E628"/>
  <c r="E627"/>
  <c r="E626"/>
  <c r="E625"/>
  <c r="E624"/>
  <c r="E623"/>
  <c r="E622"/>
  <c r="E621"/>
  <c r="E620"/>
  <c r="E618"/>
  <c r="E596"/>
  <c r="E595"/>
  <c r="E594"/>
  <c r="E593"/>
  <c r="E592"/>
  <c r="E591"/>
  <c r="E590"/>
  <c r="E589"/>
  <c r="E588"/>
  <c r="E587"/>
  <c r="E586"/>
  <c r="E584"/>
  <c r="AB315"/>
  <c r="AA315"/>
  <c r="Z315"/>
  <c r="Y315"/>
  <c r="W315"/>
  <c r="C40" i="43"/>
  <c r="D40"/>
  <c r="AE40"/>
  <c r="AL40"/>
  <c r="AM40"/>
  <c r="AU40"/>
  <c r="BG40"/>
  <c r="BI40"/>
  <c r="BJ40"/>
  <c r="D12" i="30"/>
  <c r="BA6" i="43" s="1"/>
  <c r="BA12" s="1"/>
  <c r="BA39" s="1"/>
  <c r="G18" i="46"/>
  <c r="G81"/>
  <c r="G62"/>
  <c r="G28"/>
  <c r="G67"/>
  <c r="G66"/>
  <c r="G87"/>
  <c r="G49"/>
  <c r="G78"/>
  <c r="G33"/>
  <c r="G38"/>
  <c r="G34"/>
  <c r="G35"/>
  <c r="G36"/>
  <c r="G37"/>
  <c r="G40"/>
  <c r="G72"/>
  <c r="G74"/>
  <c r="G65"/>
  <c r="G50"/>
  <c r="G105"/>
  <c r="G103"/>
  <c r="G58"/>
  <c r="G52"/>
  <c r="G90"/>
  <c r="G53"/>
  <c r="G44"/>
  <c r="G93"/>
  <c r="G54"/>
  <c r="G55"/>
  <c r="G95"/>
  <c r="G86"/>
  <c r="A9" i="44"/>
  <c r="B12" i="43"/>
  <c r="B39" s="1"/>
  <c r="B36"/>
  <c r="B37"/>
  <c r="B38"/>
  <c r="B46"/>
  <c r="B47"/>
  <c r="B48"/>
  <c r="A10" i="44"/>
  <c r="C10" i="43"/>
  <c r="J8" i="42"/>
  <c r="C11" i="43" s="1"/>
  <c r="C12"/>
  <c r="C39"/>
  <c r="C36"/>
  <c r="C37"/>
  <c r="C38"/>
  <c r="C46"/>
  <c r="C47"/>
  <c r="C48"/>
  <c r="A11" i="44"/>
  <c r="D10" i="43"/>
  <c r="J9" i="42"/>
  <c r="D11" i="43" s="1"/>
  <c r="D12"/>
  <c r="D39" s="1"/>
  <c r="D36"/>
  <c r="D37"/>
  <c r="D38"/>
  <c r="D44"/>
  <c r="D21"/>
  <c r="D45"/>
  <c r="D46"/>
  <c r="D47"/>
  <c r="D48"/>
  <c r="A12" i="44"/>
  <c r="E36" i="43"/>
  <c r="E37"/>
  <c r="E38"/>
  <c r="E46"/>
  <c r="E47"/>
  <c r="E48"/>
  <c r="A13" i="44"/>
  <c r="F36" i="43"/>
  <c r="F37"/>
  <c r="F38"/>
  <c r="F46"/>
  <c r="F47"/>
  <c r="F48"/>
  <c r="A14" i="44"/>
  <c r="G36" i="43"/>
  <c r="G37"/>
  <c r="G38"/>
  <c r="G46"/>
  <c r="G47"/>
  <c r="G48"/>
  <c r="A15" i="44"/>
  <c r="H36" i="43"/>
  <c r="H37"/>
  <c r="H38"/>
  <c r="H46"/>
  <c r="H47"/>
  <c r="H48"/>
  <c r="A16" i="44"/>
  <c r="I36" i="43"/>
  <c r="I37"/>
  <c r="I38"/>
  <c r="I46"/>
  <c r="I47"/>
  <c r="I48"/>
  <c r="A17" i="44"/>
  <c r="J36" i="43"/>
  <c r="J37"/>
  <c r="J38"/>
  <c r="J46"/>
  <c r="J47"/>
  <c r="J48"/>
  <c r="A18" i="44"/>
  <c r="K36" i="43"/>
  <c r="K37"/>
  <c r="K38"/>
  <c r="K46"/>
  <c r="K47"/>
  <c r="K48"/>
  <c r="A19" i="44"/>
  <c r="L36" i="43"/>
  <c r="L37"/>
  <c r="L38"/>
  <c r="L46"/>
  <c r="L47"/>
  <c r="L48"/>
  <c r="A20" i="44"/>
  <c r="M36" i="43"/>
  <c r="M37"/>
  <c r="M38"/>
  <c r="M46"/>
  <c r="M47"/>
  <c r="M48"/>
  <c r="A21" i="44"/>
  <c r="N36" i="43"/>
  <c r="N37"/>
  <c r="N38"/>
  <c r="N46"/>
  <c r="N47"/>
  <c r="N48"/>
  <c r="A22" i="44"/>
  <c r="O36" i="43"/>
  <c r="O37"/>
  <c r="O38"/>
  <c r="O46"/>
  <c r="O47"/>
  <c r="O48"/>
  <c r="A23" i="44"/>
  <c r="P36" i="43"/>
  <c r="P37"/>
  <c r="P38"/>
  <c r="P46"/>
  <c r="P47"/>
  <c r="P48"/>
  <c r="A24" i="44"/>
  <c r="Q10" i="43"/>
  <c r="J22" i="42"/>
  <c r="Q11" i="43" s="1"/>
  <c r="Q36"/>
  <c r="Q37"/>
  <c r="Q38"/>
  <c r="Q46"/>
  <c r="Q47"/>
  <c r="Q48"/>
  <c r="A25" i="44"/>
  <c r="B25"/>
  <c r="F14" i="16" s="1"/>
  <c r="G14" s="1"/>
  <c r="R36" i="43"/>
  <c r="R37"/>
  <c r="R38"/>
  <c r="R46"/>
  <c r="R47"/>
  <c r="R48"/>
  <c r="A26" i="44"/>
  <c r="B26"/>
  <c r="S36" i="43"/>
  <c r="S37"/>
  <c r="S38"/>
  <c r="S46"/>
  <c r="S47"/>
  <c r="S48"/>
  <c r="A27" i="44"/>
  <c r="B27"/>
  <c r="T36" i="43"/>
  <c r="T37"/>
  <c r="T38"/>
  <c r="T46"/>
  <c r="T47"/>
  <c r="T48"/>
  <c r="A28" i="44"/>
  <c r="B28"/>
  <c r="U36" i="43"/>
  <c r="U37"/>
  <c r="U38"/>
  <c r="U46"/>
  <c r="U47"/>
  <c r="U48"/>
  <c r="A29" i="44"/>
  <c r="B29"/>
  <c r="V36" i="43"/>
  <c r="V37"/>
  <c r="V38"/>
  <c r="V46"/>
  <c r="V47"/>
  <c r="V48"/>
  <c r="A30" i="44"/>
  <c r="B30"/>
  <c r="W10" i="43"/>
  <c r="J28" i="42"/>
  <c r="W11" i="43" s="1"/>
  <c r="W36"/>
  <c r="W37"/>
  <c r="W38"/>
  <c r="W46"/>
  <c r="W47"/>
  <c r="W48"/>
  <c r="A31" i="44"/>
  <c r="B31"/>
  <c r="X36" i="43"/>
  <c r="X37"/>
  <c r="X38"/>
  <c r="X46"/>
  <c r="X47"/>
  <c r="X48"/>
  <c r="A32" i="44"/>
  <c r="B32"/>
  <c r="Y36" i="43"/>
  <c r="Y37"/>
  <c r="Y38"/>
  <c r="Y46"/>
  <c r="Y47"/>
  <c r="Y48"/>
  <c r="A33" i="44"/>
  <c r="B33"/>
  <c r="Z36" i="43"/>
  <c r="Z37"/>
  <c r="Z38"/>
  <c r="Z46"/>
  <c r="Z47"/>
  <c r="Z48"/>
  <c r="A34" i="44"/>
  <c r="B34"/>
  <c r="AA36" i="43"/>
  <c r="AA37"/>
  <c r="AA38"/>
  <c r="AA46"/>
  <c r="AA47"/>
  <c r="AA48"/>
  <c r="A35" i="44"/>
  <c r="B35"/>
  <c r="AB36" i="43"/>
  <c r="AB37"/>
  <c r="AB38"/>
  <c r="AB46"/>
  <c r="AB47"/>
  <c r="AB48"/>
  <c r="A36" i="44"/>
  <c r="B36"/>
  <c r="AC36" i="43"/>
  <c r="AC37"/>
  <c r="AC38"/>
  <c r="AC46"/>
  <c r="AC47"/>
  <c r="AC48"/>
  <c r="A37" i="44"/>
  <c r="B37"/>
  <c r="AD36" i="43"/>
  <c r="AD37"/>
  <c r="AD38"/>
  <c r="AD46"/>
  <c r="AD47"/>
  <c r="AD48"/>
  <c r="A38" i="44"/>
  <c r="B38"/>
  <c r="AE10" i="43"/>
  <c r="J36" i="42"/>
  <c r="AE11" i="43" s="1"/>
  <c r="AE12"/>
  <c r="AE39" s="1"/>
  <c r="AE36"/>
  <c r="AE37"/>
  <c r="AE38"/>
  <c r="AE44"/>
  <c r="AE21"/>
  <c r="AE45" s="1"/>
  <c r="AE46"/>
  <c r="AE47"/>
  <c r="AE48"/>
  <c r="A39" i="44"/>
  <c r="B39"/>
  <c r="AF36" i="43"/>
  <c r="AF37"/>
  <c r="AF38"/>
  <c r="AF46"/>
  <c r="AF47"/>
  <c r="AF48"/>
  <c r="A40" i="44"/>
  <c r="B40"/>
  <c r="AG36" i="43"/>
  <c r="AG37"/>
  <c r="AG38"/>
  <c r="AG46"/>
  <c r="AG47"/>
  <c r="AG48"/>
  <c r="A41" i="44"/>
  <c r="B41"/>
  <c r="AH36" i="43"/>
  <c r="AH37"/>
  <c r="AH38"/>
  <c r="AH46"/>
  <c r="AH47"/>
  <c r="AH48"/>
  <c r="A42" i="44"/>
  <c r="B42"/>
  <c r="AI36" i="43"/>
  <c r="AI37"/>
  <c r="AI38"/>
  <c r="AI46"/>
  <c r="AI47"/>
  <c r="AI48"/>
  <c r="A43" i="44"/>
  <c r="B43"/>
  <c r="AJ36" i="43"/>
  <c r="AJ37"/>
  <c r="AJ38"/>
  <c r="AJ46"/>
  <c r="AJ47"/>
  <c r="AJ48"/>
  <c r="A44" i="44"/>
  <c r="B44"/>
  <c r="AK36" i="43"/>
  <c r="AK37"/>
  <c r="AK38"/>
  <c r="AK46"/>
  <c r="AK47"/>
  <c r="AK48"/>
  <c r="A45" i="44"/>
  <c r="B45"/>
  <c r="AL10" i="43"/>
  <c r="J43" i="42"/>
  <c r="AL11" i="43" s="1"/>
  <c r="AL12"/>
  <c r="AL39" s="1"/>
  <c r="AL36"/>
  <c r="AL37"/>
  <c r="AL38"/>
  <c r="AL44"/>
  <c r="AL21"/>
  <c r="AL45" s="1"/>
  <c r="AL46"/>
  <c r="AL47"/>
  <c r="AL48"/>
  <c r="A46" i="44"/>
  <c r="B46"/>
  <c r="AM10" i="43"/>
  <c r="J44" i="42"/>
  <c r="AM11" i="43" s="1"/>
  <c r="AM12"/>
  <c r="AM39" s="1"/>
  <c r="AM36"/>
  <c r="AM37"/>
  <c r="AM38"/>
  <c r="AM44"/>
  <c r="AM21"/>
  <c r="AM45" s="1"/>
  <c r="AM46"/>
  <c r="AM47"/>
  <c r="AM48"/>
  <c r="A47" i="44"/>
  <c r="B47"/>
  <c r="AN36" i="43"/>
  <c r="AN37"/>
  <c r="AN38"/>
  <c r="AN46"/>
  <c r="AN47"/>
  <c r="AN48"/>
  <c r="A48" i="44"/>
  <c r="B48"/>
  <c r="AO36" i="43"/>
  <c r="AO37"/>
  <c r="AO38"/>
  <c r="AO46"/>
  <c r="AO47"/>
  <c r="AO48"/>
  <c r="A49" i="44"/>
  <c r="B49"/>
  <c r="AP36" i="43"/>
  <c r="AP37"/>
  <c r="AP38"/>
  <c r="AP46"/>
  <c r="AP47"/>
  <c r="AP48"/>
  <c r="A50" i="44"/>
  <c r="B50"/>
  <c r="AQ36" i="43"/>
  <c r="AQ37"/>
  <c r="AQ38"/>
  <c r="AQ46"/>
  <c r="AQ47"/>
  <c r="AQ48"/>
  <c r="A51" i="44"/>
  <c r="B51"/>
  <c r="AR36" i="43"/>
  <c r="AR37"/>
  <c r="AR38"/>
  <c r="AR46"/>
  <c r="AR47"/>
  <c r="AR48"/>
  <c r="A52" i="44"/>
  <c r="B52"/>
  <c r="AS12" i="43"/>
  <c r="AS39" s="1"/>
  <c r="AS36"/>
  <c r="AS37"/>
  <c r="AS38"/>
  <c r="AS44"/>
  <c r="AS46"/>
  <c r="AS47"/>
  <c r="AS48"/>
  <c r="A53" i="44"/>
  <c r="B53"/>
  <c r="AT12" i="43"/>
  <c r="AT39" s="1"/>
  <c r="AT36"/>
  <c r="AT37"/>
  <c r="AT38"/>
  <c r="AT44"/>
  <c r="AT46"/>
  <c r="AT47"/>
  <c r="AT48"/>
  <c r="A54" i="44"/>
  <c r="B54"/>
  <c r="AU10" i="43"/>
  <c r="J52" i="42"/>
  <c r="AU11" i="43" s="1"/>
  <c r="AU12"/>
  <c r="AU39" s="1"/>
  <c r="AU36"/>
  <c r="AU37"/>
  <c r="AU38"/>
  <c r="AU44"/>
  <c r="AU21"/>
  <c r="AU45" s="1"/>
  <c r="AU49" s="1"/>
  <c r="AU46"/>
  <c r="AU47"/>
  <c r="AU48"/>
  <c r="A55" i="44"/>
  <c r="B55"/>
  <c r="AV36" i="43"/>
  <c r="AV37"/>
  <c r="AV38"/>
  <c r="AV46"/>
  <c r="AV47"/>
  <c r="AV48"/>
  <c r="A56" i="44"/>
  <c r="B56"/>
  <c r="AW36" i="43"/>
  <c r="AW37"/>
  <c r="AW38"/>
  <c r="AW46"/>
  <c r="AW47"/>
  <c r="AW48"/>
  <c r="A57" i="44"/>
  <c r="B57"/>
  <c r="AX36" i="43"/>
  <c r="AX37"/>
  <c r="AX38"/>
  <c r="AX46"/>
  <c r="AX47"/>
  <c r="AX48"/>
  <c r="A58" i="44"/>
  <c r="B58"/>
  <c r="AY10" i="43"/>
  <c r="J56" i="42"/>
  <c r="AY11" i="43" s="1"/>
  <c r="AY36"/>
  <c r="AY37"/>
  <c r="AY38"/>
  <c r="AY46"/>
  <c r="AY47"/>
  <c r="AY48"/>
  <c r="A59" i="44"/>
  <c r="B59"/>
  <c r="AZ36" i="43"/>
  <c r="AZ37"/>
  <c r="AZ38"/>
  <c r="AZ46"/>
  <c r="AZ47"/>
  <c r="AZ48"/>
  <c r="A60" i="44"/>
  <c r="B60"/>
  <c r="BA36" i="43"/>
  <c r="BA37"/>
  <c r="BA38"/>
  <c r="BA46"/>
  <c r="BA47"/>
  <c r="BA48"/>
  <c r="A61" i="44"/>
  <c r="B61"/>
  <c r="BB36" i="43"/>
  <c r="BB37"/>
  <c r="BB38"/>
  <c r="BB46"/>
  <c r="BB47"/>
  <c r="BB48"/>
  <c r="A62" i="44"/>
  <c r="B62"/>
  <c r="BC36" i="43"/>
  <c r="BC37"/>
  <c r="BC38"/>
  <c r="BC46"/>
  <c r="BC47"/>
  <c r="BC48"/>
  <c r="A63" i="44"/>
  <c r="B63"/>
  <c r="BD36" i="43"/>
  <c r="BD37"/>
  <c r="BD38"/>
  <c r="BD46"/>
  <c r="BD47"/>
  <c r="BD48"/>
  <c r="A64" i="44"/>
  <c r="B64"/>
  <c r="BE36" i="43"/>
  <c r="BE37"/>
  <c r="BE38"/>
  <c r="BE46"/>
  <c r="BE47"/>
  <c r="BE48"/>
  <c r="A65" i="44"/>
  <c r="B65"/>
  <c r="BF36" i="43"/>
  <c r="BF37"/>
  <c r="BF38"/>
  <c r="BF46"/>
  <c r="BF47"/>
  <c r="BF48"/>
  <c r="A66" i="44"/>
  <c r="B66"/>
  <c r="BG10" i="43"/>
  <c r="J64" i="42"/>
  <c r="BG11" i="43" s="1"/>
  <c r="BG12"/>
  <c r="BG39" s="1"/>
  <c r="BG36"/>
  <c r="BG37"/>
  <c r="BG38"/>
  <c r="BG46"/>
  <c r="BG47"/>
  <c r="BG48"/>
  <c r="A67" i="44"/>
  <c r="B67"/>
  <c r="BH36" i="43"/>
  <c r="BH37"/>
  <c r="BH38"/>
  <c r="BH46"/>
  <c r="BH47"/>
  <c r="BH48"/>
  <c r="A68" i="44"/>
  <c r="B68"/>
  <c r="BI10" i="43"/>
  <c r="J66" i="42"/>
  <c r="BI11" i="43" s="1"/>
  <c r="BI12"/>
  <c r="BI39" s="1"/>
  <c r="BI36"/>
  <c r="BI37"/>
  <c r="BI38"/>
  <c r="BI46"/>
  <c r="BI47"/>
  <c r="BI48"/>
  <c r="A69" i="44"/>
  <c r="B69"/>
  <c r="BJ10" i="43"/>
  <c r="J67" i="42"/>
  <c r="BJ11" i="43" s="1"/>
  <c r="BJ12"/>
  <c r="BJ39" s="1"/>
  <c r="BJ36"/>
  <c r="BJ37"/>
  <c r="BJ38"/>
  <c r="BJ46"/>
  <c r="BJ47"/>
  <c r="BJ48"/>
  <c r="A70" i="44"/>
  <c r="B70"/>
  <c r="BK36" i="43"/>
  <c r="BK37"/>
  <c r="BK38"/>
  <c r="BK46"/>
  <c r="BK47"/>
  <c r="BK48"/>
  <c r="A71" i="44"/>
  <c r="B71"/>
  <c r="BL36" i="43"/>
  <c r="BL37"/>
  <c r="BL38"/>
  <c r="BL46"/>
  <c r="BL47"/>
  <c r="BL48"/>
  <c r="A72" i="44"/>
  <c r="B72"/>
  <c r="BM36" i="43"/>
  <c r="BM37"/>
  <c r="BM38"/>
  <c r="BM46"/>
  <c r="BM47"/>
  <c r="BM48"/>
  <c r="A73" i="44"/>
  <c r="B73"/>
  <c r="BN10" i="43"/>
  <c r="J71" i="42"/>
  <c r="BN11" i="43" s="1"/>
  <c r="BN36"/>
  <c r="BN37"/>
  <c r="BN38"/>
  <c r="BN46"/>
  <c r="BN47"/>
  <c r="BN48"/>
  <c r="A74" i="44"/>
  <c r="B74"/>
  <c r="BO36" i="43"/>
  <c r="BO37"/>
  <c r="BO38"/>
  <c r="BO46"/>
  <c r="BO47"/>
  <c r="BO48"/>
  <c r="A75" i="44"/>
  <c r="B75"/>
  <c r="BP36" i="43"/>
  <c r="BP37"/>
  <c r="BP38"/>
  <c r="BP46"/>
  <c r="BP47"/>
  <c r="BP48"/>
  <c r="A76" i="44"/>
  <c r="B76"/>
  <c r="BQ36" i="43"/>
  <c r="BQ37"/>
  <c r="BQ38"/>
  <c r="BQ46"/>
  <c r="BQ47"/>
  <c r="BQ48"/>
  <c r="A77" i="44"/>
  <c r="B77"/>
  <c r="BR12" i="43"/>
  <c r="BR39" s="1"/>
  <c r="BR36"/>
  <c r="BR37"/>
  <c r="BR38"/>
  <c r="BR46"/>
  <c r="BR47"/>
  <c r="BR48"/>
  <c r="A78" i="44"/>
  <c r="B78"/>
  <c r="BS12" i="43"/>
  <c r="BS39"/>
  <c r="BS36"/>
  <c r="BS37"/>
  <c r="BS38"/>
  <c r="BS44"/>
  <c r="BS46"/>
  <c r="BS47"/>
  <c r="BS48"/>
  <c r="A79" i="44"/>
  <c r="B79"/>
  <c r="BT12" i="43"/>
  <c r="BT39"/>
  <c r="BT36"/>
  <c r="BT37"/>
  <c r="BT38"/>
  <c r="BT44"/>
  <c r="BT46"/>
  <c r="BT47"/>
  <c r="BT48"/>
  <c r="A80" i="44"/>
  <c r="B80"/>
  <c r="BU12" i="43"/>
  <c r="BU39" s="1"/>
  <c r="BU36"/>
  <c r="BU37"/>
  <c r="BU38"/>
  <c r="BU44"/>
  <c r="BU46"/>
  <c r="BU47"/>
  <c r="BU48"/>
  <c r="A81" i="44"/>
  <c r="B81"/>
  <c r="BV12" i="43"/>
  <c r="BV39" s="1"/>
  <c r="BV36"/>
  <c r="BV37"/>
  <c r="BV38"/>
  <c r="BV44"/>
  <c r="BV46"/>
  <c r="BV47"/>
  <c r="BV48"/>
  <c r="A82" i="44"/>
  <c r="B82"/>
  <c r="BW36" i="43"/>
  <c r="BW37"/>
  <c r="BW38"/>
  <c r="BW46"/>
  <c r="BW47"/>
  <c r="BW48"/>
  <c r="A83" i="44"/>
  <c r="B83"/>
  <c r="BX10" i="43"/>
  <c r="J81" i="42"/>
  <c r="BX11" i="43" s="1"/>
  <c r="BX36"/>
  <c r="BX37"/>
  <c r="BX38"/>
  <c r="BX46"/>
  <c r="BX47"/>
  <c r="BX48"/>
  <c r="A84" i="44"/>
  <c r="B84"/>
  <c r="BY12" i="43"/>
  <c r="BY39"/>
  <c r="BY36"/>
  <c r="BY37"/>
  <c r="BY38"/>
  <c r="BY44"/>
  <c r="BY46"/>
  <c r="BY47"/>
  <c r="BY48"/>
  <c r="A85" i="44"/>
  <c r="B85"/>
  <c r="BZ12" i="43"/>
  <c r="BZ39"/>
  <c r="BZ36"/>
  <c r="BZ37"/>
  <c r="BZ38"/>
  <c r="BZ46"/>
  <c r="BZ47"/>
  <c r="BZ48"/>
  <c r="B88" i="44"/>
  <c r="B89"/>
  <c r="B4" i="4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I7" i="42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G69" i="46"/>
  <c r="G98"/>
  <c r="G99"/>
  <c r="B7" i="16"/>
  <c r="D7"/>
  <c r="E7"/>
  <c r="F7"/>
  <c r="G7"/>
  <c r="N7"/>
  <c r="O7"/>
  <c r="P7"/>
  <c r="Q7"/>
  <c r="B9"/>
  <c r="B13"/>
  <c r="B17"/>
  <c r="N18"/>
  <c r="N19"/>
  <c r="N26"/>
  <c r="E27"/>
  <c r="O27"/>
  <c r="E28"/>
  <c r="F28"/>
  <c r="O28"/>
  <c r="P28"/>
  <c r="E29"/>
  <c r="O29"/>
  <c r="C33"/>
  <c r="F33"/>
  <c r="M33"/>
  <c r="P33"/>
  <c r="C34"/>
  <c r="F34"/>
  <c r="M34"/>
  <c r="P34"/>
  <c r="B42"/>
  <c r="D42"/>
  <c r="E42"/>
  <c r="F42"/>
  <c r="G42"/>
  <c r="N42"/>
  <c r="O42"/>
  <c r="P42"/>
  <c r="Q42"/>
  <c r="B76"/>
  <c r="D76"/>
  <c r="E76"/>
  <c r="F76"/>
  <c r="G76"/>
  <c r="N76"/>
  <c r="O76"/>
  <c r="P76"/>
  <c r="Q76"/>
  <c r="B109"/>
  <c r="D109"/>
  <c r="E109"/>
  <c r="F109"/>
  <c r="G109"/>
  <c r="N109"/>
  <c r="O109"/>
  <c r="P109"/>
  <c r="Q109"/>
  <c r="B143"/>
  <c r="D143"/>
  <c r="E143"/>
  <c r="F143"/>
  <c r="G143"/>
  <c r="N143"/>
  <c r="O143"/>
  <c r="P143"/>
  <c r="Q143"/>
  <c r="B177"/>
  <c r="D177"/>
  <c r="E177"/>
  <c r="F177"/>
  <c r="G177"/>
  <c r="N177"/>
  <c r="O177"/>
  <c r="P177"/>
  <c r="Q177"/>
  <c r="B280"/>
  <c r="D280"/>
  <c r="E280"/>
  <c r="F280"/>
  <c r="G280"/>
  <c r="N280"/>
  <c r="O280"/>
  <c r="P280"/>
  <c r="Q280"/>
  <c r="B315"/>
  <c r="D315"/>
  <c r="E315"/>
  <c r="F315"/>
  <c r="G315"/>
  <c r="N315"/>
  <c r="O315"/>
  <c r="P315"/>
  <c r="Q315"/>
  <c r="B350"/>
  <c r="D350"/>
  <c r="E350"/>
  <c r="F350"/>
  <c r="G350"/>
  <c r="N350"/>
  <c r="O350"/>
  <c r="P350"/>
  <c r="Q350"/>
  <c r="B385"/>
  <c r="D385"/>
  <c r="E385"/>
  <c r="F385"/>
  <c r="G385"/>
  <c r="N385"/>
  <c r="O385"/>
  <c r="P385"/>
  <c r="Q385"/>
  <c r="B421"/>
  <c r="D421"/>
  <c r="E421"/>
  <c r="F421"/>
  <c r="G421"/>
  <c r="N421"/>
  <c r="O421"/>
  <c r="P421"/>
  <c r="Q421"/>
  <c r="B454"/>
  <c r="D454"/>
  <c r="E454"/>
  <c r="F454"/>
  <c r="G454"/>
  <c r="N454"/>
  <c r="O454"/>
  <c r="P454"/>
  <c r="Q454"/>
  <c r="B487"/>
  <c r="D487"/>
  <c r="E487"/>
  <c r="F487"/>
  <c r="G487"/>
  <c r="N487"/>
  <c r="O487"/>
  <c r="P487"/>
  <c r="Q487"/>
  <c r="B514"/>
  <c r="B517"/>
  <c r="B529"/>
  <c r="B530"/>
  <c r="D530"/>
  <c r="N530"/>
  <c r="B531"/>
  <c r="D531"/>
  <c r="N531"/>
  <c r="E532"/>
  <c r="O532"/>
  <c r="E533"/>
  <c r="F533"/>
  <c r="O533"/>
  <c r="P533"/>
  <c r="E534"/>
  <c r="O534"/>
  <c r="C538"/>
  <c r="F538"/>
  <c r="M538"/>
  <c r="P538"/>
  <c r="C539"/>
  <c r="F539"/>
  <c r="M539"/>
  <c r="P539"/>
  <c r="B547"/>
  <c r="D547"/>
  <c r="E547"/>
  <c r="F547"/>
  <c r="G547"/>
  <c r="N547"/>
  <c r="O547"/>
  <c r="P547"/>
  <c r="Q547"/>
  <c r="B549"/>
  <c r="B551"/>
  <c r="B563"/>
  <c r="B564"/>
  <c r="D564"/>
  <c r="N564"/>
  <c r="B565"/>
  <c r="D565"/>
  <c r="N565"/>
  <c r="E566"/>
  <c r="O566"/>
  <c r="E567"/>
  <c r="F567"/>
  <c r="O567"/>
  <c r="P567"/>
  <c r="E568"/>
  <c r="O568"/>
  <c r="C572"/>
  <c r="F572"/>
  <c r="M572"/>
  <c r="P572"/>
  <c r="C573"/>
  <c r="F573"/>
  <c r="M573"/>
  <c r="P573"/>
  <c r="B581"/>
  <c r="D581"/>
  <c r="E581"/>
  <c r="F581"/>
  <c r="G581"/>
  <c r="N581"/>
  <c r="O581"/>
  <c r="P581"/>
  <c r="Q581"/>
  <c r="B583"/>
  <c r="B585"/>
  <c r="B597"/>
  <c r="B598"/>
  <c r="D598"/>
  <c r="N598"/>
  <c r="B599"/>
  <c r="D599"/>
  <c r="N599"/>
  <c r="E600"/>
  <c r="O600"/>
  <c r="E601"/>
  <c r="F601"/>
  <c r="O601"/>
  <c r="P601"/>
  <c r="E602"/>
  <c r="O602"/>
  <c r="C606"/>
  <c r="F606"/>
  <c r="M606"/>
  <c r="P606"/>
  <c r="C607"/>
  <c r="F607"/>
  <c r="M607"/>
  <c r="P607"/>
  <c r="B615"/>
  <c r="D615"/>
  <c r="E615"/>
  <c r="F615"/>
  <c r="G615"/>
  <c r="N615"/>
  <c r="O615"/>
  <c r="P615"/>
  <c r="Q615"/>
  <c r="B617"/>
  <c r="B619"/>
  <c r="B631"/>
  <c r="B632"/>
  <c r="D632"/>
  <c r="N632"/>
  <c r="B633"/>
  <c r="D633"/>
  <c r="N633"/>
  <c r="E634"/>
  <c r="O634"/>
  <c r="E635"/>
  <c r="F635"/>
  <c r="O635"/>
  <c r="P635"/>
  <c r="E636"/>
  <c r="O636"/>
  <c r="C640"/>
  <c r="F640"/>
  <c r="M640"/>
  <c r="P640"/>
  <c r="C641"/>
  <c r="F641"/>
  <c r="M641"/>
  <c r="P641"/>
  <c r="B649"/>
  <c r="D649"/>
  <c r="E649"/>
  <c r="F649"/>
  <c r="G649"/>
  <c r="N649"/>
  <c r="O649"/>
  <c r="P649"/>
  <c r="Q649"/>
  <c r="B651"/>
  <c r="B653"/>
  <c r="B665"/>
  <c r="B666"/>
  <c r="D666"/>
  <c r="N666"/>
  <c r="B667"/>
  <c r="D667"/>
  <c r="N667"/>
  <c r="E668"/>
  <c r="O668"/>
  <c r="E669"/>
  <c r="F669"/>
  <c r="O669"/>
  <c r="P669"/>
  <c r="E670"/>
  <c r="O670"/>
  <c r="C674"/>
  <c r="F674"/>
  <c r="M674"/>
  <c r="P674"/>
  <c r="C675"/>
  <c r="F675"/>
  <c r="M675"/>
  <c r="P675"/>
  <c r="B683"/>
  <c r="D683"/>
  <c r="E683"/>
  <c r="F683"/>
  <c r="G683"/>
  <c r="N683"/>
  <c r="O683"/>
  <c r="P683"/>
  <c r="Q683"/>
  <c r="B685"/>
  <c r="B687"/>
  <c r="B699"/>
  <c r="B700"/>
  <c r="D700"/>
  <c r="N700"/>
  <c r="B701"/>
  <c r="D701"/>
  <c r="N701"/>
  <c r="E702"/>
  <c r="O702"/>
  <c r="E703"/>
  <c r="F703"/>
  <c r="O703"/>
  <c r="P703"/>
  <c r="E704"/>
  <c r="O704"/>
  <c r="C708"/>
  <c r="F708"/>
  <c r="M708"/>
  <c r="P708"/>
  <c r="C709"/>
  <c r="F709"/>
  <c r="M709"/>
  <c r="P709"/>
  <c r="B717"/>
  <c r="D717"/>
  <c r="E717"/>
  <c r="F717"/>
  <c r="G717"/>
  <c r="N717"/>
  <c r="O717"/>
  <c r="P717"/>
  <c r="Q717"/>
  <c r="B719"/>
  <c r="B721"/>
  <c r="B733"/>
  <c r="B734"/>
  <c r="D734"/>
  <c r="N734"/>
  <c r="B735"/>
  <c r="D735"/>
  <c r="N735"/>
  <c r="E736"/>
  <c r="O736"/>
  <c r="E737"/>
  <c r="F737"/>
  <c r="O737"/>
  <c r="P737"/>
  <c r="E738"/>
  <c r="O738"/>
  <c r="C742"/>
  <c r="F742"/>
  <c r="M742"/>
  <c r="P742"/>
  <c r="C743"/>
  <c r="F743"/>
  <c r="M743"/>
  <c r="P743"/>
  <c r="B751"/>
  <c r="D751"/>
  <c r="E751"/>
  <c r="F751"/>
  <c r="G751"/>
  <c r="N751"/>
  <c r="O751"/>
  <c r="P751"/>
  <c r="Q751"/>
  <c r="B753"/>
  <c r="B755"/>
  <c r="B767"/>
  <c r="D768"/>
  <c r="N768"/>
  <c r="B769"/>
  <c r="D769"/>
  <c r="N769"/>
  <c r="E770"/>
  <c r="O770"/>
  <c r="E771"/>
  <c r="F771"/>
  <c r="O771"/>
  <c r="P771"/>
  <c r="E772"/>
  <c r="O772"/>
  <c r="C776"/>
  <c r="F776"/>
  <c r="M776"/>
  <c r="P776"/>
  <c r="C777"/>
  <c r="F777"/>
  <c r="M777"/>
  <c r="P777"/>
  <c r="B785"/>
  <c r="D785"/>
  <c r="E785"/>
  <c r="F785"/>
  <c r="G785"/>
  <c r="N785"/>
  <c r="O785"/>
  <c r="P785"/>
  <c r="Q785"/>
  <c r="B787"/>
  <c r="B789"/>
  <c r="B801"/>
  <c r="B802"/>
  <c r="D802"/>
  <c r="N802"/>
  <c r="B803"/>
  <c r="D803"/>
  <c r="N803"/>
  <c r="E804"/>
  <c r="O804"/>
  <c r="E805"/>
  <c r="F805"/>
  <c r="O805"/>
  <c r="P805"/>
  <c r="E806"/>
  <c r="O806"/>
  <c r="C810"/>
  <c r="F810"/>
  <c r="M810"/>
  <c r="P810"/>
  <c r="C811"/>
  <c r="F811"/>
  <c r="M811"/>
  <c r="P811"/>
  <c r="B819"/>
  <c r="D819"/>
  <c r="E819"/>
  <c r="F819"/>
  <c r="G819"/>
  <c r="N819"/>
  <c r="O819"/>
  <c r="P819"/>
  <c r="Q819"/>
  <c r="B821"/>
  <c r="B823"/>
  <c r="B835"/>
  <c r="B836"/>
  <c r="D836"/>
  <c r="N836"/>
  <c r="B837"/>
  <c r="D837"/>
  <c r="N837"/>
  <c r="E838"/>
  <c r="O838"/>
  <c r="E839"/>
  <c r="F839"/>
  <c r="O839"/>
  <c r="P839"/>
  <c r="E840"/>
  <c r="O840"/>
  <c r="C844"/>
  <c r="F844"/>
  <c r="M844"/>
  <c r="P844"/>
  <c r="C845"/>
  <c r="F845"/>
  <c r="M845"/>
  <c r="P845"/>
  <c r="B853"/>
  <c r="D853"/>
  <c r="E853"/>
  <c r="F853"/>
  <c r="G853"/>
  <c r="N853"/>
  <c r="O853"/>
  <c r="P853"/>
  <c r="Q853"/>
  <c r="B855"/>
  <c r="B857"/>
  <c r="B869"/>
  <c r="B870"/>
  <c r="D870"/>
  <c r="N870"/>
  <c r="B871"/>
  <c r="D871"/>
  <c r="N871"/>
  <c r="E872"/>
  <c r="O872"/>
  <c r="E873"/>
  <c r="F873"/>
  <c r="O873"/>
  <c r="P873"/>
  <c r="E874"/>
  <c r="O874"/>
  <c r="C878"/>
  <c r="F878"/>
  <c r="M878"/>
  <c r="P878"/>
  <c r="C879"/>
  <c r="F879"/>
  <c r="M879"/>
  <c r="P879"/>
  <c r="B887"/>
  <c r="D887"/>
  <c r="E887"/>
  <c r="F887"/>
  <c r="G887"/>
  <c r="N887"/>
  <c r="O887"/>
  <c r="P887"/>
  <c r="Q887"/>
  <c r="B889"/>
  <c r="B891"/>
  <c r="E898"/>
  <c r="O898"/>
  <c r="E899"/>
  <c r="F899"/>
  <c r="O899"/>
  <c r="P899"/>
  <c r="E900"/>
  <c r="O900"/>
  <c r="C904"/>
  <c r="F904"/>
  <c r="M904"/>
  <c r="P904"/>
  <c r="C905"/>
  <c r="F905"/>
  <c r="M905"/>
  <c r="P905"/>
  <c r="B913"/>
  <c r="D913"/>
  <c r="E913"/>
  <c r="F913"/>
  <c r="G913"/>
  <c r="N913"/>
  <c r="O913"/>
  <c r="P913"/>
  <c r="Q913"/>
  <c r="B915"/>
  <c r="B917"/>
  <c r="E924"/>
  <c r="O924"/>
  <c r="E925"/>
  <c r="F925"/>
  <c r="O925"/>
  <c r="P925"/>
  <c r="E926"/>
  <c r="O926"/>
  <c r="C930"/>
  <c r="F930"/>
  <c r="M930"/>
  <c r="P930"/>
  <c r="C931"/>
  <c r="F931"/>
  <c r="M931"/>
  <c r="P931"/>
  <c r="B939"/>
  <c r="D939"/>
  <c r="E939"/>
  <c r="F939"/>
  <c r="G939"/>
  <c r="N939"/>
  <c r="O939"/>
  <c r="P939"/>
  <c r="Q939"/>
  <c r="B941"/>
  <c r="B943"/>
  <c r="E950"/>
  <c r="O950"/>
  <c r="E951"/>
  <c r="F951"/>
  <c r="O951"/>
  <c r="P951"/>
  <c r="E952"/>
  <c r="O952"/>
  <c r="C956"/>
  <c r="F956"/>
  <c r="M956"/>
  <c r="P956"/>
  <c r="C957"/>
  <c r="F957"/>
  <c r="M957"/>
  <c r="P957"/>
  <c r="B965"/>
  <c r="D965"/>
  <c r="N965"/>
  <c r="O965"/>
  <c r="P965"/>
  <c r="Q965"/>
  <c r="B967"/>
  <c r="B969"/>
  <c r="E976"/>
  <c r="O976"/>
  <c r="E977"/>
  <c r="F977"/>
  <c r="O977"/>
  <c r="P977"/>
  <c r="E978"/>
  <c r="O978"/>
  <c r="C982"/>
  <c r="F982"/>
  <c r="M982"/>
  <c r="P982"/>
  <c r="C983"/>
  <c r="F983"/>
  <c r="M983"/>
  <c r="P983"/>
  <c r="B990"/>
  <c r="D990"/>
  <c r="E990"/>
  <c r="F990"/>
  <c r="G990"/>
  <c r="N990"/>
  <c r="O990"/>
  <c r="P990"/>
  <c r="Q990"/>
  <c r="B992"/>
  <c r="P995"/>
  <c r="Q995" s="1"/>
  <c r="Q994" s="1"/>
  <c r="P997"/>
  <c r="B994"/>
  <c r="B995"/>
  <c r="D995"/>
  <c r="N995"/>
  <c r="E996"/>
  <c r="O996"/>
  <c r="E997"/>
  <c r="F997"/>
  <c r="O997"/>
  <c r="E998"/>
  <c r="O998"/>
  <c r="C1002"/>
  <c r="F1002"/>
  <c r="M1002"/>
  <c r="P1002"/>
  <c r="C1003"/>
  <c r="F1003"/>
  <c r="M1003"/>
  <c r="P1003"/>
  <c r="B1010"/>
  <c r="D1010"/>
  <c r="E1010"/>
  <c r="F1010"/>
  <c r="G1010"/>
  <c r="N1010"/>
  <c r="O1010"/>
  <c r="P1010"/>
  <c r="Q1010"/>
  <c r="B1012"/>
  <c r="E1014"/>
  <c r="O1014"/>
  <c r="E1015"/>
  <c r="F1015"/>
  <c r="O1015"/>
  <c r="P1015"/>
  <c r="E1016"/>
  <c r="O1016"/>
  <c r="C1020"/>
  <c r="F1020"/>
  <c r="M1020"/>
  <c r="P1020"/>
  <c r="C1021"/>
  <c r="F1021"/>
  <c r="M1021"/>
  <c r="P1021"/>
  <c r="B1028"/>
  <c r="D1028"/>
  <c r="E1028"/>
  <c r="F1028"/>
  <c r="G1028"/>
  <c r="N1028"/>
  <c r="O1028"/>
  <c r="P1028"/>
  <c r="Q1028"/>
  <c r="B1030"/>
  <c r="P1033"/>
  <c r="Q1033" s="1"/>
  <c r="Q1032" s="1"/>
  <c r="B1032"/>
  <c r="E1034"/>
  <c r="O1034"/>
  <c r="E1035"/>
  <c r="F1035"/>
  <c r="O1035"/>
  <c r="P1035"/>
  <c r="E1036"/>
  <c r="O1036"/>
  <c r="C1040"/>
  <c r="F1040"/>
  <c r="M1040"/>
  <c r="P1040"/>
  <c r="C1041"/>
  <c r="F1041"/>
  <c r="M1041"/>
  <c r="P1041"/>
  <c r="B1048"/>
  <c r="D1048"/>
  <c r="E1048"/>
  <c r="F1048"/>
  <c r="G1048"/>
  <c r="N1048"/>
  <c r="O1048"/>
  <c r="P1048"/>
  <c r="Q1048"/>
  <c r="B1050"/>
  <c r="B1052"/>
  <c r="E1054"/>
  <c r="O1054"/>
  <c r="E1055"/>
  <c r="F1055"/>
  <c r="O1055"/>
  <c r="P1055"/>
  <c r="E1056"/>
  <c r="O1056"/>
  <c r="C1060"/>
  <c r="F1060"/>
  <c r="M1060"/>
  <c r="P1060"/>
  <c r="C1061"/>
  <c r="F1061"/>
  <c r="M1061"/>
  <c r="P1061"/>
  <c r="B1068"/>
  <c r="D1068"/>
  <c r="E1068"/>
  <c r="F1068"/>
  <c r="G1068"/>
  <c r="N1068"/>
  <c r="O1068"/>
  <c r="P1068"/>
  <c r="Q1068"/>
  <c r="B1070"/>
  <c r="B1072"/>
  <c r="B1076"/>
  <c r="B1077"/>
  <c r="D1077"/>
  <c r="N1077"/>
  <c r="E1078"/>
  <c r="O1078"/>
  <c r="E1079"/>
  <c r="F1079"/>
  <c r="O1079"/>
  <c r="P1079"/>
  <c r="E1080"/>
  <c r="O1080"/>
  <c r="C1084"/>
  <c r="F1084"/>
  <c r="M1084"/>
  <c r="P1084"/>
  <c r="C1085"/>
  <c r="F1085"/>
  <c r="M1085"/>
  <c r="P1085"/>
  <c r="G9" i="8"/>
  <c r="G10"/>
  <c r="G12"/>
  <c r="G13"/>
  <c r="G14"/>
  <c r="G16"/>
  <c r="G17"/>
  <c r="H12" i="45"/>
  <c r="I12" s="1"/>
  <c r="H14"/>
  <c r="I14" s="1"/>
  <c r="H16"/>
  <c r="I16"/>
  <c r="H18"/>
  <c r="I18" s="1"/>
  <c r="H20"/>
  <c r="I20"/>
  <c r="H22"/>
  <c r="I22" s="1"/>
  <c r="H24"/>
  <c r="I24"/>
  <c r="H26"/>
  <c r="I26" s="1"/>
  <c r="H28"/>
  <c r="I28"/>
  <c r="H32"/>
  <c r="I32" s="1"/>
  <c r="H34"/>
  <c r="I34"/>
  <c r="H36"/>
  <c r="I36" s="1"/>
  <c r="H38"/>
  <c r="I38"/>
  <c r="H40"/>
  <c r="I40" s="1"/>
  <c r="H42"/>
  <c r="I42"/>
  <c r="H46"/>
  <c r="I46" s="1"/>
  <c r="H50"/>
  <c r="I50"/>
  <c r="H52"/>
  <c r="I52" s="1"/>
  <c r="H54"/>
  <c r="I54"/>
  <c r="H56"/>
  <c r="I56" s="1"/>
  <c r="H58"/>
  <c r="I58"/>
  <c r="H60"/>
  <c r="I60" s="1"/>
  <c r="H64"/>
  <c r="I64"/>
  <c r="H66"/>
  <c r="I66" s="1"/>
  <c r="H68"/>
  <c r="I68"/>
  <c r="H70"/>
  <c r="I70" s="1"/>
  <c r="H72"/>
  <c r="I72"/>
  <c r="H74"/>
  <c r="I74" s="1"/>
  <c r="H76"/>
  <c r="I76"/>
  <c r="H78"/>
  <c r="I78" s="1"/>
  <c r="H80"/>
  <c r="I80"/>
  <c r="H82"/>
  <c r="I82" s="1"/>
  <c r="H84"/>
  <c r="I84"/>
  <c r="H86"/>
  <c r="I86" s="1"/>
  <c r="H88"/>
  <c r="I88"/>
  <c r="H90"/>
  <c r="I90" s="1"/>
  <c r="G19" i="46"/>
  <c r="G20"/>
  <c r="G29"/>
  <c r="E102"/>
  <c r="G39"/>
  <c r="G41"/>
  <c r="G42"/>
  <c r="G43"/>
  <c r="G45"/>
  <c r="G46"/>
  <c r="G47"/>
  <c r="G48"/>
  <c r="G51"/>
  <c r="G61"/>
  <c r="G70"/>
  <c r="G73"/>
  <c r="G77"/>
  <c r="G82"/>
  <c r="G85"/>
  <c r="G89"/>
  <c r="G94"/>
  <c r="G96"/>
  <c r="E101"/>
  <c r="G104"/>
  <c r="D11" i="30"/>
  <c r="D13"/>
  <c r="E13" s="1"/>
  <c r="F13" s="1"/>
  <c r="D14"/>
  <c r="H6" i="43" s="1"/>
  <c r="H40" s="1"/>
  <c r="D15" i="30"/>
  <c r="F6" i="43" s="1"/>
  <c r="F12" s="1"/>
  <c r="F39" s="1"/>
  <c r="D16" i="30"/>
  <c r="E16" s="1"/>
  <c r="W6" i="43"/>
  <c r="A1" i="48"/>
  <c r="C5"/>
  <c r="A6"/>
  <c r="B6"/>
  <c r="C6"/>
  <c r="A7"/>
  <c r="F10" i="47"/>
  <c r="F11"/>
  <c r="F17"/>
  <c r="H9"/>
  <c r="I9" s="1"/>
  <c r="H10"/>
  <c r="I10" s="1"/>
  <c r="H11"/>
  <c r="I11" s="1"/>
  <c r="H17"/>
  <c r="I17" s="1"/>
  <c r="K9"/>
  <c r="L9" s="1"/>
  <c r="K10"/>
  <c r="L10" s="1"/>
  <c r="K11"/>
  <c r="L11" s="1"/>
  <c r="K17"/>
  <c r="L17" s="1"/>
  <c r="N9"/>
  <c r="O9" s="1"/>
  <c r="N10"/>
  <c r="O10" s="1"/>
  <c r="N11"/>
  <c r="O11" s="1"/>
  <c r="N17"/>
  <c r="O17" s="1"/>
  <c r="A8" i="48"/>
  <c r="F49" i="47"/>
  <c r="F45" s="1"/>
  <c r="H49"/>
  <c r="I49" s="1"/>
  <c r="K49"/>
  <c r="L49" s="1"/>
  <c r="N49"/>
  <c r="O49" s="1"/>
  <c r="F58"/>
  <c r="F59"/>
  <c r="F60"/>
  <c r="F61"/>
  <c r="F62"/>
  <c r="F63"/>
  <c r="H58"/>
  <c r="I58" s="1"/>
  <c r="H59"/>
  <c r="I59" s="1"/>
  <c r="H60"/>
  <c r="I60" s="1"/>
  <c r="H61"/>
  <c r="I61" s="1"/>
  <c r="H62"/>
  <c r="I62" s="1"/>
  <c r="H63"/>
  <c r="I63" s="1"/>
  <c r="K58"/>
  <c r="L58" s="1"/>
  <c r="K59"/>
  <c r="L59" s="1"/>
  <c r="K60"/>
  <c r="L60" s="1"/>
  <c r="K61"/>
  <c r="L61" s="1"/>
  <c r="K62"/>
  <c r="L62" s="1"/>
  <c r="K63"/>
  <c r="L63" s="1"/>
  <c r="N58"/>
  <c r="O58" s="1"/>
  <c r="N59"/>
  <c r="O59" s="1"/>
  <c r="N60"/>
  <c r="O60" s="1"/>
  <c r="N61"/>
  <c r="O61" s="1"/>
  <c r="N62"/>
  <c r="O62" s="1"/>
  <c r="N63"/>
  <c r="O63" s="1"/>
  <c r="F65"/>
  <c r="F66"/>
  <c r="F67"/>
  <c r="F68"/>
  <c r="F69"/>
  <c r="F70"/>
  <c r="F71"/>
  <c r="F72"/>
  <c r="F73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N65"/>
  <c r="O65" s="1"/>
  <c r="N66"/>
  <c r="O66" s="1"/>
  <c r="N67"/>
  <c r="O67" s="1"/>
  <c r="N68"/>
  <c r="O68" s="1"/>
  <c r="N69"/>
  <c r="O69" s="1"/>
  <c r="N70"/>
  <c r="O70" s="1"/>
  <c r="N71"/>
  <c r="O71" s="1"/>
  <c r="N72"/>
  <c r="O72" s="1"/>
  <c r="N73"/>
  <c r="O73" s="1"/>
  <c r="F75"/>
  <c r="F76"/>
  <c r="F77"/>
  <c r="F78"/>
  <c r="F79"/>
  <c r="F80"/>
  <c r="H75"/>
  <c r="I75" s="1"/>
  <c r="H76"/>
  <c r="I76" s="1"/>
  <c r="H77"/>
  <c r="I77" s="1"/>
  <c r="H78"/>
  <c r="I78" s="1"/>
  <c r="H79"/>
  <c r="I79" s="1"/>
  <c r="H80"/>
  <c r="I80" s="1"/>
  <c r="K75"/>
  <c r="L75" s="1"/>
  <c r="K76"/>
  <c r="L76" s="1"/>
  <c r="K77"/>
  <c r="L77" s="1"/>
  <c r="K78"/>
  <c r="L78" s="1"/>
  <c r="K79"/>
  <c r="L79" s="1"/>
  <c r="K80"/>
  <c r="L80" s="1"/>
  <c r="N75"/>
  <c r="O75" s="1"/>
  <c r="N76"/>
  <c r="O76" s="1"/>
  <c r="N77"/>
  <c r="O77" s="1"/>
  <c r="N78"/>
  <c r="O78" s="1"/>
  <c r="N79"/>
  <c r="O79" s="1"/>
  <c r="N80"/>
  <c r="O80" s="1"/>
  <c r="F82"/>
  <c r="F83"/>
  <c r="F84"/>
  <c r="F85"/>
  <c r="F86"/>
  <c r="F87"/>
  <c r="F88"/>
  <c r="H82"/>
  <c r="I82" s="1"/>
  <c r="H83"/>
  <c r="I83" s="1"/>
  <c r="H84"/>
  <c r="I84" s="1"/>
  <c r="H85"/>
  <c r="I85" s="1"/>
  <c r="H86"/>
  <c r="I86" s="1"/>
  <c r="H87"/>
  <c r="I87" s="1"/>
  <c r="H88"/>
  <c r="I88" s="1"/>
  <c r="K82"/>
  <c r="L82" s="1"/>
  <c r="K83"/>
  <c r="L83" s="1"/>
  <c r="K84"/>
  <c r="L84" s="1"/>
  <c r="K85"/>
  <c r="L85" s="1"/>
  <c r="K86"/>
  <c r="L86" s="1"/>
  <c r="K87"/>
  <c r="L87" s="1"/>
  <c r="K88"/>
  <c r="L88" s="1"/>
  <c r="N82"/>
  <c r="O82" s="1"/>
  <c r="N83"/>
  <c r="O83" s="1"/>
  <c r="N84"/>
  <c r="O84" s="1"/>
  <c r="N85"/>
  <c r="O85" s="1"/>
  <c r="N86"/>
  <c r="O86" s="1"/>
  <c r="N87"/>
  <c r="O87" s="1"/>
  <c r="N88"/>
  <c r="O88" s="1"/>
  <c r="F90"/>
  <c r="F91"/>
  <c r="F92"/>
  <c r="F93"/>
  <c r="F94"/>
  <c r="F95"/>
  <c r="F96"/>
  <c r="F97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N90"/>
  <c r="O90" s="1"/>
  <c r="N91"/>
  <c r="O91" s="1"/>
  <c r="N92"/>
  <c r="O92" s="1"/>
  <c r="N93"/>
  <c r="O93" s="1"/>
  <c r="N94"/>
  <c r="O94" s="1"/>
  <c r="N95"/>
  <c r="O95" s="1"/>
  <c r="N96"/>
  <c r="O96" s="1"/>
  <c r="N97"/>
  <c r="O97" s="1"/>
  <c r="F99"/>
  <c r="F100"/>
  <c r="F101"/>
  <c r="F102"/>
  <c r="F103"/>
  <c r="F104"/>
  <c r="F105"/>
  <c r="F106"/>
  <c r="F107"/>
  <c r="F108"/>
  <c r="F109"/>
  <c r="F110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N99"/>
  <c r="O99" s="1"/>
  <c r="N100"/>
  <c r="O100" s="1"/>
  <c r="N101"/>
  <c r="O101" s="1"/>
  <c r="N102"/>
  <c r="O102" s="1"/>
  <c r="N103"/>
  <c r="O103" s="1"/>
  <c r="N104"/>
  <c r="O104" s="1"/>
  <c r="N105"/>
  <c r="O105" s="1"/>
  <c r="N106"/>
  <c r="O106" s="1"/>
  <c r="N107"/>
  <c r="O107" s="1"/>
  <c r="N108"/>
  <c r="O108" s="1"/>
  <c r="N109"/>
  <c r="O109" s="1"/>
  <c r="N110"/>
  <c r="O110" s="1"/>
  <c r="R99"/>
  <c r="R100"/>
  <c r="R101"/>
  <c r="R102"/>
  <c r="R103"/>
  <c r="R104"/>
  <c r="R105"/>
  <c r="R106"/>
  <c r="R107"/>
  <c r="R108"/>
  <c r="R109"/>
  <c r="R110"/>
  <c r="F112"/>
  <c r="F113"/>
  <c r="F114"/>
  <c r="F115"/>
  <c r="F116"/>
  <c r="F118"/>
  <c r="F119"/>
  <c r="F120"/>
  <c r="H112"/>
  <c r="I112" s="1"/>
  <c r="H113"/>
  <c r="I113" s="1"/>
  <c r="H114"/>
  <c r="I114" s="1"/>
  <c r="H115"/>
  <c r="I115" s="1"/>
  <c r="H116"/>
  <c r="I116" s="1"/>
  <c r="H118"/>
  <c r="I118" s="1"/>
  <c r="H119"/>
  <c r="I119" s="1"/>
  <c r="H120"/>
  <c r="I120" s="1"/>
  <c r="K112"/>
  <c r="L112" s="1"/>
  <c r="K113"/>
  <c r="L113" s="1"/>
  <c r="K114"/>
  <c r="L114" s="1"/>
  <c r="K115"/>
  <c r="L115" s="1"/>
  <c r="K116"/>
  <c r="L116" s="1"/>
  <c r="K118"/>
  <c r="L118" s="1"/>
  <c r="K119"/>
  <c r="L119" s="1"/>
  <c r="K120"/>
  <c r="L120" s="1"/>
  <c r="N112"/>
  <c r="O112" s="1"/>
  <c r="N113"/>
  <c r="O113" s="1"/>
  <c r="N114"/>
  <c r="O114" s="1"/>
  <c r="N115"/>
  <c r="O115" s="1"/>
  <c r="N116"/>
  <c r="O116" s="1"/>
  <c r="N118"/>
  <c r="O118" s="1"/>
  <c r="N119"/>
  <c r="O119" s="1"/>
  <c r="N120"/>
  <c r="O120" s="1"/>
  <c r="R118"/>
  <c r="F122"/>
  <c r="F123"/>
  <c r="H122"/>
  <c r="I122" s="1"/>
  <c r="H123"/>
  <c r="I123" s="1"/>
  <c r="K122"/>
  <c r="L122" s="1"/>
  <c r="K123"/>
  <c r="L123" s="1"/>
  <c r="N122"/>
  <c r="O122" s="1"/>
  <c r="N123"/>
  <c r="O123" s="1"/>
  <c r="R122"/>
  <c r="R123"/>
  <c r="H28"/>
  <c r="K28"/>
  <c r="N28"/>
  <c r="H45"/>
  <c r="K45"/>
  <c r="N45"/>
  <c r="H54"/>
  <c r="K54"/>
  <c r="N54"/>
  <c r="H64"/>
  <c r="K64"/>
  <c r="N64"/>
  <c r="H74"/>
  <c r="K74"/>
  <c r="N74"/>
  <c r="H81"/>
  <c r="K81"/>
  <c r="N81"/>
  <c r="H89"/>
  <c r="K89"/>
  <c r="N89"/>
  <c r="H98"/>
  <c r="K98"/>
  <c r="N98"/>
  <c r="H111"/>
  <c r="K111"/>
  <c r="N111"/>
  <c r="H121"/>
  <c r="K121"/>
  <c r="N121"/>
  <c r="E54" i="45"/>
  <c r="D49" i="43"/>
  <c r="G102" i="46"/>
  <c r="E46" i="45"/>
  <c r="F46" s="1"/>
  <c r="P559" i="16"/>
  <c r="Q559" s="1"/>
  <c r="P627"/>
  <c r="Q627" s="1"/>
  <c r="P865"/>
  <c r="Q865" s="1"/>
  <c r="P763"/>
  <c r="Q763" s="1"/>
  <c r="P661"/>
  <c r="Q661" s="1"/>
  <c r="P695"/>
  <c r="Q695" s="1"/>
  <c r="P593"/>
  <c r="Q593" s="1"/>
  <c r="P525"/>
  <c r="Q525" s="1"/>
  <c r="P797"/>
  <c r="Q797" s="1"/>
  <c r="P729"/>
  <c r="Q729" s="1"/>
  <c r="P831"/>
  <c r="Q831" s="1"/>
  <c r="P792"/>
  <c r="Q792" s="1"/>
  <c r="P690"/>
  <c r="Q690" s="1"/>
  <c r="P758"/>
  <c r="Q758" s="1"/>
  <c r="P973"/>
  <c r="Q973" s="1"/>
  <c r="P826"/>
  <c r="Q826" s="1"/>
  <c r="P947"/>
  <c r="Q947" s="1"/>
  <c r="P724"/>
  <c r="Q724" s="1"/>
  <c r="P588"/>
  <c r="Q588" s="1"/>
  <c r="P622"/>
  <c r="Q622" s="1"/>
  <c r="P895"/>
  <c r="Q895" s="1"/>
  <c r="P921"/>
  <c r="Q921" s="1"/>
  <c r="P520"/>
  <c r="Q520" s="1"/>
  <c r="P554"/>
  <c r="Q554" s="1"/>
  <c r="P860"/>
  <c r="Q860" s="1"/>
  <c r="P656"/>
  <c r="Q656" s="1"/>
  <c r="P16"/>
  <c r="Q16" s="1"/>
  <c r="P1075"/>
  <c r="Q1075" s="1"/>
  <c r="P728"/>
  <c r="Q728" s="1"/>
  <c r="P558"/>
  <c r="Q558" s="1"/>
  <c r="P626"/>
  <c r="Q626" s="1"/>
  <c r="P630"/>
  <c r="Q630" s="1"/>
  <c r="P664"/>
  <c r="Q664" s="1"/>
  <c r="P698"/>
  <c r="Q698" s="1"/>
  <c r="P732"/>
  <c r="Q732" s="1"/>
  <c r="P800"/>
  <c r="Q800" s="1"/>
  <c r="P834"/>
  <c r="Q834" s="1"/>
  <c r="P868"/>
  <c r="Q868" s="1"/>
  <c r="P922"/>
  <c r="Q922" s="1"/>
  <c r="P948"/>
  <c r="Q948" s="1"/>
  <c r="P766"/>
  <c r="Q766" s="1"/>
  <c r="P562"/>
  <c r="Q562" s="1"/>
  <c r="P596"/>
  <c r="Q596" s="1"/>
  <c r="P528"/>
  <c r="Q528" s="1"/>
  <c r="P896"/>
  <c r="Q896" s="1"/>
  <c r="P974"/>
  <c r="Q974" s="1"/>
  <c r="P731"/>
  <c r="Q731" s="1"/>
  <c r="P799"/>
  <c r="Q799" s="1"/>
  <c r="P697"/>
  <c r="Q697" s="1"/>
  <c r="P595"/>
  <c r="Q595" s="1"/>
  <c r="P867"/>
  <c r="Q867" s="1"/>
  <c r="P527"/>
  <c r="Q527" s="1"/>
  <c r="P833"/>
  <c r="Q833" s="1"/>
  <c r="P663"/>
  <c r="Q663" s="1"/>
  <c r="P561"/>
  <c r="Q561" s="1"/>
  <c r="P765"/>
  <c r="Q765" s="1"/>
  <c r="P629"/>
  <c r="Q629" s="1"/>
  <c r="P660"/>
  <c r="Q660" s="1"/>
  <c r="P830"/>
  <c r="Q830" s="1"/>
  <c r="P524"/>
  <c r="Q524" s="1"/>
  <c r="P694"/>
  <c r="Q694" s="1"/>
  <c r="P796"/>
  <c r="Q796" s="1"/>
  <c r="P975"/>
  <c r="Q975" s="1"/>
  <c r="P923"/>
  <c r="Q923" s="1"/>
  <c r="P14"/>
  <c r="Q14" s="1"/>
  <c r="P592"/>
  <c r="Q592" s="1"/>
  <c r="P864"/>
  <c r="Q864" s="1"/>
  <c r="P762"/>
  <c r="Q762" s="1"/>
  <c r="P654"/>
  <c r="Q654" s="1"/>
  <c r="P971"/>
  <c r="Q971" s="1"/>
  <c r="P586"/>
  <c r="Q586" s="1"/>
  <c r="P824"/>
  <c r="Q824" s="1"/>
  <c r="P722"/>
  <c r="Q722" s="1"/>
  <c r="P919"/>
  <c r="Q919" s="1"/>
  <c r="P620"/>
  <c r="Q620" s="1"/>
  <c r="P688"/>
  <c r="Q688" s="1"/>
  <c r="P552"/>
  <c r="Q552" s="1"/>
  <c r="P790"/>
  <c r="Q790" s="1"/>
  <c r="P893"/>
  <c r="Q893" s="1"/>
  <c r="P756"/>
  <c r="Q756" s="1"/>
  <c r="P518"/>
  <c r="Q518" s="1"/>
  <c r="P945"/>
  <c r="Q945" s="1"/>
  <c r="P858"/>
  <c r="Q858" s="1"/>
  <c r="P557"/>
  <c r="Q557" s="1"/>
  <c r="P591"/>
  <c r="Q591" s="1"/>
  <c r="P727"/>
  <c r="Q727" s="1"/>
  <c r="P625"/>
  <c r="Q625" s="1"/>
  <c r="P693"/>
  <c r="Q693" s="1"/>
  <c r="P829"/>
  <c r="Q829" s="1"/>
  <c r="P761"/>
  <c r="Q761" s="1"/>
  <c r="P659"/>
  <c r="Q659" s="1"/>
  <c r="P523"/>
  <c r="Q523" s="1"/>
  <c r="P863"/>
  <c r="Q863" s="1"/>
  <c r="P795"/>
  <c r="Q795" s="1"/>
  <c r="P798"/>
  <c r="Q798" s="1"/>
  <c r="P832"/>
  <c r="Q832" s="1"/>
  <c r="P628"/>
  <c r="Q628" s="1"/>
  <c r="P594"/>
  <c r="Q594" s="1"/>
  <c r="P866"/>
  <c r="Q866" s="1"/>
  <c r="P526"/>
  <c r="Q526" s="1"/>
  <c r="P696"/>
  <c r="Q696" s="1"/>
  <c r="P730"/>
  <c r="Q730" s="1"/>
  <c r="P764"/>
  <c r="Q764" s="1"/>
  <c r="P560"/>
  <c r="Q560" s="1"/>
  <c r="P662"/>
  <c r="Q662" s="1"/>
  <c r="P1053"/>
  <c r="Q1053" s="1"/>
  <c r="Q1052" s="1"/>
  <c r="P589"/>
  <c r="Q589" s="1"/>
  <c r="P725"/>
  <c r="Q725" s="1"/>
  <c r="P555"/>
  <c r="Q555" s="1"/>
  <c r="P657"/>
  <c r="Q657" s="1"/>
  <c r="P827"/>
  <c r="Q827" s="1"/>
  <c r="P861"/>
  <c r="Q861" s="1"/>
  <c r="P793"/>
  <c r="Q793" s="1"/>
  <c r="P521"/>
  <c r="Q521" s="1"/>
  <c r="P691"/>
  <c r="Q691" s="1"/>
  <c r="P759"/>
  <c r="Q759" s="1"/>
  <c r="P1073"/>
  <c r="Q1073" s="1"/>
  <c r="P623"/>
  <c r="Q623" s="1"/>
  <c r="P723"/>
  <c r="Q723" s="1"/>
  <c r="P946"/>
  <c r="Q946" s="1"/>
  <c r="P621"/>
  <c r="Q621" s="1"/>
  <c r="P519"/>
  <c r="Q519" s="1"/>
  <c r="P894"/>
  <c r="Q894" s="1"/>
  <c r="P825"/>
  <c r="Q825" s="1"/>
  <c r="P553"/>
  <c r="Q553" s="1"/>
  <c r="P556"/>
  <c r="Q556" s="1"/>
  <c r="P791"/>
  <c r="Q791" s="1"/>
  <c r="P972"/>
  <c r="Q972" s="1"/>
  <c r="P655"/>
  <c r="Q655" s="1"/>
  <c r="P658"/>
  <c r="Q658" s="1"/>
  <c r="P920"/>
  <c r="Q920" s="1"/>
  <c r="P859"/>
  <c r="Q859" s="1"/>
  <c r="P587"/>
  <c r="Q587" s="1"/>
  <c r="P689"/>
  <c r="Q689" s="1"/>
  <c r="P757"/>
  <c r="Q757" s="1"/>
  <c r="P862"/>
  <c r="Q862" s="1"/>
  <c r="P760"/>
  <c r="Q760" s="1"/>
  <c r="P590"/>
  <c r="Q590" s="1"/>
  <c r="P726"/>
  <c r="Q726" s="1"/>
  <c r="P828"/>
  <c r="Q828" s="1"/>
  <c r="P944"/>
  <c r="Q944" s="1"/>
  <c r="P892"/>
  <c r="Q892" s="1"/>
  <c r="P970"/>
  <c r="Q970" s="1"/>
  <c r="P794"/>
  <c r="Q794" s="1"/>
  <c r="P522"/>
  <c r="Q522" s="1"/>
  <c r="P624"/>
  <c r="Q624" s="1"/>
  <c r="P918"/>
  <c r="Q918" s="1"/>
  <c r="P692"/>
  <c r="Q692" s="1"/>
  <c r="P15"/>
  <c r="Q15" s="1"/>
  <c r="E42" i="45"/>
  <c r="F42" s="1"/>
  <c r="E78"/>
  <c r="F78"/>
  <c r="D11"/>
  <c r="E11" s="1"/>
  <c r="H11"/>
  <c r="I11" s="1"/>
  <c r="D15"/>
  <c r="H15"/>
  <c r="I15" s="1"/>
  <c r="D19"/>
  <c r="E19" s="1"/>
  <c r="H19"/>
  <c r="I19" s="1"/>
  <c r="H23"/>
  <c r="I23"/>
  <c r="D23"/>
  <c r="D27"/>
  <c r="D31"/>
  <c r="E31"/>
  <c r="F31"/>
  <c r="D35"/>
  <c r="E35" s="1"/>
  <c r="D39"/>
  <c r="E39" s="1"/>
  <c r="D43"/>
  <c r="E43"/>
  <c r="F43" s="1"/>
  <c r="H43"/>
  <c r="I43" s="1"/>
  <c r="D47"/>
  <c r="E47"/>
  <c r="H47"/>
  <c r="I47" s="1"/>
  <c r="D51"/>
  <c r="E51" s="1"/>
  <c r="D55"/>
  <c r="E55" s="1"/>
  <c r="D59"/>
  <c r="E59" s="1"/>
  <c r="H59"/>
  <c r="I59" s="1"/>
  <c r="D63"/>
  <c r="E63" s="1"/>
  <c r="H63"/>
  <c r="I63"/>
  <c r="D67"/>
  <c r="H67"/>
  <c r="I67"/>
  <c r="D71"/>
  <c r="E71" s="1"/>
  <c r="H71"/>
  <c r="I71" s="1"/>
  <c r="D75"/>
  <c r="E75" s="1"/>
  <c r="F75" s="1"/>
  <c r="H75"/>
  <c r="I75"/>
  <c r="D79"/>
  <c r="E79"/>
  <c r="H79"/>
  <c r="I79"/>
  <c r="D83"/>
  <c r="H83"/>
  <c r="I83"/>
  <c r="D87"/>
  <c r="E87" s="1"/>
  <c r="H87"/>
  <c r="I87" s="1"/>
  <c r="D13"/>
  <c r="E13" s="1"/>
  <c r="H13"/>
  <c r="I13" s="1"/>
  <c r="D17"/>
  <c r="H17"/>
  <c r="I17"/>
  <c r="H21"/>
  <c r="I21" s="1"/>
  <c r="D21"/>
  <c r="E21" s="1"/>
  <c r="F21" s="1"/>
  <c r="D25"/>
  <c r="H25"/>
  <c r="I25" s="1"/>
  <c r="I29"/>
  <c r="D29"/>
  <c r="E29"/>
  <c r="F29" s="1"/>
  <c r="I33"/>
  <c r="D33"/>
  <c r="E33"/>
  <c r="D37"/>
  <c r="H41"/>
  <c r="I41" s="1"/>
  <c r="D41"/>
  <c r="H45"/>
  <c r="I45" s="1"/>
  <c r="D45"/>
  <c r="D49"/>
  <c r="E49"/>
  <c r="H49"/>
  <c r="I49"/>
  <c r="D53"/>
  <c r="E53" s="1"/>
  <c r="D57"/>
  <c r="I57"/>
  <c r="D61"/>
  <c r="H61"/>
  <c r="I61"/>
  <c r="D65"/>
  <c r="E65"/>
  <c r="H65"/>
  <c r="I65"/>
  <c r="D69"/>
  <c r="H69"/>
  <c r="I69" s="1"/>
  <c r="D73"/>
  <c r="E73"/>
  <c r="H73"/>
  <c r="I73" s="1"/>
  <c r="D77"/>
  <c r="E77" s="1"/>
  <c r="F77" s="1"/>
  <c r="H77"/>
  <c r="I77"/>
  <c r="H81"/>
  <c r="I81"/>
  <c r="D81"/>
  <c r="E81"/>
  <c r="F81" s="1"/>
  <c r="H85"/>
  <c r="I85" s="1"/>
  <c r="D85"/>
  <c r="E85"/>
  <c r="D89"/>
  <c r="E89" s="1"/>
  <c r="F89"/>
  <c r="H89"/>
  <c r="I89"/>
  <c r="H55"/>
  <c r="I55"/>
  <c r="H51"/>
  <c r="I51"/>
  <c r="E20"/>
  <c r="F20"/>
  <c r="E66"/>
  <c r="F66"/>
  <c r="E80"/>
  <c r="E88"/>
  <c r="F88" s="1"/>
  <c r="F54"/>
  <c r="D10"/>
  <c r="E10"/>
  <c r="F10" s="1"/>
  <c r="E25"/>
  <c r="F25"/>
  <c r="E37"/>
  <c r="E17"/>
  <c r="G23" i="46"/>
  <c r="BZ44" i="43"/>
  <c r="BZ49" s="1"/>
  <c r="F63" i="45"/>
  <c r="E6" i="43"/>
  <c r="E12" s="1"/>
  <c r="E39" s="1"/>
  <c r="D30" i="45"/>
  <c r="E30"/>
  <c r="H30"/>
  <c r="I30" s="1"/>
  <c r="D58"/>
  <c r="D62"/>
  <c r="H62"/>
  <c r="I62" s="1"/>
  <c r="AL49" i="43"/>
  <c r="BP6"/>
  <c r="BP12" s="1"/>
  <c r="BP39" s="1"/>
  <c r="D44" i="45"/>
  <c r="H44"/>
  <c r="I44" s="1"/>
  <c r="D48"/>
  <c r="H48"/>
  <c r="I48" s="1"/>
  <c r="D70"/>
  <c r="BU49" i="43"/>
  <c r="AT49"/>
  <c r="BB6"/>
  <c r="BB40" s="1"/>
  <c r="F968" i="16"/>
  <c r="G968" s="1"/>
  <c r="G967" s="1"/>
  <c r="F916"/>
  <c r="G916" s="1"/>
  <c r="G915" s="1"/>
  <c r="F822"/>
  <c r="G822" s="1"/>
  <c r="G821" s="1"/>
  <c r="F686"/>
  <c r="G686" s="1"/>
  <c r="G685" s="1"/>
  <c r="F652"/>
  <c r="G652" s="1"/>
  <c r="G651" s="1"/>
  <c r="F584"/>
  <c r="G584" s="1"/>
  <c r="G583" s="1"/>
  <c r="R73" i="47"/>
  <c r="F720" i="16"/>
  <c r="G720" s="1"/>
  <c r="G719" s="1"/>
  <c r="F550"/>
  <c r="G550" s="1"/>
  <c r="G549" s="1"/>
  <c r="F754"/>
  <c r="G754" s="1"/>
  <c r="G753" s="1"/>
  <c r="F56" i="46"/>
  <c r="F57" s="1"/>
  <c r="G57" s="1"/>
  <c r="G22"/>
  <c r="F516" i="16"/>
  <c r="G516" s="1"/>
  <c r="G514" s="1"/>
  <c r="F856"/>
  <c r="G856" s="1"/>
  <c r="G855" s="1"/>
  <c r="F942"/>
  <c r="G942" s="1"/>
  <c r="G941" s="1"/>
  <c r="F1013"/>
  <c r="G1013" s="1"/>
  <c r="G1012" s="1"/>
  <c r="G1014" s="1"/>
  <c r="I35" i="43"/>
  <c r="I33"/>
  <c r="I34"/>
  <c r="G15" i="8"/>
  <c r="G32" i="46"/>
  <c r="E32" i="45"/>
  <c r="F32"/>
  <c r="AW9" i="43"/>
  <c r="AW33" s="1"/>
  <c r="Y49"/>
  <c r="I49"/>
  <c r="AO49"/>
  <c r="BV49"/>
  <c r="BT49"/>
  <c r="AS49"/>
  <c r="X49"/>
  <c r="AJ33"/>
  <c r="BO18"/>
  <c r="BO44" s="1"/>
  <c r="AA18"/>
  <c r="AA44" s="1"/>
  <c r="BN18"/>
  <c r="BN21" s="1"/>
  <c r="BN45" s="1"/>
  <c r="BB18"/>
  <c r="BB21" s="1"/>
  <c r="BB45" s="1"/>
  <c r="AD18"/>
  <c r="AD44" s="1"/>
  <c r="BM18"/>
  <c r="BM21" s="1"/>
  <c r="BM45" s="1"/>
  <c r="AJ18"/>
  <c r="AJ21" s="1"/>
  <c r="AJ45" s="1"/>
  <c r="W18"/>
  <c r="W21" s="1"/>
  <c r="W45" s="1"/>
  <c r="O18"/>
  <c r="O21" s="1"/>
  <c r="O45" s="1"/>
  <c r="C18"/>
  <c r="C44" s="1"/>
  <c r="BL18"/>
  <c r="BL21" s="1"/>
  <c r="BL45" s="1"/>
  <c r="V18"/>
  <c r="V21" s="1"/>
  <c r="V45" s="1"/>
  <c r="N18"/>
  <c r="N44" s="1"/>
  <c r="F18"/>
  <c r="F21" s="1"/>
  <c r="F45" s="1"/>
  <c r="L18"/>
  <c r="L44" s="1"/>
  <c r="BE18"/>
  <c r="BE44" s="1"/>
  <c r="AK18"/>
  <c r="AK44" s="1"/>
  <c r="P18"/>
  <c r="P44" s="1"/>
  <c r="B18"/>
  <c r="B21" s="1"/>
  <c r="B45" s="1"/>
  <c r="BA18"/>
  <c r="BA21" s="1"/>
  <c r="BA45" s="1"/>
  <c r="AR18"/>
  <c r="AR21" s="1"/>
  <c r="AR45" s="1"/>
  <c r="H19" i="31"/>
  <c r="F19"/>
  <c r="H23"/>
  <c r="F23"/>
  <c r="F27"/>
  <c r="F31"/>
  <c r="H31"/>
  <c r="H39"/>
  <c r="H43"/>
  <c r="H47"/>
  <c r="F47"/>
  <c r="H51"/>
  <c r="F51"/>
  <c r="H55"/>
  <c r="F55"/>
  <c r="H59"/>
  <c r="F59"/>
  <c r="F63"/>
  <c r="H63"/>
  <c r="H67"/>
  <c r="F67"/>
  <c r="F79"/>
  <c r="H79"/>
  <c r="H83"/>
  <c r="F83"/>
  <c r="AF49" i="43"/>
  <c r="AD34"/>
  <c r="H10" i="31"/>
  <c r="F10"/>
  <c r="H14"/>
  <c r="F14"/>
  <c r="H18"/>
  <c r="F18"/>
  <c r="H22"/>
  <c r="F22"/>
  <c r="H26"/>
  <c r="F26"/>
  <c r="H30"/>
  <c r="F30"/>
  <c r="H34"/>
  <c r="F34"/>
  <c r="H38"/>
  <c r="F38"/>
  <c r="H42"/>
  <c r="F42"/>
  <c r="H46"/>
  <c r="F46"/>
  <c r="H50"/>
  <c r="F50"/>
  <c r="H54"/>
  <c r="F54"/>
  <c r="H58"/>
  <c r="F58"/>
  <c r="H62"/>
  <c r="F62"/>
  <c r="H66"/>
  <c r="F66"/>
  <c r="H70"/>
  <c r="F70"/>
  <c r="H74"/>
  <c r="F74"/>
  <c r="H78"/>
  <c r="F78"/>
  <c r="H82"/>
  <c r="F82"/>
  <c r="BM44" i="43"/>
  <c r="AD21"/>
  <c r="AD45" s="1"/>
  <c r="E62" i="45"/>
  <c r="F30"/>
  <c r="G101" i="46"/>
  <c r="G21"/>
  <c r="G24"/>
  <c r="G26"/>
  <c r="F65" i="45"/>
  <c r="E68"/>
  <c r="F68"/>
  <c r="F26"/>
  <c r="F18"/>
  <c r="F24"/>
  <c r="F50"/>
  <c r="E44"/>
  <c r="F44"/>
  <c r="F33"/>
  <c r="F34"/>
  <c r="F17"/>
  <c r="E36"/>
  <c r="F36"/>
  <c r="E15"/>
  <c r="F15" s="1"/>
  <c r="E22"/>
  <c r="F22"/>
  <c r="F28"/>
  <c r="E90"/>
  <c r="F90"/>
  <c r="E82"/>
  <c r="F82"/>
  <c r="E48"/>
  <c r="F48" s="1"/>
  <c r="E45"/>
  <c r="F45"/>
  <c r="E67"/>
  <c r="F67" s="1"/>
  <c r="E64"/>
  <c r="F64"/>
  <c r="F80"/>
  <c r="E61"/>
  <c r="F61" s="1"/>
  <c r="F74"/>
  <c r="F16"/>
  <c r="F86"/>
  <c r="F40"/>
  <c r="G25" i="46"/>
  <c r="G27"/>
  <c r="P870" i="16"/>
  <c r="Q870" s="1"/>
  <c r="P871"/>
  <c r="Q871" s="1"/>
  <c r="F836"/>
  <c r="G836" s="1"/>
  <c r="F71" i="45"/>
  <c r="F618" i="16"/>
  <c r="G618" s="1"/>
  <c r="G617" s="1"/>
  <c r="F1071"/>
  <c r="G1071" s="1"/>
  <c r="G1070" s="1"/>
  <c r="BB9" i="43"/>
  <c r="BB34" s="1"/>
  <c r="F788" i="16"/>
  <c r="G788" s="1"/>
  <c r="G787" s="1"/>
  <c r="F890"/>
  <c r="G890" s="1"/>
  <c r="G889" s="1"/>
  <c r="F993"/>
  <c r="G993" s="1"/>
  <c r="G992" s="1"/>
  <c r="F1031"/>
  <c r="G1031" s="1"/>
  <c r="G1030" s="1"/>
  <c r="F1051"/>
  <c r="G1051" s="1"/>
  <c r="G1050" s="1"/>
  <c r="F12" i="31"/>
  <c r="P836" i="16"/>
  <c r="Q836" s="1"/>
  <c r="F564"/>
  <c r="G564" s="1"/>
  <c r="P564"/>
  <c r="Q564" s="1"/>
  <c r="P565"/>
  <c r="Q565" s="1"/>
  <c r="F769"/>
  <c r="G769" s="1"/>
  <c r="F871"/>
  <c r="G871" s="1"/>
  <c r="F803"/>
  <c r="G803" s="1"/>
  <c r="F633"/>
  <c r="G633" s="1"/>
  <c r="F837"/>
  <c r="G837" s="1"/>
  <c r="F701"/>
  <c r="G701" s="1"/>
  <c r="F667"/>
  <c r="G667" s="1"/>
  <c r="F599"/>
  <c r="G599" s="1"/>
  <c r="F531"/>
  <c r="G531" s="1"/>
  <c r="P735"/>
  <c r="Q735" s="1"/>
  <c r="P26"/>
  <c r="Q26" s="1"/>
  <c r="P701"/>
  <c r="Q701" s="1"/>
  <c r="P769"/>
  <c r="Q769" s="1"/>
  <c r="P667"/>
  <c r="Q667" s="1"/>
  <c r="P803"/>
  <c r="Q803" s="1"/>
  <c r="F735"/>
  <c r="G735" s="1"/>
  <c r="F565"/>
  <c r="G565" s="1"/>
  <c r="G26"/>
  <c r="P837"/>
  <c r="Q837" s="1"/>
  <c r="P531"/>
  <c r="Q531" s="1"/>
  <c r="P599"/>
  <c r="Q599" s="1"/>
  <c r="P633"/>
  <c r="Q633" s="1"/>
  <c r="F598"/>
  <c r="G598" s="1"/>
  <c r="P598"/>
  <c r="Q598" s="1"/>
  <c r="P666"/>
  <c r="Q666" s="1"/>
  <c r="M9" i="43"/>
  <c r="M33" s="1"/>
  <c r="BY49"/>
  <c r="AQ49"/>
  <c r="G9"/>
  <c r="G34" s="1"/>
  <c r="F666" i="16"/>
  <c r="G666" s="1"/>
  <c r="P632"/>
  <c r="Q632" s="1"/>
  <c r="P19"/>
  <c r="Q19" s="1"/>
  <c r="E41" i="45"/>
  <c r="F41"/>
  <c r="E83"/>
  <c r="F83" s="1"/>
  <c r="E27"/>
  <c r="F27"/>
  <c r="F802" i="16"/>
  <c r="G802" s="1"/>
  <c r="P530"/>
  <c r="Q530" s="1"/>
  <c r="F530"/>
  <c r="G530" s="1"/>
  <c r="P802"/>
  <c r="Q802" s="1"/>
  <c r="F734"/>
  <c r="G734" s="1"/>
  <c r="P734"/>
  <c r="Q734" s="1"/>
  <c r="G18"/>
  <c r="G19"/>
  <c r="F632"/>
  <c r="G632" s="1"/>
  <c r="P1077"/>
  <c r="Q1077" s="1"/>
  <c r="Q1076" s="1"/>
  <c r="F1077"/>
  <c r="G1077" s="1"/>
  <c r="G1076" s="1"/>
  <c r="F995"/>
  <c r="G995" s="1"/>
  <c r="G994" s="1"/>
  <c r="P768"/>
  <c r="Q768" s="1"/>
  <c r="F768"/>
  <c r="G768" s="1"/>
  <c r="E58" i="45"/>
  <c r="F58" s="1"/>
  <c r="E57"/>
  <c r="F57" s="1"/>
  <c r="P18" i="16"/>
  <c r="Q18" s="1"/>
  <c r="E70" i="45"/>
  <c r="F70"/>
  <c r="C21" i="43"/>
  <c r="C45" s="1"/>
  <c r="C49" s="1"/>
  <c r="F35" i="45"/>
  <c r="E69"/>
  <c r="F69"/>
  <c r="F62"/>
  <c r="P21" i="43"/>
  <c r="P45" s="1"/>
  <c r="P700" i="16"/>
  <c r="Q700" s="1"/>
  <c r="F700"/>
  <c r="G700" s="1"/>
  <c r="F870"/>
  <c r="G870" s="1"/>
  <c r="E23" i="45"/>
  <c r="F23" s="1"/>
  <c r="F37"/>
  <c r="F47"/>
  <c r="AV6" i="43"/>
  <c r="AV40" s="1"/>
  <c r="E38" i="45"/>
  <c r="F38"/>
  <c r="F71" i="31"/>
  <c r="H71"/>
  <c r="H80"/>
  <c r="F80"/>
  <c r="F85" i="45"/>
  <c r="F16" i="31"/>
  <c r="H16"/>
  <c r="H20"/>
  <c r="F20"/>
  <c r="G15" i="16"/>
  <c r="F24" i="31"/>
  <c r="H24"/>
  <c r="H28"/>
  <c r="F923" i="16"/>
  <c r="G923" s="1"/>
  <c r="F897"/>
  <c r="G897" s="1"/>
  <c r="F28" i="31"/>
  <c r="F949" i="16"/>
  <c r="G949" s="1"/>
  <c r="P897"/>
  <c r="Q897" s="1"/>
  <c r="P949"/>
  <c r="Q949" s="1"/>
  <c r="H37" i="31"/>
  <c r="F37"/>
  <c r="E84" i="45"/>
  <c r="F84"/>
  <c r="F972" i="16"/>
  <c r="G972" s="1"/>
  <c r="F970"/>
  <c r="G970" s="1"/>
  <c r="F920"/>
  <c r="G920" s="1"/>
  <c r="F825"/>
  <c r="G825" s="1"/>
  <c r="F757"/>
  <c r="G757" s="1"/>
  <c r="F655"/>
  <c r="G655" s="1"/>
  <c r="F587"/>
  <c r="G587" s="1"/>
  <c r="F946"/>
  <c r="G946" s="1"/>
  <c r="F791"/>
  <c r="G791" s="1"/>
  <c r="F689"/>
  <c r="G689" s="1"/>
  <c r="F621"/>
  <c r="G621" s="1"/>
  <c r="S621" s="1"/>
  <c r="T621" s="1"/>
  <c r="F553"/>
  <c r="G553" s="1"/>
  <c r="F519"/>
  <c r="G519" s="1"/>
  <c r="F894"/>
  <c r="G894" s="1"/>
  <c r="F43" i="31"/>
  <c r="F859" i="16"/>
  <c r="G859" s="1"/>
  <c r="F723"/>
  <c r="G723" s="1"/>
  <c r="F48" i="31"/>
  <c r="H48"/>
  <c r="H52"/>
  <c r="F52"/>
  <c r="H56"/>
  <c r="F56"/>
  <c r="H60"/>
  <c r="F60"/>
  <c r="F1075" i="16"/>
  <c r="G1075" s="1"/>
  <c r="G16"/>
  <c r="H64" i="31"/>
  <c r="F64"/>
  <c r="H68"/>
  <c r="F68"/>
  <c r="E52" i="45"/>
  <c r="F52"/>
  <c r="E76"/>
  <c r="F76"/>
  <c r="H27" i="31"/>
  <c r="F944" i="16"/>
  <c r="G944" s="1"/>
  <c r="F892"/>
  <c r="G892" s="1"/>
  <c r="F794"/>
  <c r="G794" s="1"/>
  <c r="F692"/>
  <c r="G692" s="1"/>
  <c r="F918"/>
  <c r="G918" s="1"/>
  <c r="F624"/>
  <c r="G624" s="1"/>
  <c r="S624" s="1"/>
  <c r="T624" s="1"/>
  <c r="F862"/>
  <c r="G862" s="1"/>
  <c r="F726"/>
  <c r="G726" s="1"/>
  <c r="F760"/>
  <c r="G760" s="1"/>
  <c r="F590"/>
  <c r="G590" s="1"/>
  <c r="F556"/>
  <c r="G556" s="1"/>
  <c r="F828"/>
  <c r="G828" s="1"/>
  <c r="F658"/>
  <c r="G658" s="1"/>
  <c r="F522"/>
  <c r="G522" s="1"/>
  <c r="F948"/>
  <c r="G948" s="1"/>
  <c r="F896"/>
  <c r="G896" s="1"/>
  <c r="F800"/>
  <c r="G800" s="1"/>
  <c r="F766"/>
  <c r="G766" s="1"/>
  <c r="F596"/>
  <c r="G596" s="1"/>
  <c r="F630"/>
  <c r="G630" s="1"/>
  <c r="S630" s="1"/>
  <c r="T630" s="1"/>
  <c r="F922"/>
  <c r="G922" s="1"/>
  <c r="F834"/>
  <c r="G834" s="1"/>
  <c r="F698"/>
  <c r="G698" s="1"/>
  <c r="F562"/>
  <c r="G562" s="1"/>
  <c r="H40" i="31"/>
  <c r="F40"/>
  <c r="F14" i="45"/>
  <c r="F56"/>
  <c r="P9" i="43"/>
  <c r="P33" s="1"/>
  <c r="F72" i="45"/>
  <c r="F1053" i="16"/>
  <c r="G1053" s="1"/>
  <c r="G1052" s="1"/>
  <c r="F17" i="31"/>
  <c r="H21"/>
  <c r="F790" i="16"/>
  <c r="G790" s="1"/>
  <c r="F688"/>
  <c r="G688" s="1"/>
  <c r="H33" i="31"/>
  <c r="F33"/>
  <c r="H76"/>
  <c r="F81"/>
  <c r="H73"/>
  <c r="F73"/>
  <c r="AQ9" i="43"/>
  <c r="AQ33" s="1"/>
  <c r="AR35"/>
  <c r="BE21"/>
  <c r="BE45" s="1"/>
  <c r="BE49" s="1"/>
  <c r="F51" i="45"/>
  <c r="F73"/>
  <c r="G8" i="8"/>
  <c r="R120" i="47"/>
  <c r="I6" i="43" l="1"/>
  <c r="I12" s="1"/>
  <c r="I39" s="1"/>
  <c r="AK6"/>
  <c r="AK40" s="1"/>
  <c r="G893" i="16"/>
  <c r="BF6" i="43"/>
  <c r="BF12" s="1"/>
  <c r="BF39" s="1"/>
  <c r="P285" i="16"/>
  <c r="Q285" s="1"/>
  <c r="Q282" s="1"/>
  <c r="Q300" s="1"/>
  <c r="Q301" s="1"/>
  <c r="Q302" s="1"/>
  <c r="F250"/>
  <c r="G250" s="1"/>
  <c r="P216"/>
  <c r="Q216" s="1"/>
  <c r="Q213" s="1"/>
  <c r="Q231" s="1"/>
  <c r="Q232" s="1"/>
  <c r="Q233" s="1"/>
  <c r="F182"/>
  <c r="G182" s="1"/>
  <c r="F147"/>
  <c r="G147" s="1"/>
  <c r="G145" s="1"/>
  <c r="G163" s="1"/>
  <c r="F285"/>
  <c r="G285" s="1"/>
  <c r="P250"/>
  <c r="Q250" s="1"/>
  <c r="Q247" s="1"/>
  <c r="Q265" s="1"/>
  <c r="Q266" s="1"/>
  <c r="Q267" s="1"/>
  <c r="F216"/>
  <c r="G216" s="1"/>
  <c r="P182"/>
  <c r="Q182" s="1"/>
  <c r="Q179" s="1"/>
  <c r="Q197" s="1"/>
  <c r="Q198" s="1"/>
  <c r="Q199" s="1"/>
  <c r="F114"/>
  <c r="G114" s="1"/>
  <c r="G111" s="1"/>
  <c r="G129" s="1"/>
  <c r="P81"/>
  <c r="Q81" s="1"/>
  <c r="Q78" s="1"/>
  <c r="Q96" s="1"/>
  <c r="Q97" s="1"/>
  <c r="Q98" s="1"/>
  <c r="F47"/>
  <c r="G47" s="1"/>
  <c r="G44" s="1"/>
  <c r="G62" s="1"/>
  <c r="F12"/>
  <c r="G12" s="1"/>
  <c r="G9" s="1"/>
  <c r="P114"/>
  <c r="Q114" s="1"/>
  <c r="Q111" s="1"/>
  <c r="Q129" s="1"/>
  <c r="Q130" s="1"/>
  <c r="Q131" s="1"/>
  <c r="F81"/>
  <c r="G81" s="1"/>
  <c r="G78" s="1"/>
  <c r="G96" s="1"/>
  <c r="P47"/>
  <c r="Q47" s="1"/>
  <c r="Q44" s="1"/>
  <c r="Q62" s="1"/>
  <c r="Q63" s="1"/>
  <c r="Q64" s="1"/>
  <c r="CB6" i="43"/>
  <c r="F284" i="16"/>
  <c r="G284" s="1"/>
  <c r="F353"/>
  <c r="G353" s="1"/>
  <c r="G352" s="1"/>
  <c r="G371" s="1"/>
  <c r="F489"/>
  <c r="G489" s="1"/>
  <c r="F318"/>
  <c r="G318" s="1"/>
  <c r="G317" s="1"/>
  <c r="G336" s="1"/>
  <c r="AV12" i="43"/>
  <c r="AV39" s="1"/>
  <c r="E12" i="30"/>
  <c r="F12" s="1"/>
  <c r="F248" i="16"/>
  <c r="G248" s="1"/>
  <c r="G247" s="1"/>
  <c r="G265" s="1"/>
  <c r="F283"/>
  <c r="G283" s="1"/>
  <c r="G282" s="1"/>
  <c r="G300" s="1"/>
  <c r="F214"/>
  <c r="G214" s="1"/>
  <c r="G213" s="1"/>
  <c r="G231" s="1"/>
  <c r="F180"/>
  <c r="G180" s="1"/>
  <c r="G179" s="1"/>
  <c r="G197" s="1"/>
  <c r="R121" i="47"/>
  <c r="AE49" i="43"/>
  <c r="S9"/>
  <c r="M34"/>
  <c r="Z49"/>
  <c r="BW9"/>
  <c r="BW35" s="1"/>
  <c r="G921" i="16"/>
  <c r="G17"/>
  <c r="BI9" i="43"/>
  <c r="BI34" s="1"/>
  <c r="BG9"/>
  <c r="R9"/>
  <c r="AX9"/>
  <c r="B44"/>
  <c r="B49" s="1"/>
  <c r="BD9"/>
  <c r="BV9"/>
  <c r="AH9"/>
  <c r="AH33" s="1"/>
  <c r="Q18"/>
  <c r="AR44"/>
  <c r="AW18"/>
  <c r="AW21" s="1"/>
  <c r="AW45" s="1"/>
  <c r="CB18"/>
  <c r="CA18"/>
  <c r="G589" i="16"/>
  <c r="G623"/>
  <c r="S623" s="1"/>
  <c r="T623" s="1"/>
  <c r="G620"/>
  <c r="S620" s="1"/>
  <c r="T620" s="1"/>
  <c r="G919"/>
  <c r="G971"/>
  <c r="G595"/>
  <c r="G591"/>
  <c r="G588"/>
  <c r="G627"/>
  <c r="S627" s="1"/>
  <c r="T627" s="1"/>
  <c r="G727"/>
  <c r="G724"/>
  <c r="G763"/>
  <c r="G863"/>
  <c r="G860"/>
  <c r="Q733"/>
  <c r="BQ6" i="43"/>
  <c r="BQ40" s="1"/>
  <c r="G586" i="16"/>
  <c r="G594"/>
  <c r="Q13"/>
  <c r="G867"/>
  <c r="G865"/>
  <c r="G975"/>
  <c r="Q767"/>
  <c r="G801"/>
  <c r="G563"/>
  <c r="BQ12" i="43"/>
  <c r="BQ39" s="1"/>
  <c r="S6"/>
  <c r="S12" s="1"/>
  <c r="S39" s="1"/>
  <c r="AY6"/>
  <c r="AY12" s="1"/>
  <c r="AY39" s="1"/>
  <c r="O6"/>
  <c r="O12" s="1"/>
  <c r="O39" s="1"/>
  <c r="M6"/>
  <c r="M12" s="1"/>
  <c r="M39" s="1"/>
  <c r="BD6"/>
  <c r="BD40" s="1"/>
  <c r="AZ6"/>
  <c r="AZ12" s="1"/>
  <c r="AZ39" s="1"/>
  <c r="AD6"/>
  <c r="AD40" s="1"/>
  <c r="BX6"/>
  <c r="G13" i="16"/>
  <c r="Q631"/>
  <c r="G625"/>
  <c r="S625" s="1"/>
  <c r="T625" s="1"/>
  <c r="G622"/>
  <c r="S622" s="1"/>
  <c r="T622" s="1"/>
  <c r="G731"/>
  <c r="G729"/>
  <c r="G765"/>
  <c r="G758"/>
  <c r="G947"/>
  <c r="G592"/>
  <c r="G628"/>
  <c r="S628" s="1"/>
  <c r="T628" s="1"/>
  <c r="G626"/>
  <c r="S626" s="1"/>
  <c r="T626" s="1"/>
  <c r="G732"/>
  <c r="G762"/>
  <c r="G759"/>
  <c r="G866"/>
  <c r="G864"/>
  <c r="G861"/>
  <c r="G858"/>
  <c r="G945"/>
  <c r="G629"/>
  <c r="S629" s="1"/>
  <c r="T629" s="1"/>
  <c r="G593"/>
  <c r="G973"/>
  <c r="Q687"/>
  <c r="G789"/>
  <c r="BP40" i="43"/>
  <c r="G725" i="16"/>
  <c r="G730"/>
  <c r="G764"/>
  <c r="Q585"/>
  <c r="Q857"/>
  <c r="AW6" i="43"/>
  <c r="AW12" s="1"/>
  <c r="AW39" s="1"/>
  <c r="R6"/>
  <c r="R12" s="1"/>
  <c r="R39" s="1"/>
  <c r="AG6"/>
  <c r="AG12" s="1"/>
  <c r="AG39" s="1"/>
  <c r="Q969" i="16"/>
  <c r="Q823"/>
  <c r="Q517"/>
  <c r="Q619"/>
  <c r="Q721"/>
  <c r="Q917"/>
  <c r="Q755"/>
  <c r="Q789"/>
  <c r="G761"/>
  <c r="G868"/>
  <c r="G974"/>
  <c r="G551"/>
  <c r="Q835"/>
  <c r="G699"/>
  <c r="G733"/>
  <c r="G529"/>
  <c r="G869"/>
  <c r="G665"/>
  <c r="Q17"/>
  <c r="G835"/>
  <c r="G517"/>
  <c r="Q891"/>
  <c r="Q665"/>
  <c r="G1034"/>
  <c r="G1035" s="1"/>
  <c r="G687"/>
  <c r="G653"/>
  <c r="Q699"/>
  <c r="G631"/>
  <c r="Q801"/>
  <c r="Q529"/>
  <c r="Q597"/>
  <c r="G1015"/>
  <c r="G1016" s="1"/>
  <c r="G722"/>
  <c r="G756"/>
  <c r="G895"/>
  <c r="G891" s="1"/>
  <c r="G898" s="1"/>
  <c r="G899" s="1"/>
  <c r="G900" s="1"/>
  <c r="R98" i="47"/>
  <c r="L121"/>
  <c r="F121"/>
  <c r="I121"/>
  <c r="O121"/>
  <c r="O111"/>
  <c r="F8"/>
  <c r="L98"/>
  <c r="F89"/>
  <c r="F54"/>
  <c r="L8"/>
  <c r="I8"/>
  <c r="O81"/>
  <c r="L81"/>
  <c r="I81"/>
  <c r="F81"/>
  <c r="O74"/>
  <c r="O64" s="1"/>
  <c r="L74"/>
  <c r="L64" s="1"/>
  <c r="I74"/>
  <c r="I64" s="1"/>
  <c r="O54"/>
  <c r="I54"/>
  <c r="L45"/>
  <c r="L54"/>
  <c r="O45"/>
  <c r="I45"/>
  <c r="I28"/>
  <c r="O8"/>
  <c r="L28"/>
  <c r="P6" i="43"/>
  <c r="BE6"/>
  <c r="CA6"/>
  <c r="F36" i="31"/>
  <c r="P516" i="16"/>
  <c r="Q516" s="1"/>
  <c r="Q514" s="1"/>
  <c r="P550"/>
  <c r="Q550" s="1"/>
  <c r="Q549" s="1"/>
  <c r="P652"/>
  <c r="Q652" s="1"/>
  <c r="Q651" s="1"/>
  <c r="P686"/>
  <c r="Q686" s="1"/>
  <c r="Q685" s="1"/>
  <c r="P754"/>
  <c r="Q754" s="1"/>
  <c r="Q753" s="1"/>
  <c r="P788"/>
  <c r="Q788" s="1"/>
  <c r="Q787" s="1"/>
  <c r="P822"/>
  <c r="Q822" s="1"/>
  <c r="Q821" s="1"/>
  <c r="P890"/>
  <c r="Q890" s="1"/>
  <c r="Q889" s="1"/>
  <c r="P916"/>
  <c r="Q916" s="1"/>
  <c r="Q915" s="1"/>
  <c r="P942"/>
  <c r="Q942" s="1"/>
  <c r="Q941" s="1"/>
  <c r="P968"/>
  <c r="Q968" s="1"/>
  <c r="Q967" s="1"/>
  <c r="P993"/>
  <c r="Q993" s="1"/>
  <c r="Q992" s="1"/>
  <c r="Q996" s="1"/>
  <c r="P1013"/>
  <c r="Q1013" s="1"/>
  <c r="Q1012" s="1"/>
  <c r="Q1014" s="1"/>
  <c r="Q1015" s="1"/>
  <c r="Q1016" s="1"/>
  <c r="P1031"/>
  <c r="Q1031" s="1"/>
  <c r="Q1030" s="1"/>
  <c r="Q1034" s="1"/>
  <c r="P1051"/>
  <c r="Q1051" s="1"/>
  <c r="Q1050" s="1"/>
  <c r="Q1054" s="1"/>
  <c r="Q1055" s="1"/>
  <c r="Q1056" s="1"/>
  <c r="P1071"/>
  <c r="Q1071" s="1"/>
  <c r="Q1070" s="1"/>
  <c r="G823"/>
  <c r="G838" s="1"/>
  <c r="G839" s="1"/>
  <c r="G840" s="1"/>
  <c r="G597"/>
  <c r="G767"/>
  <c r="Q563"/>
  <c r="Q869"/>
  <c r="F98" i="47"/>
  <c r="I98"/>
  <c r="AR49" i="43"/>
  <c r="F49" i="45"/>
  <c r="Q653" i="16"/>
  <c r="F28" i="47"/>
  <c r="BS49" i="43"/>
  <c r="AY9"/>
  <c r="AY34" s="1"/>
  <c r="AM49"/>
  <c r="AM9"/>
  <c r="AM33" s="1"/>
  <c r="K9"/>
  <c r="J9"/>
  <c r="J34" s="1"/>
  <c r="AO9"/>
  <c r="AC9"/>
  <c r="AC34" s="1"/>
  <c r="E9"/>
  <c r="Q943" i="16"/>
  <c r="R88" i="47"/>
  <c r="F13" i="31"/>
  <c r="F11" i="45"/>
  <c r="V6" i="43"/>
  <c r="AA6"/>
  <c r="AK12"/>
  <c r="AK39" s="1"/>
  <c r="R65" i="47"/>
  <c r="R93"/>
  <c r="AW40" i="43"/>
  <c r="BB12"/>
  <c r="BB39" s="1"/>
  <c r="E40"/>
  <c r="U6"/>
  <c r="U40" s="1"/>
  <c r="E11" i="30"/>
  <c r="F11" s="1"/>
  <c r="G6" i="43"/>
  <c r="G40" s="1"/>
  <c r="E17" i="30"/>
  <c r="F17" s="1"/>
  <c r="W12" i="43"/>
  <c r="W39" s="1"/>
  <c r="W40"/>
  <c r="I40"/>
  <c r="I41" s="1"/>
  <c r="I51" s="1"/>
  <c r="I53" s="1"/>
  <c r="C16" i="44" s="1"/>
  <c r="R78" i="47"/>
  <c r="R92"/>
  <c r="H12" i="43"/>
  <c r="H39" s="1"/>
  <c r="S40"/>
  <c r="T6"/>
  <c r="E15" i="30"/>
  <c r="F15" s="1"/>
  <c r="BL6" i="43"/>
  <c r="N6"/>
  <c r="AB6"/>
  <c r="E26" i="30"/>
  <c r="F26" s="1"/>
  <c r="Q6" i="43"/>
  <c r="R80" i="47"/>
  <c r="R90"/>
  <c r="R115"/>
  <c r="R76"/>
  <c r="R113"/>
  <c r="R58"/>
  <c r="G996" i="16"/>
  <c r="R116" i="47"/>
  <c r="BE12" i="43"/>
  <c r="BE39" s="1"/>
  <c r="BE40"/>
  <c r="BF40"/>
  <c r="E14" i="30"/>
  <c r="F14" s="1"/>
  <c r="K6" i="43"/>
  <c r="J6"/>
  <c r="BC6"/>
  <c r="F40"/>
  <c r="M40"/>
  <c r="R40"/>
  <c r="BA40"/>
  <c r="AZ40"/>
  <c r="BN6"/>
  <c r="AX6"/>
  <c r="BO6"/>
  <c r="L6"/>
  <c r="BW6"/>
  <c r="F16" i="30"/>
  <c r="AJ6" i="43"/>
  <c r="R79" i="47"/>
  <c r="R71"/>
  <c r="R75"/>
  <c r="R91"/>
  <c r="R70"/>
  <c r="R114"/>
  <c r="R59"/>
  <c r="R69"/>
  <c r="R96"/>
  <c r="R94"/>
  <c r="R95"/>
  <c r="G1054" i="16"/>
  <c r="AX35" i="43"/>
  <c r="AX34"/>
  <c r="AY33"/>
  <c r="S34"/>
  <c r="S35"/>
  <c r="BC9"/>
  <c r="BC33" s="1"/>
  <c r="G33"/>
  <c r="AC35"/>
  <c r="W9"/>
  <c r="W34" s="1"/>
  <c r="Q9"/>
  <c r="D9"/>
  <c r="D34" s="1"/>
  <c r="BO9"/>
  <c r="BZ9"/>
  <c r="BZ34" s="1"/>
  <c r="BL9"/>
  <c r="O9"/>
  <c r="O33" s="1"/>
  <c r="N9"/>
  <c r="Y9"/>
  <c r="Y35" s="1"/>
  <c r="AK9"/>
  <c r="AS9"/>
  <c r="AS35" s="1"/>
  <c r="AZ9"/>
  <c r="U9"/>
  <c r="U35" s="1"/>
  <c r="BF9"/>
  <c r="BE9"/>
  <c r="BL35"/>
  <c r="BL33"/>
  <c r="BL34"/>
  <c r="N35"/>
  <c r="N34"/>
  <c r="R34"/>
  <c r="R33"/>
  <c r="K33"/>
  <c r="K34"/>
  <c r="K35"/>
  <c r="J35"/>
  <c r="AG35"/>
  <c r="AG34"/>
  <c r="AG33"/>
  <c r="BY9"/>
  <c r="AV9"/>
  <c r="BR9"/>
  <c r="BR33" s="1"/>
  <c r="BU9"/>
  <c r="BU35" s="1"/>
  <c r="V9"/>
  <c r="V33" s="1"/>
  <c r="BB33"/>
  <c r="BE35"/>
  <c r="AX33"/>
  <c r="M35"/>
  <c r="AR33"/>
  <c r="AR41" s="1"/>
  <c r="AR51" s="1"/>
  <c r="AR53" s="1"/>
  <c r="AR54" s="1"/>
  <c r="AR55" s="1"/>
  <c r="AW35"/>
  <c r="AJ35"/>
  <c r="BJ9"/>
  <c r="BJ34" s="1"/>
  <c r="AL9"/>
  <c r="AL33" s="1"/>
  <c r="B9"/>
  <c r="B33" s="1"/>
  <c r="AA9"/>
  <c r="AA35" s="1"/>
  <c r="Z9"/>
  <c r="Z34" s="1"/>
  <c r="AN9"/>
  <c r="AN33" s="1"/>
  <c r="BS9"/>
  <c r="BS35" s="1"/>
  <c r="BM9"/>
  <c r="BM35" s="1"/>
  <c r="AP9"/>
  <c r="AP33" s="1"/>
  <c r="BA9"/>
  <c r="BA35" s="1"/>
  <c r="AI9"/>
  <c r="AI34" s="1"/>
  <c r="BQ9"/>
  <c r="BQ34" s="1"/>
  <c r="Y33"/>
  <c r="AL34"/>
  <c r="AL35"/>
  <c r="B34"/>
  <c r="AA33"/>
  <c r="BS33"/>
  <c r="BM34"/>
  <c r="AP35"/>
  <c r="BA33"/>
  <c r="BA34"/>
  <c r="BQ35"/>
  <c r="AQ35"/>
  <c r="AQ34"/>
  <c r="P35"/>
  <c r="P34"/>
  <c r="BI33"/>
  <c r="BI35"/>
  <c r="BG34"/>
  <c r="BG33"/>
  <c r="BG35"/>
  <c r="Q35"/>
  <c r="Q33"/>
  <c r="Q34"/>
  <c r="BO33"/>
  <c r="BO34"/>
  <c r="BO35"/>
  <c r="BD34"/>
  <c r="BD35"/>
  <c r="BD33"/>
  <c r="BW34"/>
  <c r="BW33"/>
  <c r="AO35"/>
  <c r="AO33"/>
  <c r="AO34"/>
  <c r="BV35"/>
  <c r="BV33"/>
  <c r="BV34"/>
  <c r="BU33"/>
  <c r="AK34"/>
  <c r="AK35"/>
  <c r="AK33"/>
  <c r="AZ34"/>
  <c r="AZ33"/>
  <c r="AZ35"/>
  <c r="BF34"/>
  <c r="BF33"/>
  <c r="BF35"/>
  <c r="V35"/>
  <c r="AH34"/>
  <c r="AH35"/>
  <c r="AB34"/>
  <c r="AB33"/>
  <c r="AB35"/>
  <c r="E33"/>
  <c r="E35"/>
  <c r="E34"/>
  <c r="N33"/>
  <c r="R35"/>
  <c r="AI35"/>
  <c r="F9"/>
  <c r="X9"/>
  <c r="T9"/>
  <c r="G35"/>
  <c r="S33"/>
  <c r="AY35"/>
  <c r="AW34"/>
  <c r="BB35"/>
  <c r="J33"/>
  <c r="AD35"/>
  <c r="AC33"/>
  <c r="BN9"/>
  <c r="BK9"/>
  <c r="AT9"/>
  <c r="H9"/>
  <c r="AF9"/>
  <c r="P49"/>
  <c r="AD49"/>
  <c r="BL44"/>
  <c r="BL49" s="1"/>
  <c r="BO21"/>
  <c r="BO45" s="1"/>
  <c r="BO49" s="1"/>
  <c r="AA21"/>
  <c r="AA45" s="1"/>
  <c r="AA49" s="1"/>
  <c r="W44"/>
  <c r="W49" s="1"/>
  <c r="BN44"/>
  <c r="BN49" s="1"/>
  <c r="O44"/>
  <c r="O49" s="1"/>
  <c r="L21"/>
  <c r="L45" s="1"/>
  <c r="V44"/>
  <c r="V49" s="1"/>
  <c r="T18"/>
  <c r="AV18"/>
  <c r="BI18"/>
  <c r="E18"/>
  <c r="U18"/>
  <c r="AZ18"/>
  <c r="AZ44" s="1"/>
  <c r="BP18"/>
  <c r="BD18"/>
  <c r="J18"/>
  <c r="R18"/>
  <c r="AC18"/>
  <c r="BQ18"/>
  <c r="G18"/>
  <c r="K18"/>
  <c r="S18"/>
  <c r="AJ44"/>
  <c r="AJ49" s="1"/>
  <c r="BH18"/>
  <c r="BH21" s="1"/>
  <c r="BH45" s="1"/>
  <c r="BX18"/>
  <c r="AX18"/>
  <c r="BF18"/>
  <c r="BJ18"/>
  <c r="BR18"/>
  <c r="BG18"/>
  <c r="BK18"/>
  <c r="BW18"/>
  <c r="AB18"/>
  <c r="H18"/>
  <c r="H21" s="1"/>
  <c r="H45" s="1"/>
  <c r="BC18"/>
  <c r="AY18"/>
  <c r="M18"/>
  <c r="L49"/>
  <c r="BA44"/>
  <c r="BA49" s="1"/>
  <c r="F44"/>
  <c r="F49" s="1"/>
  <c r="AK21"/>
  <c r="AK45" s="1"/>
  <c r="AK49" s="1"/>
  <c r="BB44"/>
  <c r="BB49" s="1"/>
  <c r="AZ21"/>
  <c r="AZ45" s="1"/>
  <c r="BM49"/>
  <c r="AW44"/>
  <c r="AW49" s="1"/>
  <c r="R87" i="47"/>
  <c r="O28"/>
  <c r="AN34" i="43"/>
  <c r="AZ49"/>
  <c r="R77" i="47"/>
  <c r="AN35" i="43"/>
  <c r="L89" i="47"/>
  <c r="AY40" i="43"/>
  <c r="F74" i="47"/>
  <c r="F64" s="1"/>
  <c r="G56" i="46"/>
  <c r="F13" i="45"/>
  <c r="F79"/>
  <c r="N21" i="43"/>
  <c r="N45" s="1"/>
  <c r="N49" s="1"/>
  <c r="F53" i="45"/>
  <c r="F87"/>
  <c r="F59"/>
  <c r="F39"/>
  <c r="F55"/>
  <c r="F19"/>
  <c r="Q551" i="16"/>
  <c r="G11" i="8"/>
  <c r="G18" s="1"/>
  <c r="P618" i="16"/>
  <c r="Q618" s="1"/>
  <c r="Q617" s="1"/>
  <c r="P12"/>
  <c r="Q12" s="1"/>
  <c r="Q9" s="1"/>
  <c r="P584"/>
  <c r="Q584" s="1"/>
  <c r="Q583" s="1"/>
  <c r="P720"/>
  <c r="Q720" s="1"/>
  <c r="Q719" s="1"/>
  <c r="P856"/>
  <c r="Q856" s="1"/>
  <c r="Q855" s="1"/>
  <c r="AU9" i="43"/>
  <c r="AE9"/>
  <c r="C9"/>
  <c r="E60" i="45"/>
  <c r="F60" s="1"/>
  <c r="BX9" i="43"/>
  <c r="L9"/>
  <c r="BH9"/>
  <c r="BP9"/>
  <c r="BT9"/>
  <c r="F84" i="31"/>
  <c r="H57"/>
  <c r="H45"/>
  <c r="Q15" i="47" l="1"/>
  <c r="R15" s="1"/>
  <c r="G232" i="16"/>
  <c r="G233" s="1"/>
  <c r="Q16" i="47"/>
  <c r="R16" s="1"/>
  <c r="G266" i="16"/>
  <c r="G267" s="1"/>
  <c r="Q10" i="47"/>
  <c r="R10" s="1"/>
  <c r="G63" i="16"/>
  <c r="G64" s="1"/>
  <c r="Q12" i="47"/>
  <c r="R12" s="1"/>
  <c r="G130" i="16"/>
  <c r="G131" s="1"/>
  <c r="O40" i="43"/>
  <c r="Q14" i="47"/>
  <c r="R14" s="1"/>
  <c r="G198" i="16"/>
  <c r="G199" s="1"/>
  <c r="Q17" i="47"/>
  <c r="R17" s="1"/>
  <c r="G301" i="16"/>
  <c r="G302" s="1"/>
  <c r="G337"/>
  <c r="G338" s="1"/>
  <c r="Q18" i="47"/>
  <c r="Q19"/>
  <c r="R19" s="1"/>
  <c r="G372" i="16"/>
  <c r="G373" s="1"/>
  <c r="Q11" i="47"/>
  <c r="R11" s="1"/>
  <c r="G97" i="16"/>
  <c r="G98" s="1"/>
  <c r="Q13" i="47"/>
  <c r="R13" s="1"/>
  <c r="G164" i="16"/>
  <c r="G165" s="1"/>
  <c r="AM35" i="43"/>
  <c r="AM41" s="1"/>
  <c r="AM51" s="1"/>
  <c r="AM53" s="1"/>
  <c r="AS34"/>
  <c r="BZ35"/>
  <c r="U33"/>
  <c r="BR35"/>
  <c r="O34"/>
  <c r="W35"/>
  <c r="AS33"/>
  <c r="BZ33"/>
  <c r="AM34"/>
  <c r="G804" i="16"/>
  <c r="G805" s="1"/>
  <c r="G806" s="1"/>
  <c r="G917"/>
  <c r="G924" s="1"/>
  <c r="G925" s="1"/>
  <c r="G926" s="1"/>
  <c r="G532"/>
  <c r="G533" s="1"/>
  <c r="G534" s="1"/>
  <c r="Q736"/>
  <c r="Q737" s="1"/>
  <c r="Q738" s="1"/>
  <c r="G566"/>
  <c r="G567" s="1"/>
  <c r="G568" s="1"/>
  <c r="G585"/>
  <c r="G600" s="1"/>
  <c r="G601" s="1"/>
  <c r="G602" s="1"/>
  <c r="G943"/>
  <c r="G950" s="1"/>
  <c r="G951" s="1"/>
  <c r="G952" s="1"/>
  <c r="G27"/>
  <c r="AI33" i="43"/>
  <c r="U34"/>
  <c r="D35"/>
  <c r="Q21"/>
  <c r="Q45" s="1"/>
  <c r="Q44"/>
  <c r="CB44"/>
  <c r="CB21"/>
  <c r="CB45" s="1"/>
  <c r="CA44"/>
  <c r="CA21"/>
  <c r="CA45" s="1"/>
  <c r="Q600" i="16"/>
  <c r="AG40" i="43"/>
  <c r="G721" i="16"/>
  <c r="G736" s="1"/>
  <c r="G737" s="1"/>
  <c r="G738" s="1"/>
  <c r="Q804"/>
  <c r="Q805" s="1"/>
  <c r="Q806" s="1"/>
  <c r="G969"/>
  <c r="G976" s="1"/>
  <c r="G977" s="1"/>
  <c r="G978" s="1"/>
  <c r="Q872"/>
  <c r="Q873" s="1"/>
  <c r="Q874" s="1"/>
  <c r="Q976"/>
  <c r="Q977" s="1"/>
  <c r="Q978" s="1"/>
  <c r="Q924"/>
  <c r="Q925" s="1"/>
  <c r="Q926" s="1"/>
  <c r="Q838"/>
  <c r="Q839" s="1"/>
  <c r="Q840" s="1"/>
  <c r="Q770"/>
  <c r="Q771" s="1"/>
  <c r="Q532"/>
  <c r="Q533" s="1"/>
  <c r="Q534" s="1"/>
  <c r="G755"/>
  <c r="G770" s="1"/>
  <c r="G771" s="1"/>
  <c r="G772" s="1"/>
  <c r="G702"/>
  <c r="G703" s="1"/>
  <c r="G704" s="1"/>
  <c r="G857"/>
  <c r="G872" s="1"/>
  <c r="G873" s="1"/>
  <c r="G874" s="1"/>
  <c r="T631"/>
  <c r="G668"/>
  <c r="G669" s="1"/>
  <c r="G670" s="1"/>
  <c r="Q27"/>
  <c r="Q28" s="1"/>
  <c r="Q29" s="1"/>
  <c r="Q634"/>
  <c r="Q635" s="1"/>
  <c r="Q636" s="1"/>
  <c r="Q898"/>
  <c r="Q899" s="1"/>
  <c r="Q900" s="1"/>
  <c r="Q702"/>
  <c r="Q703" s="1"/>
  <c r="Q704" s="1"/>
  <c r="G619"/>
  <c r="G634" s="1"/>
  <c r="G635" s="1"/>
  <c r="G636" s="1"/>
  <c r="BX12" i="43"/>
  <c r="BX39" s="1"/>
  <c r="BX40"/>
  <c r="AD12"/>
  <c r="AD39" s="1"/>
  <c r="AD41" s="1"/>
  <c r="AD51" s="1"/>
  <c r="AD53" s="1"/>
  <c r="AD54" s="1"/>
  <c r="AD55" s="1"/>
  <c r="BD12"/>
  <c r="BD39" s="1"/>
  <c r="Q950" i="16"/>
  <c r="Q951" s="1"/>
  <c r="Q566"/>
  <c r="Q567" s="1"/>
  <c r="Q568" s="1"/>
  <c r="G1036"/>
  <c r="Q668"/>
  <c r="Q669" s="1"/>
  <c r="Q670" s="1"/>
  <c r="R74" i="47"/>
  <c r="L111"/>
  <c r="O89"/>
  <c r="F111"/>
  <c r="I89"/>
  <c r="I111"/>
  <c r="O98"/>
  <c r="CA40" i="43"/>
  <c r="CA12"/>
  <c r="CA39" s="1"/>
  <c r="CB40"/>
  <c r="CB12"/>
  <c r="CB39" s="1"/>
  <c r="P12"/>
  <c r="P39" s="1"/>
  <c r="P40"/>
  <c r="P41" s="1"/>
  <c r="P51" s="1"/>
  <c r="P53" s="1"/>
  <c r="C23" i="44" s="1"/>
  <c r="BZ41" i="43"/>
  <c r="BZ51" s="1"/>
  <c r="BZ53" s="1"/>
  <c r="C85" i="44" s="1"/>
  <c r="Q997" i="16"/>
  <c r="Q998" s="1"/>
  <c r="AA12" i="43"/>
  <c r="AA39" s="1"/>
  <c r="AA40"/>
  <c r="V40"/>
  <c r="V12"/>
  <c r="V39" s="1"/>
  <c r="BB41"/>
  <c r="U12"/>
  <c r="U39" s="1"/>
  <c r="U41" s="1"/>
  <c r="G12"/>
  <c r="G39" s="1"/>
  <c r="G41" s="1"/>
  <c r="I54"/>
  <c r="I55" s="1"/>
  <c r="Q12"/>
  <c r="Q39" s="1"/>
  <c r="Q40"/>
  <c r="AB40"/>
  <c r="AB12"/>
  <c r="AB39" s="1"/>
  <c r="BL12"/>
  <c r="BL39" s="1"/>
  <c r="BL40"/>
  <c r="T12"/>
  <c r="T39" s="1"/>
  <c r="T40"/>
  <c r="N40"/>
  <c r="N12"/>
  <c r="N39" s="1"/>
  <c r="M41"/>
  <c r="G997" i="16"/>
  <c r="G998" s="1"/>
  <c r="L12" i="43"/>
  <c r="L39" s="1"/>
  <c r="L40"/>
  <c r="AX12"/>
  <c r="AX39" s="1"/>
  <c r="AX40"/>
  <c r="J12"/>
  <c r="J39" s="1"/>
  <c r="J40"/>
  <c r="AJ40"/>
  <c r="AJ12"/>
  <c r="AJ39" s="1"/>
  <c r="BW40"/>
  <c r="BW12"/>
  <c r="BW39" s="1"/>
  <c r="BO40"/>
  <c r="BO12"/>
  <c r="BO39" s="1"/>
  <c r="BN12"/>
  <c r="BN39" s="1"/>
  <c r="BN40"/>
  <c r="BC12"/>
  <c r="BC39" s="1"/>
  <c r="BC40"/>
  <c r="R97" i="47"/>
  <c r="R89" s="1"/>
  <c r="K40" i="43"/>
  <c r="K12"/>
  <c r="K39" s="1"/>
  <c r="R66" i="47"/>
  <c r="R49"/>
  <c r="R45" s="1"/>
  <c r="G1055" i="16"/>
  <c r="G1056" s="1"/>
  <c r="R61" i="47"/>
  <c r="R63"/>
  <c r="R62"/>
  <c r="BE33" i="43"/>
  <c r="BE34"/>
  <c r="AS41"/>
  <c r="AS51" s="1"/>
  <c r="AS53" s="1"/>
  <c r="C52" i="44" s="1"/>
  <c r="AC41" i="43"/>
  <c r="BC34"/>
  <c r="AW41"/>
  <c r="AW51" s="1"/>
  <c r="AW53" s="1"/>
  <c r="AW54" s="1"/>
  <c r="AW55" s="1"/>
  <c r="BC35"/>
  <c r="S41"/>
  <c r="R41"/>
  <c r="V34"/>
  <c r="BR34"/>
  <c r="BR41" s="1"/>
  <c r="O35"/>
  <c r="O41" s="1"/>
  <c r="O51" s="1"/>
  <c r="O53" s="1"/>
  <c r="C22" i="44" s="1"/>
  <c r="AP34" i="43"/>
  <c r="AP41" s="1"/>
  <c r="AP51" s="1"/>
  <c r="AP53" s="1"/>
  <c r="BS34"/>
  <c r="BS41" s="1"/>
  <c r="BS51" s="1"/>
  <c r="BS53" s="1"/>
  <c r="B35"/>
  <c r="W33"/>
  <c r="Y34"/>
  <c r="Y41" s="1"/>
  <c r="Y51" s="1"/>
  <c r="Y53" s="1"/>
  <c r="AL41"/>
  <c r="AL51" s="1"/>
  <c r="AL53" s="1"/>
  <c r="C45" i="44" s="1"/>
  <c r="AG41" i="43"/>
  <c r="AG51" s="1"/>
  <c r="AG53" s="1"/>
  <c r="AG54" s="1"/>
  <c r="AG55" s="1"/>
  <c r="D33"/>
  <c r="AV34"/>
  <c r="AV35"/>
  <c r="AV33"/>
  <c r="Z35"/>
  <c r="Z33"/>
  <c r="Z41" s="1"/>
  <c r="Z51" s="1"/>
  <c r="Z53" s="1"/>
  <c r="C33" i="44" s="1"/>
  <c r="BJ35" i="43"/>
  <c r="BJ33"/>
  <c r="BJ41" s="1"/>
  <c r="BY34"/>
  <c r="BY35"/>
  <c r="BY33"/>
  <c r="AN41"/>
  <c r="AN51" s="1"/>
  <c r="AN53" s="1"/>
  <c r="C47" i="44" s="1"/>
  <c r="AY41" i="43"/>
  <c r="BQ33"/>
  <c r="BQ41" s="1"/>
  <c r="AH41"/>
  <c r="AH51" s="1"/>
  <c r="AH53" s="1"/>
  <c r="C41" i="44" s="1"/>
  <c r="AK41" i="43"/>
  <c r="AK51" s="1"/>
  <c r="AK53" s="1"/>
  <c r="BU34"/>
  <c r="BI41"/>
  <c r="AQ41"/>
  <c r="AQ51" s="1"/>
  <c r="AQ53" s="1"/>
  <c r="BM33"/>
  <c r="BM41" s="1"/>
  <c r="BM51" s="1"/>
  <c r="BM53" s="1"/>
  <c r="AA34"/>
  <c r="B41"/>
  <c r="B51" s="1"/>
  <c r="B53" s="1"/>
  <c r="W41"/>
  <c r="W51" s="1"/>
  <c r="W53" s="1"/>
  <c r="C50" i="44"/>
  <c r="AQ54" i="43"/>
  <c r="AQ55" s="1"/>
  <c r="AM54"/>
  <c r="AM55" s="1"/>
  <c r="C46" i="44"/>
  <c r="H33" i="43"/>
  <c r="H34"/>
  <c r="H35"/>
  <c r="BK35"/>
  <c r="BK34"/>
  <c r="BK33"/>
  <c r="AS54"/>
  <c r="AS55" s="1"/>
  <c r="X34"/>
  <c r="X33"/>
  <c r="X35"/>
  <c r="AL54"/>
  <c r="AL55" s="1"/>
  <c r="AF33"/>
  <c r="AF34"/>
  <c r="AF35"/>
  <c r="AT35"/>
  <c r="AT34"/>
  <c r="AT33"/>
  <c r="AT41" s="1"/>
  <c r="AT51" s="1"/>
  <c r="AT53" s="1"/>
  <c r="BN35"/>
  <c r="BN34"/>
  <c r="BN33"/>
  <c r="T33"/>
  <c r="T35"/>
  <c r="T34"/>
  <c r="F34"/>
  <c r="F33"/>
  <c r="F35"/>
  <c r="AI41"/>
  <c r="AI51" s="1"/>
  <c r="AI53" s="1"/>
  <c r="BB51"/>
  <c r="BB53" s="1"/>
  <c r="BB54" s="1"/>
  <c r="BB55" s="1"/>
  <c r="E41"/>
  <c r="BF41"/>
  <c r="AZ41"/>
  <c r="AZ51" s="1"/>
  <c r="AZ53" s="1"/>
  <c r="BU41"/>
  <c r="BU51" s="1"/>
  <c r="BU53" s="1"/>
  <c r="BV41"/>
  <c r="BV51" s="1"/>
  <c r="BV53" s="1"/>
  <c r="AO41"/>
  <c r="AO51" s="1"/>
  <c r="AO53" s="1"/>
  <c r="BD41"/>
  <c r="BG41"/>
  <c r="BA41"/>
  <c r="BA51" s="1"/>
  <c r="BA53" s="1"/>
  <c r="BW21"/>
  <c r="BW45" s="1"/>
  <c r="BW44"/>
  <c r="BG44"/>
  <c r="BG21"/>
  <c r="BG45" s="1"/>
  <c r="BJ44"/>
  <c r="BJ21"/>
  <c r="BJ45" s="1"/>
  <c r="AX44"/>
  <c r="AX21"/>
  <c r="AX45" s="1"/>
  <c r="S21"/>
  <c r="S45" s="1"/>
  <c r="S44"/>
  <c r="G21"/>
  <c r="G45" s="1"/>
  <c r="G44"/>
  <c r="AC21"/>
  <c r="AC45" s="1"/>
  <c r="AC44"/>
  <c r="J44"/>
  <c r="J21"/>
  <c r="J45" s="1"/>
  <c r="BP44"/>
  <c r="BP21"/>
  <c r="BP45" s="1"/>
  <c r="U21"/>
  <c r="U45" s="1"/>
  <c r="U44"/>
  <c r="BI44"/>
  <c r="BI21"/>
  <c r="BI45" s="1"/>
  <c r="T44"/>
  <c r="T21"/>
  <c r="T45" s="1"/>
  <c r="AB44"/>
  <c r="AB21"/>
  <c r="AB45" s="1"/>
  <c r="BK21"/>
  <c r="BK45" s="1"/>
  <c r="BK44"/>
  <c r="BR44"/>
  <c r="BR21"/>
  <c r="BR45" s="1"/>
  <c r="BF21"/>
  <c r="BF45" s="1"/>
  <c r="BF44"/>
  <c r="BX21"/>
  <c r="BX45" s="1"/>
  <c r="BX44"/>
  <c r="K44"/>
  <c r="K21"/>
  <c r="K45" s="1"/>
  <c r="BQ21"/>
  <c r="BQ45" s="1"/>
  <c r="BQ44"/>
  <c r="R21"/>
  <c r="R45" s="1"/>
  <c r="R44"/>
  <c r="BD44"/>
  <c r="BD21"/>
  <c r="BD45" s="1"/>
  <c r="E21"/>
  <c r="E45" s="1"/>
  <c r="E44"/>
  <c r="AV44"/>
  <c r="AV21"/>
  <c r="AV45" s="1"/>
  <c r="BH44"/>
  <c r="BH49" s="1"/>
  <c r="H44"/>
  <c r="H49" s="1"/>
  <c r="AY44"/>
  <c r="AY21"/>
  <c r="AY45" s="1"/>
  <c r="M44"/>
  <c r="M21"/>
  <c r="M45" s="1"/>
  <c r="BC21"/>
  <c r="BC45" s="1"/>
  <c r="BC44"/>
  <c r="C51" i="44"/>
  <c r="BH35" i="43"/>
  <c r="BH33"/>
  <c r="BH34"/>
  <c r="G19" i="8"/>
  <c r="G20"/>
  <c r="C33" i="43"/>
  <c r="C35"/>
  <c r="C34"/>
  <c r="BT35"/>
  <c r="BT33"/>
  <c r="BT34"/>
  <c r="L33"/>
  <c r="L34"/>
  <c r="L35"/>
  <c r="BX33"/>
  <c r="BX34"/>
  <c r="BX35"/>
  <c r="AE35"/>
  <c r="AE34"/>
  <c r="AE33"/>
  <c r="BP33"/>
  <c r="BP34"/>
  <c r="BP35"/>
  <c r="AU33"/>
  <c r="AU35"/>
  <c r="AU34"/>
  <c r="Q1035" i="16"/>
  <c r="Q1036" s="1"/>
  <c r="Q601"/>
  <c r="Q602" s="1"/>
  <c r="R60" i="47"/>
  <c r="R54" s="1"/>
  <c r="R112"/>
  <c r="G28" i="16" l="1"/>
  <c r="G29" s="1"/>
  <c r="Q9" i="47"/>
  <c r="R9" s="1"/>
  <c r="C61" i="44"/>
  <c r="D41" i="43"/>
  <c r="D51" s="1"/>
  <c r="D53" s="1"/>
  <c r="C11" i="44" s="1"/>
  <c r="AE41" i="43"/>
  <c r="AE51" s="1"/>
  <c r="AE53" s="1"/>
  <c r="AA41"/>
  <c r="AA51" s="1"/>
  <c r="AA53" s="1"/>
  <c r="CA49"/>
  <c r="CB49"/>
  <c r="BC49"/>
  <c r="AY49"/>
  <c r="AY51" s="1"/>
  <c r="AY53" s="1"/>
  <c r="BZ54"/>
  <c r="BZ55" s="1"/>
  <c r="Q49"/>
  <c r="B54"/>
  <c r="B55" s="1"/>
  <c r="C9" i="44"/>
  <c r="T49" i="43"/>
  <c r="U49"/>
  <c r="J49"/>
  <c r="AC49"/>
  <c r="AC51" s="1"/>
  <c r="AC53" s="1"/>
  <c r="C36" i="44" s="1"/>
  <c r="S49" i="43"/>
  <c r="AX49"/>
  <c r="BG49"/>
  <c r="BG51" s="1"/>
  <c r="BG53" s="1"/>
  <c r="Q772" i="16"/>
  <c r="Q952"/>
  <c r="CB41" i="43"/>
  <c r="CB51" s="1"/>
  <c r="CB53" s="1"/>
  <c r="CB54" s="1"/>
  <c r="CB55" s="1"/>
  <c r="CA41"/>
  <c r="CA51" s="1"/>
  <c r="CA53" s="1"/>
  <c r="C90" i="44" s="1"/>
  <c r="BO41" i="43"/>
  <c r="BO51" s="1"/>
  <c r="BO53" s="1"/>
  <c r="BO54" s="1"/>
  <c r="BO55" s="1"/>
  <c r="R8" i="47"/>
  <c r="C44" i="44"/>
  <c r="C44" i="31"/>
  <c r="C86"/>
  <c r="CA54" i="43"/>
  <c r="CA55" s="1"/>
  <c r="BQ49"/>
  <c r="BX49"/>
  <c r="BF49"/>
  <c r="AB49"/>
  <c r="F41"/>
  <c r="F51" s="1"/>
  <c r="F53" s="1"/>
  <c r="C13" i="44" s="1"/>
  <c r="AF41" i="43"/>
  <c r="AF51" s="1"/>
  <c r="AF53" s="1"/>
  <c r="X41"/>
  <c r="X51" s="1"/>
  <c r="X53" s="1"/>
  <c r="BE41"/>
  <c r="BE51" s="1"/>
  <c r="BE53" s="1"/>
  <c r="C64" i="44" s="1"/>
  <c r="Q41" i="43"/>
  <c r="BE54"/>
  <c r="BE55" s="1"/>
  <c r="V41"/>
  <c r="V51" s="1"/>
  <c r="V53" s="1"/>
  <c r="V54" s="1"/>
  <c r="V55" s="1"/>
  <c r="BW41"/>
  <c r="AJ41"/>
  <c r="AJ51" s="1"/>
  <c r="AJ53" s="1"/>
  <c r="AJ54" s="1"/>
  <c r="AJ55" s="1"/>
  <c r="AX41"/>
  <c r="AX51" s="1"/>
  <c r="AX53" s="1"/>
  <c r="U51"/>
  <c r="U53" s="1"/>
  <c r="C28" i="44" s="1"/>
  <c r="S51" i="43"/>
  <c r="S53" s="1"/>
  <c r="S54" s="1"/>
  <c r="N41"/>
  <c r="N51" s="1"/>
  <c r="N53" s="1"/>
  <c r="BL41"/>
  <c r="BL51" s="1"/>
  <c r="BL53" s="1"/>
  <c r="BL54" s="1"/>
  <c r="BL55" s="1"/>
  <c r="AB41"/>
  <c r="AB51" s="1"/>
  <c r="AB53" s="1"/>
  <c r="P54"/>
  <c r="P55" s="1"/>
  <c r="C40" i="44"/>
  <c r="K41" i="43"/>
  <c r="J41"/>
  <c r="J51" s="1"/>
  <c r="J53" s="1"/>
  <c r="C17" i="44" s="1"/>
  <c r="C37"/>
  <c r="BF51" i="43"/>
  <c r="BF53" s="1"/>
  <c r="C65" i="44" s="1"/>
  <c r="BS54" i="43"/>
  <c r="C78" i="44"/>
  <c r="BS55" i="43"/>
  <c r="AN54"/>
  <c r="AN55" s="1"/>
  <c r="C56" i="44"/>
  <c r="Z54" i="43"/>
  <c r="Z55" s="1"/>
  <c r="AV41"/>
  <c r="BC41"/>
  <c r="BC51" s="1"/>
  <c r="BC53" s="1"/>
  <c r="F54"/>
  <c r="F55" s="1"/>
  <c r="C30" i="44"/>
  <c r="W54" i="43"/>
  <c r="W55" s="1"/>
  <c r="O54"/>
  <c r="O55" s="1"/>
  <c r="D54"/>
  <c r="D55" s="1"/>
  <c r="AC54"/>
  <c r="AC55" s="1"/>
  <c r="AK54"/>
  <c r="AK55" s="1"/>
  <c r="BQ51"/>
  <c r="BQ53" s="1"/>
  <c r="C76" i="44" s="1"/>
  <c r="BK41" i="43"/>
  <c r="AH54"/>
  <c r="AH55" s="1"/>
  <c r="BY41"/>
  <c r="BY51" s="1"/>
  <c r="BY53" s="1"/>
  <c r="AA54"/>
  <c r="AA55" s="1"/>
  <c r="C34" i="44"/>
  <c r="C60"/>
  <c r="BA54" i="43"/>
  <c r="BA55" s="1"/>
  <c r="C59" i="44"/>
  <c r="AZ54" i="43"/>
  <c r="AZ55" s="1"/>
  <c r="Y54"/>
  <c r="Y55" s="1"/>
  <c r="C32" i="44"/>
  <c r="C81"/>
  <c r="BV54" i="43"/>
  <c r="BV55" s="1"/>
  <c r="BM54"/>
  <c r="BM55" s="1"/>
  <c r="C72" i="44"/>
  <c r="AI54" i="43"/>
  <c r="AI55" s="1"/>
  <c r="C42" i="44"/>
  <c r="C74"/>
  <c r="AT54" i="43"/>
  <c r="C53" i="44"/>
  <c r="AT55" i="43"/>
  <c r="C39" i="44"/>
  <c r="AF54" i="43"/>
  <c r="AF55" s="1"/>
  <c r="X54"/>
  <c r="X55" s="1"/>
  <c r="C31" i="44"/>
  <c r="C48"/>
  <c r="AO54" i="43"/>
  <c r="AO55" s="1"/>
  <c r="C80" i="44"/>
  <c r="BU54" i="43"/>
  <c r="BU55" s="1"/>
  <c r="AP54"/>
  <c r="AP55" s="1"/>
  <c r="C49" i="44"/>
  <c r="AU41" i="43"/>
  <c r="AU51" s="1"/>
  <c r="AU53" s="1"/>
  <c r="C54" i="44" s="1"/>
  <c r="L41" i="43"/>
  <c r="L51" s="1"/>
  <c r="L53" s="1"/>
  <c r="T41"/>
  <c r="T51" s="1"/>
  <c r="T53" s="1"/>
  <c r="BN41"/>
  <c r="BN51" s="1"/>
  <c r="BN53" s="1"/>
  <c r="H41"/>
  <c r="H51" s="1"/>
  <c r="H53" s="1"/>
  <c r="BG54"/>
  <c r="BG55" s="1"/>
  <c r="C66" i="44"/>
  <c r="AV49" i="43"/>
  <c r="E49"/>
  <c r="E51" s="1"/>
  <c r="E53" s="1"/>
  <c r="C12" i="44" s="1"/>
  <c r="BD49" i="43"/>
  <c r="BD51" s="1"/>
  <c r="BD53" s="1"/>
  <c r="R49"/>
  <c r="R51" s="1"/>
  <c r="R53" s="1"/>
  <c r="K49"/>
  <c r="K51" s="1"/>
  <c r="K53" s="1"/>
  <c r="C18" i="44" s="1"/>
  <c r="BR49" i="43"/>
  <c r="BR51" s="1"/>
  <c r="BR53" s="1"/>
  <c r="C77" i="31" s="1"/>
  <c r="BK49" i="43"/>
  <c r="BK51" s="1"/>
  <c r="BK53" s="1"/>
  <c r="BI49"/>
  <c r="BI51" s="1"/>
  <c r="BI53" s="1"/>
  <c r="BP49"/>
  <c r="G49"/>
  <c r="G51" s="1"/>
  <c r="G53" s="1"/>
  <c r="C14" i="44" s="1"/>
  <c r="BJ49" i="43"/>
  <c r="BJ51" s="1"/>
  <c r="BJ53" s="1"/>
  <c r="BW49"/>
  <c r="M49"/>
  <c r="M51" s="1"/>
  <c r="M53" s="1"/>
  <c r="C20" i="44" s="1"/>
  <c r="AU54" i="43"/>
  <c r="AU55" s="1"/>
  <c r="BX41"/>
  <c r="BX51" s="1"/>
  <c r="BX53" s="1"/>
  <c r="R119" i="47"/>
  <c r="R111" s="1"/>
  <c r="BT41" i="43"/>
  <c r="BT51" s="1"/>
  <c r="BT53" s="1"/>
  <c r="C41"/>
  <c r="C51" s="1"/>
  <c r="C53" s="1"/>
  <c r="C10" i="44" s="1"/>
  <c r="BH41" i="43"/>
  <c r="BH51" s="1"/>
  <c r="BH53" s="1"/>
  <c r="AE54"/>
  <c r="AE55" s="1"/>
  <c r="C38" i="44"/>
  <c r="BP41" i="43"/>
  <c r="BP51" s="1"/>
  <c r="BP53" s="1"/>
  <c r="C43" i="44" l="1"/>
  <c r="C91"/>
  <c r="AY54" i="43"/>
  <c r="AY55" s="1"/>
  <c r="C58" i="44"/>
  <c r="Q51" i="43"/>
  <c r="Q53" s="1"/>
  <c r="C15" i="31"/>
  <c r="C15" i="44"/>
  <c r="N54" i="43"/>
  <c r="N55" s="1"/>
  <c r="C21" i="44"/>
  <c r="L54" i="43"/>
  <c r="L55" s="1"/>
  <c r="C19" i="44"/>
  <c r="C29"/>
  <c r="C71"/>
  <c r="C87" i="31"/>
  <c r="AX54" i="43"/>
  <c r="AX55" s="1"/>
  <c r="C57" i="44"/>
  <c r="BW51" i="43"/>
  <c r="BW53" s="1"/>
  <c r="S55"/>
  <c r="H77" i="31"/>
  <c r="F77"/>
  <c r="F1074" i="16"/>
  <c r="G1074" s="1"/>
  <c r="G1072" s="1"/>
  <c r="G1078" s="1"/>
  <c r="P1074"/>
  <c r="Q1074" s="1"/>
  <c r="Q1072" s="1"/>
  <c r="Q1078" s="1"/>
  <c r="Q1079" s="1"/>
  <c r="Q1080" s="1"/>
  <c r="F15" i="31"/>
  <c r="H15"/>
  <c r="C35" i="44"/>
  <c r="C35" i="31"/>
  <c r="H44"/>
  <c r="F44"/>
  <c r="BF54" i="43"/>
  <c r="BF55" s="1"/>
  <c r="U54"/>
  <c r="U55" s="1"/>
  <c r="J54"/>
  <c r="J55" s="1"/>
  <c r="AV51"/>
  <c r="AV53" s="1"/>
  <c r="C55" i="44" s="1"/>
  <c r="C26"/>
  <c r="BQ54" i="43"/>
  <c r="BQ55" s="1"/>
  <c r="C27" i="44"/>
  <c r="T54" i="43"/>
  <c r="T55" s="1"/>
  <c r="C62" i="44"/>
  <c r="BC54" i="43"/>
  <c r="BC55" s="1"/>
  <c r="AB54"/>
  <c r="AB55" s="1"/>
  <c r="C84" i="44"/>
  <c r="BY54" i="43"/>
  <c r="BY55" s="1"/>
  <c r="C73" i="44"/>
  <c r="BN54" i="43"/>
  <c r="BN55" s="1"/>
  <c r="H54"/>
  <c r="H55" s="1"/>
  <c r="BW54"/>
  <c r="BW55" s="1"/>
  <c r="C82" i="44"/>
  <c r="G54" i="43"/>
  <c r="G55" s="1"/>
  <c r="BI54"/>
  <c r="BI55" s="1"/>
  <c r="C68" i="44"/>
  <c r="C88"/>
  <c r="C77"/>
  <c r="BR54" i="43"/>
  <c r="BR55" s="1"/>
  <c r="C25" i="44"/>
  <c r="R54" i="43"/>
  <c r="R55" s="1"/>
  <c r="E54"/>
  <c r="E55" s="1"/>
  <c r="C69" i="44"/>
  <c r="BJ54" i="43"/>
  <c r="BJ55" s="1"/>
  <c r="C89" i="44"/>
  <c r="BK54" i="43"/>
  <c r="BK55" s="1"/>
  <c r="C70" i="44"/>
  <c r="K54" i="43"/>
  <c r="K55" s="1"/>
  <c r="BD54"/>
  <c r="BD55" s="1"/>
  <c r="C63" i="44"/>
  <c r="M54" i="43"/>
  <c r="M55" s="1"/>
  <c r="C75" i="44"/>
  <c r="BP54" i="43"/>
  <c r="BP55" s="1"/>
  <c r="BH54"/>
  <c r="BH55" s="1"/>
  <c r="C67" i="44"/>
  <c r="BX54" i="43"/>
  <c r="BX55" s="1"/>
  <c r="C83" i="44"/>
  <c r="BT54" i="43"/>
  <c r="BT55" s="1"/>
  <c r="C79" i="44"/>
  <c r="C54" i="43"/>
  <c r="C55" s="1"/>
  <c r="C24" i="44" l="1"/>
  <c r="Q54" i="43"/>
  <c r="Q55" s="1"/>
  <c r="AV54"/>
  <c r="AV55" s="1"/>
  <c r="R82" i="47"/>
  <c r="R83"/>
  <c r="R84"/>
  <c r="R85"/>
  <c r="R86"/>
  <c r="H35" i="31"/>
  <c r="F35"/>
  <c r="G1079" i="16"/>
  <c r="G1080" s="1"/>
  <c r="R67" i="47"/>
  <c r="R68"/>
  <c r="R64" l="1"/>
  <c r="R81"/>
  <c r="C10" i="48" l="1"/>
  <c r="C11" l="1"/>
  <c r="C12" s="1"/>
  <c r="R131" i="47"/>
</calcChain>
</file>

<file path=xl/comments1.xml><?xml version="1.0" encoding="utf-8"?>
<comments xmlns="http://schemas.openxmlformats.org/spreadsheetml/2006/main">
  <authors>
    <author>Temp</author>
  </authors>
  <commentList>
    <comment ref="H2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sz val="8"/>
            <color indexed="10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Podaci u ćelijama obojenim zelenom bojom povlaće se iz opisa radova!</t>
        </r>
      </text>
    </comment>
    <comment ref="K2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sz val="8"/>
            <color indexed="10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Podaci u ćelijama za radnu snagu, vozila, strojeve i opremu i materijale povlaće se iz pripadajućih datoteka!</t>
        </r>
      </text>
    </comment>
    <comment ref="H6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sz val="8"/>
            <color indexed="10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Podaci u ćelijama obojenim žutom bojom unose se ručno, za svaku stavku posebno!</t>
        </r>
      </text>
    </comment>
    <comment ref="K6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b/>
            <sz val="8"/>
            <color indexed="10"/>
            <rFont val="Tahoma"/>
            <family val="2"/>
            <charset val="238"/>
          </rPr>
          <t xml:space="preserve">
Podaci u ćelijama obojenim ljubičastom bojom mogu se mijenjati samo u ovom obrascu!</t>
        </r>
      </text>
    </comment>
    <comment ref="H11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b/>
            <sz val="8"/>
            <color indexed="10"/>
            <rFont val="Tahoma"/>
            <family val="2"/>
            <charset val="238"/>
          </rPr>
          <t xml:space="preserve">
Ne treba printati!</t>
        </r>
      </text>
    </comment>
  </commentList>
</comments>
</file>

<file path=xl/comments10.xml><?xml version="1.0" encoding="utf-8"?>
<comments xmlns="http://schemas.openxmlformats.org/spreadsheetml/2006/main">
  <authors>
    <author>Sanio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U OVU TABLICU POVLAČI IZNOSE IZ STUPCA "C" U LISTU "Cjenik VSO (pomoćna)"
A IZ NJE POVLAČI CIJENE U ANALIZE CIJENA</t>
        </r>
      </text>
    </comment>
  </commentList>
</comments>
</file>

<file path=xl/comments11.xml><?xml version="1.0" encoding="utf-8"?>
<comments xmlns="http://schemas.openxmlformats.org/spreadsheetml/2006/main">
  <authors>
    <author>Sanio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U OVU TABLICU SE UNOSE 
CIJENE MATERIJALA I PRIJEVOZA
A IZ NJE POVLAČI VRIJEDNOSTI 
U TABLICU "Cjenik M"</t>
        </r>
      </text>
    </comment>
  </commentList>
</comments>
</file>

<file path=xl/comments2.xml><?xml version="1.0" encoding="utf-8"?>
<comments xmlns="http://schemas.openxmlformats.org/spreadsheetml/2006/main">
  <authors>
    <author>Swietelsky</author>
  </authors>
  <commentList>
    <comment ref="E4" authorId="0">
      <text>
        <r>
          <rPr>
            <b/>
            <sz val="8"/>
            <color indexed="10"/>
            <rFont val="Tahoma"/>
            <family val="2"/>
            <charset val="238"/>
          </rPr>
          <t>NAPOMENA:
Podaci u ćelijama obojenim žutom bojom unose se ručno!</t>
        </r>
      </text>
    </comment>
  </commentList>
</comments>
</file>

<file path=xl/comments3.xml><?xml version="1.0" encoding="utf-8"?>
<comments xmlns="http://schemas.openxmlformats.org/spreadsheetml/2006/main">
  <authors>
    <author>Sanio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U OVU TABLICU POVLAČI IZNOSE IZ STUPCA "G" U LISTU "Cjenik M (pomoćna)"
A IZ NJE POVLAČI CIJENE U ANALIZE CIJENA</t>
        </r>
      </text>
    </comment>
  </commentList>
</comments>
</file>

<file path=xl/comments4.xml><?xml version="1.0" encoding="utf-8"?>
<comments xmlns="http://schemas.openxmlformats.org/spreadsheetml/2006/main">
  <authors>
    <author>Swietelsky</author>
    <author>Temp</author>
  </authors>
  <commentList>
    <comment ref="D7" authorId="0">
      <text>
        <r>
          <rPr>
            <b/>
            <u/>
            <sz val="8"/>
            <color indexed="10"/>
            <rFont val="Tahoma"/>
            <family val="2"/>
            <charset val="238"/>
          </rPr>
          <t xml:space="preserve">NAPOMENA:
</t>
        </r>
        <r>
          <rPr>
            <b/>
            <sz val="8"/>
            <color indexed="10"/>
            <rFont val="Tahoma"/>
            <family val="2"/>
            <charset val="238"/>
          </rPr>
          <t>Podaci u ćelijama obojenim žutom bojom unose se ručno!</t>
        </r>
      </text>
    </comment>
    <comment ref="B10" authorId="1">
      <text>
        <r>
          <rPr>
            <b/>
            <u/>
            <sz val="8"/>
            <color indexed="10"/>
            <rFont val="Tahoma"/>
            <family val="2"/>
            <charset val="238"/>
          </rPr>
          <t xml:space="preserve">NAPOMENA: </t>
        </r>
        <r>
          <rPr>
            <sz val="8"/>
            <color indexed="10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 xml:space="preserve">Prijevoz se vrši sa vozilom do 2 tone i uračunat je u faktoru! </t>
        </r>
      </text>
    </comment>
  </commentList>
</comments>
</file>

<file path=xl/comments5.xml><?xml version="1.0" encoding="utf-8"?>
<comments xmlns="http://schemas.openxmlformats.org/spreadsheetml/2006/main">
  <authors>
    <author>ankicamilicevic</author>
    <author>Swietelsky</author>
  </authors>
  <commentList>
    <comment ref="E9" authorId="0">
      <text>
        <r>
          <rPr>
            <b/>
            <sz val="8"/>
            <color indexed="10"/>
            <rFont val="Tahoma"/>
            <family val="2"/>
            <charset val="238"/>
          </rPr>
          <t>Pretpostavlja se mogućnost promjene PDV-a za rad, materijal i ev. rad strojeva i vozila, pa se u svakoj tablici unosi kao zaseban podatak jer nije povezan!</t>
        </r>
      </text>
    </comment>
    <comment ref="E10" authorId="1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b/>
            <sz val="8"/>
            <color indexed="10"/>
            <rFont val="Tahoma"/>
            <family val="2"/>
            <charset val="238"/>
          </rPr>
          <t xml:space="preserve">
Podaci u ćelijama obojenim žutom bojom unose se ručno!</t>
        </r>
      </text>
    </comment>
  </commentList>
</comments>
</file>

<file path=xl/comments6.xml><?xml version="1.0" encoding="utf-8"?>
<comments xmlns="http://schemas.openxmlformats.org/spreadsheetml/2006/main">
  <authors>
    <author>Swietelsky</author>
  </authors>
  <commentList>
    <comment ref="A2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b/>
            <sz val="8"/>
            <color indexed="10"/>
            <rFont val="Tahoma"/>
            <family val="2"/>
            <charset val="238"/>
          </rPr>
          <t xml:space="preserve">
Podaci u ćelijama obojenim žutom bojom unose se ručno!</t>
        </r>
      </text>
    </comment>
  </commentList>
</comments>
</file>

<file path=xl/comments7.xml><?xml version="1.0" encoding="utf-8"?>
<comments xmlns="http://schemas.openxmlformats.org/spreadsheetml/2006/main">
  <authors>
    <author>Swietelsky</author>
  </authors>
  <commentList>
    <comment ref="A4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b/>
            <sz val="8"/>
            <color indexed="10"/>
            <rFont val="Tahoma"/>
            <family val="2"/>
            <charset val="238"/>
          </rPr>
          <t xml:space="preserve">
Podaci u ćelijama obojenim žutom bojom unose se ručno!</t>
        </r>
      </text>
    </comment>
  </commentList>
</comments>
</file>

<file path=xl/comments8.xml><?xml version="1.0" encoding="utf-8"?>
<comments xmlns="http://schemas.openxmlformats.org/spreadsheetml/2006/main">
  <authors>
    <author>Sanio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U OVU TABLICU POVLAČI IZNOSE IZ RETKA "53" U LISTU "Cijena sata rada"
A IZ NJE POVLAČI CIJENE U LIST "Cjenik VSO"</t>
        </r>
      </text>
    </comment>
  </commentList>
</comments>
</file>

<file path=xl/comments9.xml><?xml version="1.0" encoding="utf-8"?>
<comments xmlns="http://schemas.openxmlformats.org/spreadsheetml/2006/main">
  <authors>
    <author>Sanio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U OVU TABLICU POVLAČI IZNOSE IZ RETKA "53" U LISTU "Cijena sata rada"
A IZ NJE POVLAČI CIJENE U LIST "Cjenik VSO"</t>
        </r>
      </text>
    </comment>
  </commentList>
</comments>
</file>

<file path=xl/sharedStrings.xml><?xml version="1.0" encoding="utf-8"?>
<sst xmlns="http://schemas.openxmlformats.org/spreadsheetml/2006/main" count="3441" uniqueCount="1086">
  <si>
    <t>ŽUPANIJA: LIČKO - SENJSKA</t>
  </si>
  <si>
    <t>OPĆINA PERUŠIĆ</t>
  </si>
  <si>
    <t>2014. godina
(od 01.04.2014. do 31.03.2015.)</t>
  </si>
  <si>
    <t>2015. godina
(od 01.04.2015. do 31.03.2016.)</t>
  </si>
  <si>
    <t>2016. godina
(od 01.04.2016. do 31.03.2017.)</t>
  </si>
  <si>
    <t>2017. godina
(od 01.04.2017. do 31.03.2018.)</t>
  </si>
  <si>
    <t>Ukupno od 2021. do 2022. godine
(od 01.12.2021. do 30.11.2022.)</t>
  </si>
  <si>
    <t>Pozicija</t>
  </si>
  <si>
    <t>Opis rada</t>
  </si>
  <si>
    <t>Jedinica
mjere</t>
  </si>
  <si>
    <t>Količina</t>
  </si>
  <si>
    <t>Jedinična cijena</t>
  </si>
  <si>
    <t>Vrijednost radova</t>
  </si>
  <si>
    <t>1.</t>
  </si>
  <si>
    <t>1.1.</t>
  </si>
  <si>
    <t>h</t>
  </si>
  <si>
    <t>1.2.</t>
  </si>
  <si>
    <t>2.</t>
  </si>
  <si>
    <t>ODRŽAVANJE KOLNIKA</t>
  </si>
  <si>
    <t>2.1.</t>
  </si>
  <si>
    <t>m2</t>
  </si>
  <si>
    <t>m3</t>
  </si>
  <si>
    <t>2.2.</t>
  </si>
  <si>
    <t>Popravci asfaltnog kolnika</t>
  </si>
  <si>
    <t>2.2.1.</t>
  </si>
  <si>
    <t>Manji popravci</t>
  </si>
  <si>
    <t>t</t>
  </si>
  <si>
    <t>2.2.1.2.</t>
  </si>
  <si>
    <t>2.2.1.3.</t>
  </si>
  <si>
    <t>2.2.1.4.</t>
  </si>
  <si>
    <t>2.2.1.5.</t>
  </si>
  <si>
    <t>2.2.1.6.</t>
  </si>
  <si>
    <t>m</t>
  </si>
  <si>
    <t>2.2.1.8.</t>
  </si>
  <si>
    <t>2.2.1.9.</t>
  </si>
  <si>
    <t>2.2.2.</t>
  </si>
  <si>
    <t>Veći popravci do 3.000 m2</t>
  </si>
  <si>
    <t>2.2.2.1.</t>
  </si>
  <si>
    <t>2.2.2.2.</t>
  </si>
  <si>
    <t>2.2.2.3.</t>
  </si>
  <si>
    <t>2.2.2.4.</t>
  </si>
  <si>
    <t>2.2.2.5.</t>
  </si>
  <si>
    <t>2.2.2.6.</t>
  </si>
  <si>
    <t>2.2.2.7.</t>
  </si>
  <si>
    <t>2.2.2.8.</t>
  </si>
  <si>
    <t>2.2.3.</t>
  </si>
  <si>
    <t>Veći popravci preko 3.000 m2</t>
  </si>
  <si>
    <t>2.2.3.1.</t>
  </si>
  <si>
    <t>2.2.3.2.</t>
  </si>
  <si>
    <t>2.2.3.3.</t>
  </si>
  <si>
    <t>2.2.3.4.</t>
  </si>
  <si>
    <t>2.2.3.5.</t>
  </si>
  <si>
    <t>2.2.3.6.</t>
  </si>
  <si>
    <t>2.2.3.7.</t>
  </si>
  <si>
    <t>2.2.3.8.</t>
  </si>
  <si>
    <t>2.2.4.</t>
  </si>
  <si>
    <t>Frezanje asfaltnog kolnika</t>
  </si>
  <si>
    <t>2.2.4.1.</t>
  </si>
  <si>
    <t>2.2.4.2.</t>
  </si>
  <si>
    <t>2.2.4.3.</t>
  </si>
  <si>
    <t>2.2.4.4.</t>
  </si>
  <si>
    <t>2.3.</t>
  </si>
  <si>
    <t>Popravci kolnika od kamenih materijala</t>
  </si>
  <si>
    <t>2.3.1.</t>
  </si>
  <si>
    <t>2.3.2.</t>
  </si>
  <si>
    <t>2.3.3.</t>
  </si>
  <si>
    <t>2.3.4.</t>
  </si>
  <si>
    <t>2.3.5.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</si>
  <si>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</si>
  <si>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</si>
  <si>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</si>
  <si>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</si>
  <si>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</si>
  <si>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</si>
  <si>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</si>
  <si>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</si>
  <si>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</si>
  <si>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</si>
  <si>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</si>
  <si>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</si>
  <si>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</si>
  <si>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</si>
  <si>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</si>
  <si>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</si>
  <si>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</si>
  <si>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</si>
  <si>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</si>
  <si>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5.</t>
  </si>
  <si>
    <t>5.1.</t>
  </si>
  <si>
    <t>5.2.</t>
  </si>
  <si>
    <t>kom</t>
  </si>
  <si>
    <t>5.3.</t>
  </si>
  <si>
    <t>6.</t>
  </si>
  <si>
    <t>6.1.</t>
  </si>
  <si>
    <t>6.2.</t>
  </si>
  <si>
    <t>6.3.</t>
  </si>
  <si>
    <t>7.</t>
  </si>
  <si>
    <t>7.1.</t>
  </si>
  <si>
    <t>7.2.</t>
  </si>
  <si>
    <t>7.3.</t>
  </si>
  <si>
    <t>7.4.</t>
  </si>
  <si>
    <t>7.5.</t>
  </si>
  <si>
    <t>7.6.</t>
  </si>
  <si>
    <t>7.7.</t>
  </si>
  <si>
    <t>8.</t>
  </si>
  <si>
    <t>8.2.</t>
  </si>
  <si>
    <t>kg</t>
  </si>
  <si>
    <t>8.3.</t>
  </si>
  <si>
    <t>9.</t>
  </si>
  <si>
    <t>9.1.</t>
  </si>
  <si>
    <t>9.2.</t>
  </si>
  <si>
    <t>9.3.</t>
  </si>
  <si>
    <t>10.</t>
  </si>
  <si>
    <t>10.1.</t>
  </si>
  <si>
    <t>10.2.</t>
  </si>
  <si>
    <t>10.3.</t>
  </si>
  <si>
    <t>10.4.</t>
  </si>
  <si>
    <t>11.</t>
  </si>
  <si>
    <t>11.1.</t>
  </si>
  <si>
    <t>11.2.</t>
  </si>
  <si>
    <t>11.3.</t>
  </si>
  <si>
    <t>UKUPNO:</t>
  </si>
  <si>
    <t>REDOVITO ODRŽAVANJE OBJEKATA U VLASNIŠTVU I SUVLASNIŠTVU</t>
  </si>
  <si>
    <t>ODRŽAVANJE OBJEKATA - RAD RADNIKA, RAD VOZILA, STROJEVA I OPREME</t>
  </si>
  <si>
    <t>ODRŽAVANJE OBJEKATA - UTROŠAK MATERIJALA</t>
  </si>
  <si>
    <t>PDV:</t>
  </si>
  <si>
    <t>SVEUKUPNO:</t>
  </si>
  <si>
    <t>Ophodarsko vozilo</t>
  </si>
  <si>
    <t>Teretni automobil nosivosti 3,5 - 12 t</t>
  </si>
  <si>
    <t>Rovokopač - utovarivač</t>
  </si>
  <si>
    <t>Radnik grupa I</t>
  </si>
  <si>
    <t>Utovarivač</t>
  </si>
  <si>
    <t>Specijalni stroj (Unimog)</t>
  </si>
  <si>
    <t>Specijalni stroj (kao Unimog); (min. 81 kW)</t>
  </si>
  <si>
    <t>Četka za kolnik za specijalni stroj (kao Unimog); (min. 2 m)</t>
  </si>
  <si>
    <t>Teretni automobil cisterna</t>
  </si>
  <si>
    <t>Teretni automobil cisterna (min. 112 kW; 6 m3)</t>
  </si>
  <si>
    <t>Popravak udarnih jama: 
obuhvaća popravak udarne jame obradom rubova u pravokutne oblike, uklanjanje asfaltnog materijala, utovar i odvoz uklonjenog materijala na deponiju prosječne udaljenosti 15 km, čišćenje, premazivanje rubova i špricanje jama bitumenskom emulzijom, dobavu i ručnu ugradnju asfaltne mješavine standardne kvalitete (prosječna količina 0,15 t/m2) s nabijanjem. Odabir vrste asfalte mješavine mora odgovarati postojećem završnom sloju asfaltnog kolnika i ne utječe na promjenu jediničnu cijenu.
Obračun po toni ugrađene asfaltne mješavine.</t>
  </si>
  <si>
    <t>Teretni automobil nosivosti 3,5 t</t>
  </si>
  <si>
    <t>Rezač asfalta (min. 6 kW)</t>
  </si>
  <si>
    <t>Vibroploča (min. 2,5 kW)</t>
  </si>
  <si>
    <t>Ručni popravak lokalnog oštećenja kolnika površine do 50 m2 u jednom kilometru:
obuhvaća popravak lokalnih oštećenja asfaltnog kolnika površine do 50 m2 s ručnom ugradnjom asfaltne mješavine standardne kvalitete u sloj prosječne debljine 4 cm. Rad obuhvaća frezanje asfalta, utovar i odvoz uklonjenog materijala na lokaciju koju određuje Naručitelj prosječne udaljenosti 15 km, čišćenje i špricanje površine bitumenskom emulzijom, dobavu i ručnu ugradnju asfaltne mješavine s valjanjem valjkom minimalne mase 6 t. Odabir vrste asfalte mješavine mora odgovarati postojećem završnom sloju asfaltnog kolnika i ne utječe na promjenu jediničnu cijenu.
Obračun po toni ugrađene asfaltne mješavine.</t>
  </si>
  <si>
    <t>Teretni automobil nosivosti 3,5 - 12 t (min. 155 kW)</t>
  </si>
  <si>
    <t>Teretni automobil nosivosti &gt; 12 t (min. 309 kW)</t>
  </si>
  <si>
    <t>Freza za asfalt (min. 1000 mm; 104 kW)</t>
  </si>
  <si>
    <t>Mini utovarivač (min. 53 kW)</t>
  </si>
  <si>
    <t>Četka za mini utovarivač (min. 1,0 m)</t>
  </si>
  <si>
    <t>Ručna prijenosna prskalica za bitumensku emulziju</t>
  </si>
  <si>
    <t>Valjak 2-6 t (min. 42,2 kW)</t>
  </si>
  <si>
    <t>Prikolica za prijevoz stroja nosivosti 7 t</t>
  </si>
  <si>
    <t>Prikolica za prijevoz stroja nosivosti 24 t</t>
  </si>
  <si>
    <t>Ručni popravak lokalnog oštećenja kolnika površine do 50 m2 u jednom kilometru - korištenjem termokontejnera:
obuhvaća popravak lokalnih oštećenja asfaltnog kolnika površine do 50 m2 s ručnom ugradnjom asfaltne mješavine standardne kvalitete u sloj prosječne debljine 4 cm. Rad obuhvaća zasijecanje dijelova asfaltnog kolnika u pravilne pravokutne oblike, uklanjanje ili frezanje asfalta, utovar i odvoz uklonjenog materijala na lokaciju koju određuje Naručitelj prosječne udaljenosti 15 km, čišćenje i špricanje površine bitumenskom emulzijom, dobavu i ručnu ugradnju asfaltne mješavine s valjanjem valjkom minimalne mase 6 t. Odabir vrste asfalte mješavine mora odgovarati postojećem završnom sloju asfaltnog kolnika i ne utječe na promjenu jediničnu cijenu.
Obračun po toni ugrađene asfaltne mješavine.</t>
  </si>
  <si>
    <t>Termokontejner za asfalt (6 t)</t>
  </si>
  <si>
    <t>Strojni popravak lokalnog oštećenja kolnika površine do 50 m2 u jednom kilometru:
obuhvaća popravak lokalnih oštećenja asfaltnog kolnika površine do 50 m2 sa strojnom ugradnjom asfaltne mješavine standardne kvalitete u sloj prosječne debljine 4 cm. Rad obuhvaća frezanje asfalta, utovar i odvoz uklonjenog materijala na lokaciju koju određuje Naručitelj prosječne udaljenosti 15 km, čišćenje i špricanje površine bitumenskom emulzijom, dobavu i strojnu ugradnju asfaltne mješavine s valjanjem valjkom minimalne mase 6 t. Odabir vrste asfalte mješavine mora odgovarati postojećem završnom sloju asfaltnog kolnika i ne utječe na promjenu jediničnu cijenu.
Obračun po toni ugrađene asfaltne mješavine.</t>
  </si>
  <si>
    <t>Mali finišer širine polaganja asfalta 0,5-3,2 m (min. 14,7 kW)</t>
  </si>
  <si>
    <t>Strojni popravak lokalnog oštećenja kolnika površine do 400 m2 u jednom kilometru:
obuhvaća popravak oštećenja asfaltnog kolnika površine do 400 m2 sa strojnom ugradnjom asfaltne mješavine standardne kvalitete u sloj prosječne debljine 4 cm. Rad obuhvaća frezanje asfalta, utovar i odvoz uklonjenog materijala na lokaciju koju određuje Naručitelj prosječne udaljenosti 15 km, čišćenje i špricanje površine bitumenskom emulzijom, dobavu i strojnu ugradnju asfaltne mješavine standardne kvalitete s valjanjem valjkom minimalne mase 6 t. Odabir vrste asfalte mješavine mora odgovarati postojećem završnom sloju asfaltnog kolnika i ne utječe na promjenu jediničnu cijenu.
Obračun po toni ugrađene asfaltne mješavine.</t>
  </si>
  <si>
    <t>Cisterna za bitumensku emulziju s rampom za prskanje (1000 l)</t>
  </si>
  <si>
    <t>Valjak &gt; 6 t (min. 9,4 t; 88 kW)</t>
  </si>
  <si>
    <t>Obrada rubova asfalta nanošenjem odgovarajućih bitumenskih masa za spojnice:
Obuhvaća obradu rubova asfalta nakon frezanja nanošenjem odgovarajućih bitumenskih masa za spojnice prije ugradbe asfaltne mješavine.
Obračun po m obrađenog ruba asfalta.</t>
  </si>
  <si>
    <t>Popravak uzdužnih i poprečnih pukotina: 
obuhvaća frezanje pukotine u asfaltu radi proširenja na širinu do 15 mm, čišćenje pukotina ispuhivanjem ili pranjem, zapunjavanje odgovarajućom bitumenskom masom za pukotine te završno čišćenje kolnika.
Obračun po m zapunjene pukotine.</t>
  </si>
  <si>
    <t>Freza za fuge SSF 12</t>
  </si>
  <si>
    <t>Stroj za fugiranje RWK 190/150</t>
  </si>
  <si>
    <t>Popravak ispuha: 
obuhvaća rezanje rubova u asfaltnom kolniku, iskop uništenog asfaltnog sloja i tampona u ukupnoj debljini do 50 cm, utovar i odvoz uklonjenog materijala na deponiju, planiranje i zbijanje posteljice (Ms≥30 MN/m2), dobavu, ugradnju i zbijanje (Ms≥80 MN/m2) drobljenog kamenog materijala u tamponski sloj do razine 6 cm ispod postojeće površine kolnika, čišćenje i nanošenje odgovarajućih bitumenskih masa za spojnice, dobavu i ugradnju asfaltne mješavine BNHS 16 u sloju debljine 6 cm s valjanjem valjkom minimalne mase 6 t te završno čišćenje kolnika. 
Obračun po m2 popravljene površine kolnika.</t>
  </si>
  <si>
    <t>Rovokopač - utovarivač (min. 74,6 kW; 1,1m3)</t>
  </si>
  <si>
    <t>Popravak oštećenog kolnika strojnom ugradnjom asfalta BNS 16 (karbonat) kao izravnavajućeg sloja do 3.000 m2 po lokaciji:
obuhvaća dobavu i ugradnju asfaltne mješavine BNS 16 u izravnavajući sloj uz prethodno čišćenje kolnika, špricanje bitumenskom emulzijom.
Obračun po toni ugrađene asfaltne mješavine.</t>
  </si>
  <si>
    <t xml:space="preserve">Finišer širine polaganja asfalta 5,0-7,0 m (min. 117 kW) </t>
  </si>
  <si>
    <t>Popravak oštećenog kolnika strojnom ugradnjom asfalta BNS 22 (karbonat) kao izravnavajućeg sloja do 3.000 m2 po lokaciji:
obuhvaća dobavu i ugradnju asfaltne mješavine BNS 22 u izravnavajući sloj uz prethodno čišćenje kolnika i špricanje bitumenskom emulzijom.
Obračun po toni ugrađene asfaltne mješavine.</t>
  </si>
  <si>
    <t>Popravak oštećenog kolnika strojnom ugradnjom asfalta AB 16 (karbonat) kao izravnavajućeg sloja do 3.000 m2 po lokaciji:
obuhvaća dobavu i ugradnju asfaltne mješavine AB 16 u izravnavajući sloj uz prethodno čišćenje kolnika i špricanje bitumenskom emulzijom.
Obračun po toni ugrađene asfaltne mješavine.</t>
  </si>
  <si>
    <t>Popravak oštećenog kolnika strojnom ugradnjom asfaltbetona AB 11E kao završnog sloja do 3.000 m2 po lokaciji:
obuhvaća dobavu i ugradnju asfaltne mješavine AB 11E u završni sloj debljine 4 cm uz prethodno čišćenje kolnika i špricanje bitumenskom emulzijom.
Obračun po m2 popravljene površine kolnika.</t>
  </si>
  <si>
    <t>Popravak oštećenog kolnika strojnom ugradnjom asfaltbetona AB 16E kao završnog sloja do 3.000 m2 po lokaciji:
obuhvaća dobavu i ugradnju asfaltne mješavine AB 16E u završni sloj debljine 5 cm uz prethodno čišćenje kolnika i špricanje bitumenskom emulzijom.
Obračun po m2 popravljene površine kolnika.</t>
  </si>
  <si>
    <t>Popravak oštećenog kolnika strojnom ugradnjom asfaltbetona HS SMA 11 kao završnog sloja do 3.000 m2 po lokaciji:
obuhvaća dobavu i ugradnju asfaltne mješavine HS SMA 11 u završni sloj debljine 4 cm uz prethodno čišćenje kolnika i špricanje bitumenskom emulzijom.
Obračun po m2 popravljene površine kolnika.</t>
  </si>
  <si>
    <t>Popravak oštećenog kolnika strojnom ugradnjom asfalta SMA 16 45/80-65 AG1 M2 (HS SMA 16) kao završnog sloja do 3.000 m2 po lokaciji:
obuhvaća nabavu, dopremu i ugradnju asfaltne mješavine SMA 16 45/80-65 AG1 M2 (HS SMA 16) u završni sloj debljine 5 cm uz prethodno čišćenje kolnika i špricanje bitumenskom emulzijom.
Obračun po m2 popravljene površine kolnika.</t>
  </si>
  <si>
    <t>Popravak oštećenog kolnika strojnom ugradnjom asfaltbetona HS SMA 16 kao završnog sloja do 3.000 m2 po lokaciji:
obuhvaća dobavu i ugradnju asfaltne mješavine HS SMA 16 u završni sloj debljine 5 cm uz prethodno čišćenje kolnika i špricanje bitumenskom emulzijom.
Obračun po m2 popravljene površine kolnika.</t>
  </si>
  <si>
    <t>Popravak oštećenog kolnika strojnom ugradnjom asfalta BBTM 11B 45/80-65 AG2 M2 (THS 11 - eruptivac) kao završnog sloja do 3.000 m2 po lokaciji:
obuhvaća nabavu, dopremu i ugradnju asfaltne mješavine BBTM 11B 45/80-65 AG2 M2 (THS 11 - eruptivac) u završni sloj debljine 3 cm uz prethodno čišćenje kolnika i špricanje bitumenskom emulzijom.
Obračun po m2 popravljene površine kolnika.</t>
  </si>
  <si>
    <t>Popravak oštećenog kolnika strojnom ugradnjom asfalta THS 11 (eruptivac) kao završnog sloja do 3.000 m2 po lokaciji:
obuhvaća dobavu i ugradnju asfaltne mješavine THS 11 (eruptivac) u završni sloj debljine 3 cm uz prethodno čišćenje kolnika i špricanje bitumenskom emulzijom.
Obračun po m2 popravljene površine kolnika.</t>
  </si>
  <si>
    <t>Popravak oštećenog kolnika strojnom ugradnjom asfalta  AC 16 base 50/70 AG4 M2 (BNS 16 - karbonat) kao izravnavajućeg sloja od 3.000 m2 do 12.000 m2 po lokaciji:
obuhvaća nabavu, dopremu i ugradnju asfaltne mješavine  AC 16 base 50/70 AG4 M2 (BNS 16) u izravnavajući sloj uz prethodno čišćenje kolnika, špricanje bitumenskom emulzijom.
Obračun po toni ugrađene asfaltne mješavine.</t>
  </si>
  <si>
    <t>Popravak oštećenog kolnika strojnom ugradnjom asfalta BNS 16 (karbonat) kao izravnavajućeg sloja od 3.000 m2 do 12.000 m2 po lokaciji:
obuhvaća dobavu i ugradnju asfaltne mješavine BNS 16 u izravnavajući sloj uz prethodno čišćenje kolnika, špricanje bitumenskom emulzijom i nanošenje odgovarajućih bitumenskih masa za spojnice.
Obračun po toni ugrađene asfaltne mješavine.</t>
  </si>
  <si>
    <t>Popravak oštećenog kolnika strojnom ugradnjom asfalta AC 22 base 50/70 AG6 M2-E (BNS 22 - karbonat) kao izravnavajućeg sloja od 3.000 m2 do 12.000 m2 po lokaciji:
obuhvaća nabavu, dopremu i ugradnju asfaltne mješavine AC 22 base 50/70 AG6 M2-E (BNS 22) u izravnavajući sloj uz prethodno čišćenje kolnika i špricanje bitumenskom emulzijom.
Obračun po toni ugrađene asfaltne mješavine.</t>
  </si>
  <si>
    <t>Popravak oštećenog kolnika strojnom ugradnjom asfalta BNS 22 (karbonat) kao izravnavajućeg sloja od 3.000 m2 do 12.000 m2 po lokaciji:
obuhvaća dobavu i ugradnju asfaltne mješavine BNS 22 u izravnavajući sloj uz prethodno čišćenje kolnika, špricanje bitumenskom emulzijom i nanošenje odgovarajućih bitumenskih masa za spojnice.
Obračun po toni ugrađene asfaltne mješavine.</t>
  </si>
  <si>
    <t>Popravak oštećenog kolnika strojnom ugradnjom asfalta AC 16 surf 50/70 AG4 M4  (AB 16 - karbonat) kao izravnavajućeg sloja od 3.000 m2 do 12.000 m2 po lokaciji:
obuhvaća nabavu, dopremu i ugradnju asfaltne mješavine Asfalt AC 16 surf 50/70 AG4 M4  (AB 16) u izravnavajući sloj uz prethodno čišćenje kolnika i špricanje bitumenskom emulzijom.
Obračun po toni ugrađene asfaltne mješavine.</t>
  </si>
  <si>
    <t>Popravak oštećenog kolnika strojnom ugradnjom asfalta AB 16 (karbonat) kao izravnavajućeg sloja od 3.000 m2 do 12.000 m2 po lokaciji:
obuhvaća dobavu i ugradnju asfaltne mješavine AB 16 u izravnavajući sloj uz prethodno čišćenje kolnika i špricanje bitumenskom emulzijom.
Obračun po toni ugrađene asfaltne mješavine.</t>
  </si>
  <si>
    <t>Popravak oštećenog kolnika strojnom ugradnjom asfalta  AC 11 surf 50/70 AG1 M2-E (AB 11E) kao završnog sloja od 3.000 m2 do 12.000 m2 po lokaciji:
obuhvaća nabavu, dopremu i ugradnju asfaltne mješavine AC 11 surf 50/70 AG1 M2-E (AB 11E) u završni sloj debljine 4 cm uz prethodno čišćenje kolnika i špricanje bitumenskom emulzijom.
Obračun po m2 popravljene površine kolnika.</t>
  </si>
  <si>
    <t>Popravak oštećenog kolnika strojnom ugradnjom asfaltbetona AB 11E kao završnog sloja od 3.000 m2 od 3.000 m2 do 12.000 m2 po lokaciji:
obuhvaća dobavu i ugradnju asfaltne mješavine AB 11E u završni sloj debljine 4 cm uz prethodno čišćenje kolnika i špricanje bitumenskom emulzijom.
Obračun po m2 popravljene površine kolnika.</t>
  </si>
  <si>
    <t>Popravak oštećenog kolnika strojnom ugradnjom asfalta  AC 16 surf 50/70 AG1 M2-E (AB 16 E) kao završnog sloja do od 3.000 m2 do 12.000 m2 po lokaciji:
obuhvaća nabavu, dopremu i ugradnju asfaltne mješavine AC 16 surf 50/70 AG1 M2-E (AB 16 E) u završni sloj debljine 5 cm uz prethodno čišćenje kolnika i špricanje bitumenskom emulzijom.
Obračun po m2 popravljene površine kolnika.</t>
  </si>
  <si>
    <t>Popravak oštećenog kolnika strojnom ugradnjom asfaltbetona AB 16E kao završnog sloja od 3.000 m2 do 12.000 m2 po lokaciji:
obuhvaća dobavu i ugradnju asfaltne mješavine AB 16E u završni sloj debljine 5 cm uz prethodno čišćenje kolnika i špricanje bitumenskom emulzijom.
Obračun po m2 popravljene površine kolnika.</t>
  </si>
  <si>
    <t>Popravak oštećenog kolnika strojnom ugradnjom asfalta SMA 11 45/80-65 AG1 M2 (HS SMA 11) kao završnog sloja od 3.000 m2 do 12.000 m2 po lokaciji:
obuhvaća nabavu, dopremu i ugradnju asfaltne mješavine SMA 11 45/80-65 AG1 M2 (HS SMA 11) u završni sloj debljine 4 cm uz prethodno čišćenje kolnika i špricanje bitumenskom emulzijom.
Obračun po m2 popravljene površine kolnika.</t>
  </si>
  <si>
    <t>Popravak oštećenog kolnika strojnom ugradnjom asfaltbetona HS SMA 11 kao završnog sloja od 3.000 m2 do 12.000 m2 po lokaciji:
obuhvaća dobavu i ugradnju asfaltne mješavine HS SMA 11 u završni sloj debljine 4 cm uz prethodno čišćenje kolnika i špricanje bitumenskom emulzijom.
Obračun po m2 popravljene površine kolnika.</t>
  </si>
  <si>
    <t>Popravak oštećenog kolnika strojnom ugradnjom asfalta SMA 16 45/80-65 AG1 M2 (HS SMA 16) kao završnog sloja od 3.000 m2 do 12.000 m2 po lokaciji:
obuhvaća nabavu, dopremu i ugradnju asfaltne mješavine SMA 16 45/80-65 AG1 M2 (HS SMA 16) u završni sloj debljine 5 cm uz prethodno čišćenje kolnika i špricanje bitumenskom emulzijom.
Obračun po m2 popravljene površine kolnika.</t>
  </si>
  <si>
    <t>Popravak oštećenog kolnika strojnom ugradnjom asfaltbetona HS SMA 16 kao završnog sloja od 3.000 m2 do 12.000 m2 po lokaciji:
obuhvaća dobavu i ugradnju asfaltne mješavine HS SMA 16 u završni sloj debljine 5 cm uz prethodno čišćenje kolnika i špricanje bitumenskom emulzijom.
Obračun po m2 popravljene površine kolnika.</t>
  </si>
  <si>
    <t>Popravak oštećenog kolnika strojnom ugradnjom asfalta BBTM 11B 45/80-65 AG2 M2 (THS 11 - eruptivac) kao završnog sloja od 3.000 m2 do 12.000 m2 po lokaciji:
obuhvaća nabavu, dopremu i ugradnju asfaltne mješavine BBTM 11B 45/80-65 AG2 M2 (THS 11 - eruptivac) u završni sloj debljine 3 cm uz prethodno čišćenje kolnika i špricanje bitumenskom emulzijom.
Obračun po m2 popravljene površine kolnika.</t>
  </si>
  <si>
    <t>Popravak oštećenog kolnika strojnom ugradnjom asfalta THS 11 (eruptivac) kao završnog sloja od 3.000 m2 do 12.000 m2 po lokaciji:
obuhvaća dobavu i ugradnju asfaltne mješavine THS 11 (eruptivac) u završni sloj debljine 3 cm uz prethodno čišćenje kolnika i špricanje bitumenskom emulzijom.
Obračun po m2 popravljene površine kolnika.</t>
  </si>
  <si>
    <t>Popravak neravnina na kolniku frezanjem prosječne debljine 2 cm: 
obuhvaća frezanje uzdužnih i poprečnih neravnina, odvoz uklonjenog materijala na lokaciju koju određuje Naručitelj, prosječne udaljenosti 15 km te završno čišćenje kolnika od ostataka isfrezanog asfalta. 
Obračun po m2 frezane površine kolnika.</t>
  </si>
  <si>
    <t>Popravak neravnina na kolniku frezanjem prosječne debljine 4 cm: 
obuhvaća frezanje uzdužnih i poprečnih neravnina, odvoz uklonjenog materijala na lokaciju koju određuje Naručitelj, prosječne udaljenosti 15 km te završno čišćenje kolnika od ostataka isfrezanog asfalta. 
Obračun po m2 frezane površine kolnika.</t>
  </si>
  <si>
    <t>Frezanje kolnika prosječne debljine 4 cm: 
obuhvaća frezanje asfaltnog sloja i odvoz uklonjenog materijala na lokaciju koju određuje Naručitelj, prosječne udaljenosti 15 km te završno čišćenje kolnika od ostataka isfrezanog asfalta. 
Obračun po m2 frezane površine kolnika.</t>
  </si>
  <si>
    <t>Frezanje kolnika prosječne debljine 6 cm:
obuhvaća frezanje asfaltnog sloja i odvoz uklonjenog materijala na lokaciju koju određuje Naručitelj, prosječne udaljenosti 15 km te završno čišćenje kolnika od ostataka isfrezanog asfalta. 
Obračun po m2 frezane površine kolnika.</t>
  </si>
  <si>
    <t>2.4.</t>
  </si>
  <si>
    <t>Dovoz kamenog materijala: 
obuhvaća nabavu i dopremu kamenog materijala s istovarom. 
Obračun po m3 dovezenog kamenog materijala.</t>
  </si>
  <si>
    <t>2.4.1.</t>
  </si>
  <si>
    <t>Popravak udarnih jama: 
obuhvaća ručno prikupljanje postojećeg kamenog materijala s rubova kolnika, prebacivanje i ugradnju prikupljenog materijala u udarnu jamu. 
Obračun po m3 ugrađenog kamenog materijala.</t>
  </si>
  <si>
    <t>2.4.2.</t>
  </si>
  <si>
    <t>Profiliranje kolnika: 
obuhvaća strojno profiliranje kolnika i bankina. 
Obračun po m2 isprofiliranog kolnika.</t>
  </si>
  <si>
    <t>2.4.3.</t>
  </si>
  <si>
    <t>Grejder (min. 114 kW)</t>
  </si>
  <si>
    <t>Strojna ugradnja kamenih materijala: 
obuhvaća razastiranje dovezenog kamenog materijala s profiliranjem (cijena nabave i dopreme kamenog materijala ne obračunava se u ovoj stavci). 
Obračun po m3 ugrađenog kamenog materijala.</t>
  </si>
  <si>
    <t>2.4.4.</t>
  </si>
  <si>
    <t>Popravak ispuha: 
obuhvaća iskop degradiranog kamenog materijala u debljini do 35 cm, utovar i odvoz iskopanog materijala na deponiju, planiranje i zbijanje posteljice (Ms≥30 MN/m2), zatim nabavu, dopremu, ugradnju i zbijanje (Ms≥80 MN/m2) drobljenog kamenog materijala u tamponski sloj. 
Obračun po m2 popravljene površine kolnika.</t>
  </si>
  <si>
    <t>2.4.5.</t>
  </si>
  <si>
    <t>Popravak ispuha: 
obuhvaća iskop degradiranog kamenog materijala u debljini do 35 cm, utovar i odvoz iskopanog materijala na deponiju, planiranje i zbijanje posteljice (Ms≥30 MN/m2), zatim dobavu, ugradnju i zbijanje (Ms≥80 MN/m2) drobljenog kamenog materijala u tamponski sloj. 
Obračun po m2 popravljene površine kolnika.</t>
  </si>
  <si>
    <t>Valjak do 2 t (min. 21 kW)</t>
  </si>
  <si>
    <t>Prikolica za prijevoz stroja nosivosti 3,5 t</t>
  </si>
  <si>
    <t>Freza za uklanjanje nadvišenih dijelova bankine</t>
  </si>
  <si>
    <t>Specijalni stroj (Mulag); (min. 120 kW)</t>
  </si>
  <si>
    <t>Prijenosni agregat za struju s priključcima (min. 6,5 kW)</t>
  </si>
  <si>
    <t>Stroj za izradu bankina</t>
  </si>
  <si>
    <t>Rovokopač (bager) na kotačima (min. 113 kW; 1,5m3)</t>
  </si>
  <si>
    <t>Travna mješavina</t>
  </si>
  <si>
    <t>Pokretni kompresor s priključcima (min. 61 kW)</t>
  </si>
  <si>
    <t>Teretni automobil nosivosti 3,5-12 t sa dizalicom (min. 155 kW; kran nosivosti 7 t)</t>
  </si>
  <si>
    <t>Pneumatski čekić</t>
  </si>
  <si>
    <t>Samohodni stroj za oznake na kolniku</t>
  </si>
  <si>
    <t>Trokolica</t>
  </si>
  <si>
    <t>Ručno vođeni stroj za nanošenje boje sa bezračnim "Airless" rasprskavajućim pištoljem</t>
  </si>
  <si>
    <t>Skidač oznaka na kolniku (min. 4,5 kW)</t>
  </si>
  <si>
    <t>Radna snaga:</t>
  </si>
  <si>
    <t>Vozila, strojevi i oprema:</t>
  </si>
  <si>
    <t>Ručni trimer za travu</t>
  </si>
  <si>
    <t>Traktor (min. 76 kW)</t>
  </si>
  <si>
    <t xml:space="preserve">Motorna pila (min. 1,6 kW; dužine 35 cm) </t>
  </si>
  <si>
    <t>Traktorska prikolica (min. 3,5 t; kiper)</t>
  </si>
  <si>
    <t>Hidraulička ruka sa kosilicom za specijalni stroj (kao Unimog); (min. 6 m)</t>
  </si>
  <si>
    <t>Hidraulička ruka sa kosilicom za traktor (min. 6 m)</t>
  </si>
  <si>
    <t>Priključak za specijalni stroj (kao Unimog) - usisavač trave</t>
  </si>
  <si>
    <t>Priključak za traktor - usisavač trave</t>
  </si>
  <si>
    <t>Priključak za specijalni stroj (kao Unimog)  - prikolica za skupljanje usisane trave</t>
  </si>
  <si>
    <t>Priključak za traktor - prikolica za skupljanje usisane trave</t>
  </si>
  <si>
    <t>Hidraulička ruka sa škarama za rezanje granja za specijalni stroj (kao Unimog)</t>
  </si>
  <si>
    <t>Mlin za granje (drobilica)</t>
  </si>
  <si>
    <t>Malčer - rotositnilica za bager (min. 130 cm)</t>
  </si>
  <si>
    <t>Opis</t>
  </si>
  <si>
    <t>Jed.
mjere</t>
  </si>
  <si>
    <t>Normativ</t>
  </si>
  <si>
    <t>Jed.
cijena</t>
  </si>
  <si>
    <t>Iznos</t>
  </si>
  <si>
    <t>Materijali:</t>
  </si>
  <si>
    <t>Pumpa za vodu (min. 6 kW)</t>
  </si>
  <si>
    <t>Hidraulična košara</t>
  </si>
  <si>
    <t>Silosni posipač zapremine 1,0 m3</t>
  </si>
  <si>
    <t>Snježni plug radne širine do 3,5 m</t>
  </si>
  <si>
    <t>Silosni posipač zapremine 6,0 m3</t>
  </si>
  <si>
    <t>Vučni posipač (min. 1,5 m3)</t>
  </si>
  <si>
    <t>Traktor</t>
  </si>
  <si>
    <t>Manja ralica</t>
  </si>
  <si>
    <t>Odbacivač snijega</t>
  </si>
  <si>
    <t>Snježna freza - ručna</t>
  </si>
  <si>
    <t>Snježna freza (samohodna)</t>
  </si>
  <si>
    <t>Utovarivač (min. 101 kW; 2,20m3)</t>
  </si>
  <si>
    <t>Uređaj za pripremu sredstva za mokro posipanje</t>
  </si>
  <si>
    <t>Sol kalcijev klorid</t>
  </si>
  <si>
    <t>Ukupno (kn):</t>
  </si>
  <si>
    <t>Sveukupno (kn):</t>
  </si>
  <si>
    <t>IZVODITELJ:</t>
  </si>
  <si>
    <t>NARUČITELJ:</t>
  </si>
  <si>
    <t>__________________</t>
  </si>
  <si>
    <t>___________________</t>
  </si>
  <si>
    <t>CJENIK SATA RADA RADNIKA</t>
  </si>
  <si>
    <t xml:space="preserve">Osnova </t>
  </si>
  <si>
    <t xml:space="preserve">Dodatak </t>
  </si>
  <si>
    <t>Broj sati mjesečno</t>
  </si>
  <si>
    <t>Faktor</t>
  </si>
  <si>
    <t>PDV</t>
  </si>
  <si>
    <t>Obračunska jedinica</t>
  </si>
  <si>
    <t>Radno vrijeme</t>
  </si>
  <si>
    <t>Redni broj</t>
  </si>
  <si>
    <t>Koeficijent radnog mjesta</t>
  </si>
  <si>
    <t>Radno mjesto</t>
  </si>
  <si>
    <t>Cijena sata rada
(kn bez PDV-a)</t>
  </si>
  <si>
    <t>Iznos PDV-a (kn)</t>
  </si>
  <si>
    <t>Cijena sata rada
(kn s PDV-om)</t>
  </si>
  <si>
    <t>Radnik SSS</t>
  </si>
  <si>
    <t>12.</t>
  </si>
  <si>
    <t>Radnik VŠS</t>
  </si>
  <si>
    <t>13.</t>
  </si>
  <si>
    <t>Radnik VSS</t>
  </si>
  <si>
    <t>14.</t>
  </si>
  <si>
    <t>Materijal</t>
  </si>
  <si>
    <t>Jedinica mjere</t>
  </si>
  <si>
    <t>Cijene osnovnih materijala fcco gradilište</t>
  </si>
  <si>
    <t>Bitumenska emulzija</t>
  </si>
  <si>
    <t>Bitumenska emulzija - polimer</t>
  </si>
  <si>
    <t>Bitumenski lak za čelik</t>
  </si>
  <si>
    <t>15.</t>
  </si>
  <si>
    <t>Kameni materijal - drenažni 30-60 mm sa prijevozom</t>
  </si>
  <si>
    <t>16.</t>
  </si>
  <si>
    <t>17.</t>
  </si>
  <si>
    <t>18.</t>
  </si>
  <si>
    <t>19.</t>
  </si>
  <si>
    <t>20.</t>
  </si>
  <si>
    <t>21.</t>
  </si>
  <si>
    <t>Drvena građa - jelova</t>
  </si>
  <si>
    <t>22.</t>
  </si>
  <si>
    <t>Drvena građa - hrastova</t>
  </si>
  <si>
    <t>23.</t>
  </si>
  <si>
    <t>Beton klase C12/15 sa prijevozom</t>
  </si>
  <si>
    <t>24.</t>
  </si>
  <si>
    <t>Beton klase C25/30 sa prijevozom</t>
  </si>
  <si>
    <t>25.</t>
  </si>
  <si>
    <t>Beton klase C30/37 sa prijevozom</t>
  </si>
  <si>
    <t>26.</t>
  </si>
  <si>
    <t xml:space="preserve">Betonski cestovni rubnjak 15/25 ili 18/24 cm </t>
  </si>
  <si>
    <t>27.</t>
  </si>
  <si>
    <t>Betonski parkovni rubnjak 10/20 cm</t>
  </si>
  <si>
    <t>28.</t>
  </si>
  <si>
    <t>Betonska kanalica 40/12/50 cm</t>
  </si>
  <si>
    <t>29.</t>
  </si>
  <si>
    <t>Betonska kanalica 65/28/50 cm</t>
  </si>
  <si>
    <t>30.</t>
  </si>
  <si>
    <t>Betonska kanalica 80/30/50 cm</t>
  </si>
  <si>
    <t>31.</t>
  </si>
  <si>
    <t>Betonska cijev Ø500 mm</t>
  </si>
  <si>
    <t>32.</t>
  </si>
  <si>
    <t>Betonska cijev Ø600 mm</t>
  </si>
  <si>
    <t>33.</t>
  </si>
  <si>
    <t>PVC drenažna cijev Ø125 mm</t>
  </si>
  <si>
    <t>34.</t>
  </si>
  <si>
    <t>Slivnička rešetka 400x400 mm nosivosti D400</t>
  </si>
  <si>
    <t>35.</t>
  </si>
  <si>
    <t>Kanalski poklopac 600x600 mm nosivosti D400</t>
  </si>
  <si>
    <t>36.</t>
  </si>
  <si>
    <t>Prometni znak klasa I</t>
  </si>
  <si>
    <t>37.</t>
  </si>
  <si>
    <t>Prometni znak klasa II</t>
  </si>
  <si>
    <t>38.</t>
  </si>
  <si>
    <t>Prometna ploča površine do 2,00 m2</t>
  </si>
  <si>
    <t>39.</t>
  </si>
  <si>
    <t>Prometna ploča površine od 2,00 do 8,00 m2</t>
  </si>
  <si>
    <t>40.</t>
  </si>
  <si>
    <t>Prometna ploča površine veće od 8,00 m2</t>
  </si>
  <si>
    <t>41.</t>
  </si>
  <si>
    <t>Prometno zrcalo</t>
  </si>
  <si>
    <t>42.</t>
  </si>
  <si>
    <t xml:space="preserve">Čelični stup za prometni znak - cinčani Ø2" </t>
  </si>
  <si>
    <t>43.</t>
  </si>
  <si>
    <t>Smjerokazni stupić</t>
  </si>
  <si>
    <t>44.</t>
  </si>
  <si>
    <t>Kilometarska oznaka ceste</t>
  </si>
  <si>
    <t>45.</t>
  </si>
  <si>
    <t>Reflektirajuča oznaka - katadiopter za zaštitnu ogradu 90x90 mm</t>
  </si>
  <si>
    <t>46.</t>
  </si>
  <si>
    <t>Reflektirajuča oznaka - katadiopter za tunel 100x300 mm</t>
  </si>
  <si>
    <t>47.</t>
  </si>
  <si>
    <t>Štap za snijeg</t>
  </si>
  <si>
    <t>48.</t>
  </si>
  <si>
    <t>Snjegobran PVC</t>
  </si>
  <si>
    <t>49.</t>
  </si>
  <si>
    <t>50.</t>
  </si>
  <si>
    <t>51.</t>
  </si>
  <si>
    <t>Čelična zaštitna ograda JO i JDO</t>
  </si>
  <si>
    <t>52.</t>
  </si>
  <si>
    <t>Konzolni metalni nosač čelične zaštitne ograde</t>
  </si>
  <si>
    <t>53.</t>
  </si>
  <si>
    <t>Čelična ograda mosta</t>
  </si>
  <si>
    <t>54.</t>
  </si>
  <si>
    <t>55.</t>
  </si>
  <si>
    <t>56.</t>
  </si>
  <si>
    <t xml:space="preserve">Čelični stup  </t>
  </si>
  <si>
    <t>57.</t>
  </si>
  <si>
    <t>Čelična sajla</t>
  </si>
  <si>
    <t>58.</t>
  </si>
  <si>
    <t>Žičana mreža</t>
  </si>
  <si>
    <t>59.</t>
  </si>
  <si>
    <t>Žičana mreža za pokose (1,5 kg/m2) sa utezima i sidrima</t>
  </si>
  <si>
    <t>60.</t>
  </si>
  <si>
    <t>Žica za povezivanje</t>
  </si>
  <si>
    <t>61.</t>
  </si>
  <si>
    <t>Žičana mreža na bermi</t>
  </si>
  <si>
    <t>62.</t>
  </si>
  <si>
    <t>Boja za oznake na kolniku</t>
  </si>
  <si>
    <t>63.</t>
  </si>
  <si>
    <t>Razrjeđivač boje za oznake na kolniku</t>
  </si>
  <si>
    <t>l</t>
  </si>
  <si>
    <t>64.</t>
  </si>
  <si>
    <t>65.</t>
  </si>
  <si>
    <t>Razrjeđivač boje za čelik</t>
  </si>
  <si>
    <t>66.</t>
  </si>
  <si>
    <t>Boja za oblogu tunela</t>
  </si>
  <si>
    <t>67.</t>
  </si>
  <si>
    <t>Razrjeđivač boje za oblogu tunela</t>
  </si>
  <si>
    <t>68.</t>
  </si>
  <si>
    <t>Cement PC 45</t>
  </si>
  <si>
    <t>69.</t>
  </si>
  <si>
    <t>Brzovezujući cement</t>
  </si>
  <si>
    <t>70.</t>
  </si>
  <si>
    <t>Cementni mort</t>
  </si>
  <si>
    <t>71.</t>
  </si>
  <si>
    <t>Sredstvo za zaštitu dilatacije</t>
  </si>
  <si>
    <t>72.</t>
  </si>
  <si>
    <t>Elastobit</t>
  </si>
  <si>
    <t>73.</t>
  </si>
  <si>
    <t>Materijal za zapunjavanje sljubnica i pukotina</t>
  </si>
  <si>
    <t>74.</t>
  </si>
  <si>
    <t>Masa za fugiranje</t>
  </si>
  <si>
    <t>75.</t>
  </si>
  <si>
    <t>Hladna asfaltna masa (grambit)</t>
  </si>
  <si>
    <t>76.</t>
  </si>
  <si>
    <t>Sol natrijev klorid za skladište</t>
  </si>
  <si>
    <t>77.</t>
  </si>
  <si>
    <t>78.</t>
  </si>
  <si>
    <t>79.</t>
  </si>
  <si>
    <t>Sadnica</t>
  </si>
  <si>
    <t>80.</t>
  </si>
  <si>
    <t>Butan plin</t>
  </si>
  <si>
    <t>81.</t>
  </si>
  <si>
    <t>Deterdžent - ekološki</t>
  </si>
  <si>
    <t>82.</t>
  </si>
  <si>
    <t>Žarulja</t>
  </si>
  <si>
    <t>83.</t>
  </si>
  <si>
    <t>Voda tehnološka</t>
  </si>
  <si>
    <t>84.</t>
  </si>
  <si>
    <t>Prometni znak dopunska ploča za zimsku službu</t>
  </si>
  <si>
    <t>85.</t>
  </si>
  <si>
    <t>Čelični stup za snjegobran</t>
  </si>
  <si>
    <t>86.</t>
  </si>
  <si>
    <t>Sol natrijev klorid za silose</t>
  </si>
  <si>
    <t>87.</t>
  </si>
  <si>
    <t>88.</t>
  </si>
  <si>
    <t>89.</t>
  </si>
  <si>
    <t>90.</t>
  </si>
  <si>
    <t>91.</t>
  </si>
  <si>
    <t>92.</t>
  </si>
  <si>
    <t>93.</t>
  </si>
  <si>
    <t>94.</t>
  </si>
  <si>
    <t>??????????</t>
  </si>
  <si>
    <t>95.</t>
  </si>
  <si>
    <t>PVC cijev Ø200 mm</t>
  </si>
  <si>
    <t>96.</t>
  </si>
  <si>
    <t>Reparaturni mort</t>
  </si>
  <si>
    <t>97.</t>
  </si>
  <si>
    <t>Gabionska košara (dim. 1,00 × 1,00 m)</t>
  </si>
  <si>
    <t>CJENIK PRIJEVOZA MATERIJALA</t>
  </si>
  <si>
    <t>(šljunka, pijeska, rasutog tereta i asfalta)</t>
  </si>
  <si>
    <t>Transportna udaljenost
(km)</t>
  </si>
  <si>
    <t>Cijena prijevoza za m3</t>
  </si>
  <si>
    <t>Cijena prijevoza za tonu</t>
  </si>
  <si>
    <t>Cijena
(kn bez PDV-a)</t>
  </si>
  <si>
    <t>Iznos
PDV-a (kn)</t>
  </si>
  <si>
    <t>Cijena
(kn s PDV-om)</t>
  </si>
  <si>
    <t>do</t>
  </si>
  <si>
    <t>PODACI ZA DEVIZNI TEČAJ</t>
  </si>
  <si>
    <t>EURO</t>
  </si>
  <si>
    <t>kn</t>
  </si>
  <si>
    <t>PODACI ZA POREZ</t>
  </si>
  <si>
    <t>PODACI ZA POGONSKA GORIVA</t>
  </si>
  <si>
    <t>NAFTA D2</t>
  </si>
  <si>
    <t>BENZIN</t>
  </si>
  <si>
    <t>NABAVNE CIJENE VOZILA, STROJEVA I OPREME</t>
  </si>
  <si>
    <t>Vrsta vozila, strojeva i opreme</t>
  </si>
  <si>
    <t>Nabavne cijene vozila, strojeva i opreme prema izvornim podacima (kn)</t>
  </si>
  <si>
    <t>Prosječna nabavna cijena (kn bez PDV-a)</t>
  </si>
  <si>
    <t>Prosječna nabavna cijena (EUR)</t>
  </si>
  <si>
    <t>Izvorni podatak 1</t>
  </si>
  <si>
    <t>Izvorni podatak 2</t>
  </si>
  <si>
    <t>Izvorni podatak 3</t>
  </si>
  <si>
    <t>Izvorni podatak 4</t>
  </si>
  <si>
    <t>Izvorni podatak 5</t>
  </si>
  <si>
    <t>Izvorni podatak 6</t>
  </si>
  <si>
    <t>Vozilo za vage (citroen jumper)</t>
  </si>
  <si>
    <t>Vage</t>
  </si>
  <si>
    <t>Grejder</t>
  </si>
  <si>
    <t>Rovokopač (bager) na kotačima</t>
  </si>
  <si>
    <t>Valjak do 2 t</t>
  </si>
  <si>
    <t>Valjak 2-6 t</t>
  </si>
  <si>
    <t>Valjak &gt; 6 t</t>
  </si>
  <si>
    <t>Rezač asfalta</t>
  </si>
  <si>
    <t>Freza za asfalt</t>
  </si>
  <si>
    <t>Cisterna za bitumensku emulziju s rampom za prskanje</t>
  </si>
  <si>
    <t xml:space="preserve">Finišer širine polaganja asfalta 5,0-7,0 m </t>
  </si>
  <si>
    <t>Finišer za remiks</t>
  </si>
  <si>
    <t>Kamion do 2 t</t>
  </si>
  <si>
    <t>Teretni automobil nosivosti &gt; 12 t</t>
  </si>
  <si>
    <t>Teretni automobil nosivosti 3,5-12 t sa dizalicom</t>
  </si>
  <si>
    <t>Autodizalica 28 t</t>
  </si>
  <si>
    <t>Specijalni stroj (Mulag)</t>
  </si>
  <si>
    <t>Vučni posipač</t>
  </si>
  <si>
    <t>Silosni posipač za specijalni stroj (Unimog)</t>
  </si>
  <si>
    <t>Snježni plug za specijani stroj (Unimog)</t>
  </si>
  <si>
    <t>Hidraulička ruka sa kosilicom za specijalni stroj (Unimog)</t>
  </si>
  <si>
    <t>Hidraulička ruka sa kosilicom za traktor</t>
  </si>
  <si>
    <t>Četka za kolnik za specijalni stroj (Unimog)</t>
  </si>
  <si>
    <t>Hidraulička ruka sa škarama za rezanje granja za specijalni stroj (Unimog)</t>
  </si>
  <si>
    <t>Motorna pila</t>
  </si>
  <si>
    <t>Traktorska prikolica</t>
  </si>
  <si>
    <t>Traktorska utovarna korpa</t>
  </si>
  <si>
    <t>Betonska miješalica</t>
  </si>
  <si>
    <t>Pumpa za vodu</t>
  </si>
  <si>
    <t>Vibroploča</t>
  </si>
  <si>
    <t>Skidač oznaka na kolniku</t>
  </si>
  <si>
    <t>Pokretni kompresor s priključcima</t>
  </si>
  <si>
    <t>Pokretni semafor</t>
  </si>
  <si>
    <t>Prijenosni agregat za struju s priključcima</t>
  </si>
  <si>
    <t>Silos za sol</t>
  </si>
  <si>
    <t>Nadstrešnica za sol</t>
  </si>
  <si>
    <t>Termokontejner za asfalt (6t)</t>
  </si>
  <si>
    <t>Mali finišer širine polaganja asfalta 0,5-3,2 m</t>
  </si>
  <si>
    <t>Malčer - rotositnilica za bager</t>
  </si>
  <si>
    <t>Mini rovokopač (bager)</t>
  </si>
  <si>
    <t>Mini utovarivač</t>
  </si>
  <si>
    <t>Priključak za specijalni stroj (Unimog) - usisavač trave</t>
  </si>
  <si>
    <t>Priključak za specijalni stroj (Unimog)  - prikolica za skupljanje usisane trave</t>
  </si>
  <si>
    <t>Priključak za traktor  - prikolica za skupljanje usisane trave</t>
  </si>
  <si>
    <t>Samohodni stroj za oznake na kolniku + Amakos</t>
  </si>
  <si>
    <t>Pervibrator</t>
  </si>
  <si>
    <t>Četka za mini utovarivač</t>
  </si>
  <si>
    <t>Viličar</t>
  </si>
  <si>
    <t>CIJENE SATA RADA VOZILA, STROJEVA I OPREME</t>
  </si>
  <si>
    <t>ULAZNI PODACI</t>
  </si>
  <si>
    <t>SATNICA RUKOVATELJA</t>
  </si>
  <si>
    <t>BROJ SATI RUKOVATELJA</t>
  </si>
  <si>
    <t>KALKULATIVNI BROJ SATI</t>
  </si>
  <si>
    <t>NABAVNA VRIJEDNOST</t>
  </si>
  <si>
    <t>TEČAJ - EURO</t>
  </si>
  <si>
    <t>DEVIZNA NABAVNA VRIJEDNOST - EURO</t>
  </si>
  <si>
    <t>PLAĆA RUKOVATELJA</t>
  </si>
  <si>
    <t>OSIGURANJE</t>
  </si>
  <si>
    <t>REGISTRACIJA</t>
  </si>
  <si>
    <t>GODIŠNJI TEHNIČKI PREGLED</t>
  </si>
  <si>
    <t>PREVENTIVNI TEHNIČKI PREGLED</t>
  </si>
  <si>
    <t>BROJ PREVENTIVNIH TEHNIČKIH PREGLEDA</t>
  </si>
  <si>
    <t>POGONSKA ENERGIJA</t>
  </si>
  <si>
    <t>POTROŠNJA POGONSKE ENERGIJE</t>
  </si>
  <si>
    <t>MAZIVO u % od goriva</t>
  </si>
  <si>
    <t>POTROŠNJA MAZIVA</t>
  </si>
  <si>
    <t>GUME</t>
  </si>
  <si>
    <t>POTROŠNJA GUMA</t>
  </si>
  <si>
    <t>AMORTIZACIJA</t>
  </si>
  <si>
    <t>TEKUĆE ODRŽAVANJE</t>
  </si>
  <si>
    <t>INVESTICIJSKO ODRŽAVANJE</t>
  </si>
  <si>
    <t>RADNI ALAT (NOŽEVI I DR.)</t>
  </si>
  <si>
    <t>BROJ KOMPLETA GODIŠNJI</t>
  </si>
  <si>
    <t>OSTALO FIKSNO (periodički pregled)</t>
  </si>
  <si>
    <t>OSTALO VARIJABILNO</t>
  </si>
  <si>
    <t>FIKSNI TROŠKOVI</t>
  </si>
  <si>
    <t>TEHNIČKI PREGLED</t>
  </si>
  <si>
    <t>PLAĆA RUKOVATELJA I OPĆI TROŠKOVI</t>
  </si>
  <si>
    <t>OSTALI TROŠKOVI</t>
  </si>
  <si>
    <t>UKUPNO FIKSNI TROŠKOVI:</t>
  </si>
  <si>
    <t>VARIJABILNI TROŠKOVI</t>
  </si>
  <si>
    <t>MAZIVO</t>
  </si>
  <si>
    <t>RADNI ALAT</t>
  </si>
  <si>
    <t>UKUPNO VARIJABILNI TROŠKOVI:</t>
  </si>
  <si>
    <t>UKUPNO TROŠKOVI</t>
  </si>
  <si>
    <t>PRODAJNA CIJENA SATA RADA (kn bez PDV-a)</t>
  </si>
  <si>
    <t>IZNOS PDV-a</t>
  </si>
  <si>
    <t>PRODAJNA CIJENA SATA RADA (kn s PDV-om)</t>
  </si>
  <si>
    <t>CJENIK SATA RADA VOZILA, STROJEVA I OPREME</t>
  </si>
  <si>
    <t>Cijena sata rada</t>
  </si>
  <si>
    <t>Cijene ugovorene 2002. za usporedbu</t>
  </si>
  <si>
    <t>Cijena iz 1999. za usporedbu</t>
  </si>
  <si>
    <t>Spremišta za sol</t>
  </si>
  <si>
    <t>Cijena sata korištenja
(kn bez PDV-a)</t>
  </si>
  <si>
    <t>GIU 13.01.2014.</t>
  </si>
  <si>
    <t>CIJENE
2009-2013</t>
  </si>
  <si>
    <t>16.01.
vs
2009</t>
  </si>
  <si>
    <t>13.01.
vs
2009</t>
  </si>
  <si>
    <t xml:space="preserve">Snježna freza - ručna </t>
  </si>
  <si>
    <t>CJENIK OSNOVNIH MATERIJALA</t>
  </si>
  <si>
    <t>Jedinica  mjere</t>
  </si>
  <si>
    <t>Cijene osnovnih materijala fcco gradilište 
po županijama  regije</t>
  </si>
  <si>
    <t>Županija</t>
  </si>
  <si>
    <t>Nabavna cijena
(kn bez PDV-a)</t>
  </si>
  <si>
    <t>Cijena transporta
(kn bez PDV-a)</t>
  </si>
  <si>
    <t>Cijena fcco gradilište
(kn bez PDV-a)</t>
  </si>
  <si>
    <t>Kameni materijal (karbonat) - agregat 4-8 mm</t>
  </si>
  <si>
    <t>Kameni materijal (karbonat) - tucanik 0-30 mm</t>
  </si>
  <si>
    <t>Kameni materijal (karbonat) - tucanik 0-60 mm</t>
  </si>
  <si>
    <t>Kameni materijal (karbonat) -miješani za bankine (jalovina)</t>
  </si>
  <si>
    <t>Kameni materijal (karbonat) - klesani</t>
  </si>
  <si>
    <t>Kamen materijal (karbonat) - lomljeni</t>
  </si>
  <si>
    <t>Beton klase C12/15</t>
  </si>
  <si>
    <t>Beton klase C25/30</t>
  </si>
  <si>
    <t>Beton klase C30/37</t>
  </si>
  <si>
    <t>Betonski element BEPO</t>
  </si>
  <si>
    <t>Betonska zaštitna ograda NEW YERSEY</t>
  </si>
  <si>
    <t>Sredstvo za čiščenje korodiranih dijelova</t>
  </si>
  <si>
    <t>Betonski čelik RA 400/500 i MAR 500/560</t>
  </si>
  <si>
    <t>Staklene kuglice (perla)</t>
  </si>
  <si>
    <t>Boja za čelik - temeljna</t>
  </si>
  <si>
    <t>Boja za čelik- završna</t>
  </si>
  <si>
    <t>Betonski temelj</t>
  </si>
  <si>
    <t>Asfalt BNS 22</t>
  </si>
  <si>
    <t>Staklene kuglice (perla) granulacije 0,125-0,600 mm</t>
  </si>
  <si>
    <t>Staklene kuglice (perla) granulacije 0,125-0,800 mm</t>
  </si>
  <si>
    <t>Staklene kuglice (perla) granulacije 0,250-1,200 mm</t>
  </si>
  <si>
    <t>Pijesak 0-4 s prijevozom</t>
  </si>
  <si>
    <t>Beton klase C16/20 s prijevozom</t>
  </si>
  <si>
    <t>Stup zaštitne odbojne ograde</t>
  </si>
  <si>
    <t>Plašt zaštitne odbojne ograde</t>
  </si>
  <si>
    <t>98.</t>
  </si>
  <si>
    <t>99.</t>
  </si>
  <si>
    <t>INP nosač za prometne ploče</t>
  </si>
  <si>
    <t>100.</t>
  </si>
  <si>
    <t>Sol natrijev klorid za silos</t>
  </si>
  <si>
    <t>101.</t>
  </si>
  <si>
    <t>102.</t>
  </si>
  <si>
    <t xml:space="preserve">Objekat na k.č.br </t>
  </si>
  <si>
    <t>UGOVORNI CJENIK REDOVITOG ODRŽAVANJA OBJEKATA U VLASNIŠTVU I SUVLASNIŠTVU OPĆINE</t>
  </si>
  <si>
    <t>PERUŠIĆ d.o.o.</t>
  </si>
  <si>
    <t>1.3.</t>
  </si>
  <si>
    <t>1.4.</t>
  </si>
  <si>
    <t>1.5.</t>
  </si>
  <si>
    <t>1.6.</t>
  </si>
  <si>
    <t>1.7.</t>
  </si>
  <si>
    <t>1.8.</t>
  </si>
  <si>
    <t>1.9.</t>
  </si>
  <si>
    <t>2.5.</t>
  </si>
  <si>
    <t>2.6.</t>
  </si>
  <si>
    <t>2.7.</t>
  </si>
  <si>
    <t>5.4.</t>
  </si>
  <si>
    <t>6.4.</t>
  </si>
  <si>
    <t>6.5.</t>
  </si>
  <si>
    <t>6.6.</t>
  </si>
  <si>
    <t>5.5.</t>
  </si>
  <si>
    <t>5.6.</t>
  </si>
  <si>
    <t>5.7.</t>
  </si>
  <si>
    <t>5.8.</t>
  </si>
  <si>
    <t>5.9.</t>
  </si>
  <si>
    <t>8.1.</t>
  </si>
  <si>
    <t>8.4.</t>
  </si>
  <si>
    <t>8.5.</t>
  </si>
  <si>
    <t>8.6.</t>
  </si>
  <si>
    <t>8.7.</t>
  </si>
  <si>
    <t>8.8.</t>
  </si>
  <si>
    <t>9.4.</t>
  </si>
  <si>
    <t>9.5.</t>
  </si>
  <si>
    <t>9.6.</t>
  </si>
  <si>
    <t>Objekat na k.č.br 3611 k.o. Perušić (ZGRADA OPĆINA)</t>
  </si>
  <si>
    <t>9.7.</t>
  </si>
  <si>
    <t>9.8.</t>
  </si>
  <si>
    <t>9.9.</t>
  </si>
  <si>
    <t>9.10.</t>
  </si>
  <si>
    <t>9.11.</t>
  </si>
  <si>
    <t>9.12.</t>
  </si>
  <si>
    <t>Objekat na k.č.br 3622 k.o. Perušić (HRVATSKI SELJAČKI DOM)</t>
  </si>
  <si>
    <t>10.5.</t>
  </si>
  <si>
    <t>10.6.</t>
  </si>
  <si>
    <t>10.7.</t>
  </si>
  <si>
    <t>10.8.</t>
  </si>
  <si>
    <t>10.9.</t>
  </si>
  <si>
    <t>11.4.</t>
  </si>
  <si>
    <t>11.5.</t>
  </si>
  <si>
    <t>11.6.</t>
  </si>
  <si>
    <t>11.7.</t>
  </si>
  <si>
    <t>11.8.</t>
  </si>
  <si>
    <t>11.9.</t>
  </si>
  <si>
    <t>Objekat na k.č.br 5080 k.o Perušić (DOM KULTURE)</t>
  </si>
  <si>
    <t>Objekat na k.č.br 3624 k.o. Perušić (KUKČEVKA)</t>
  </si>
  <si>
    <t>Objekat na k.č.br. 3611 k.o Perušić (ZGRADA OPĆINA)</t>
  </si>
  <si>
    <t>Objekat na k.č.br. 1880 k.o Donji Kosinj (DRUŠTVENI DOM DONJI KOSINJ)</t>
  </si>
  <si>
    <t>Objekat na k.č.br. 3041 i 3042/4 k.o Gornji Kosinj (DRUŠTVENI DOM GORNJI KOSINJ)</t>
  </si>
  <si>
    <t>Objekat na k.č.br 1253/4 k.o. Lipovo Polje (DRUŠTVENI DOM LIPOVO POLJE)</t>
  </si>
  <si>
    <t>Objekat na k.č.br 3887 k.o Perušić (VATROGASNI DOM)</t>
  </si>
  <si>
    <t>Mark poludisperzija 25/1 JUB</t>
  </si>
  <si>
    <t>kom.</t>
  </si>
  <si>
    <t xml:space="preserve">Mark PRO 25 kg boja bijela </t>
  </si>
  <si>
    <t>Krep traka 50 mm * 45 m</t>
  </si>
  <si>
    <t>Zaštitna folija PVC 6*4 m</t>
  </si>
  <si>
    <t>Šmirgl papir (platno) 60-150</t>
  </si>
  <si>
    <t>vreća</t>
  </si>
  <si>
    <t>Frakcija 0-4 mm</t>
  </si>
  <si>
    <t>PVC cijev 40x250</t>
  </si>
  <si>
    <t>PVC koljeno 40x90</t>
  </si>
  <si>
    <t>Super rigips 5/1 ispuna za fuge</t>
  </si>
  <si>
    <t>Žica pocinčana 1,8 1,6</t>
  </si>
  <si>
    <t>kompl.</t>
  </si>
  <si>
    <t>Pletivo univerzal poc. 1,5 M 25 M</t>
  </si>
  <si>
    <t>Natezači za mrežu 70x30</t>
  </si>
  <si>
    <t>Žica pocinčana 3,1 mm</t>
  </si>
  <si>
    <t>Lokot 45 mm</t>
  </si>
  <si>
    <t xml:space="preserve">Stup betonski 2,2 M </t>
  </si>
  <si>
    <t>Obujmica PVC 15</t>
  </si>
  <si>
    <t>Matica M6</t>
  </si>
  <si>
    <t>Podloška M6</t>
  </si>
  <si>
    <r>
      <t>Nikl (CH) T komad 1/2</t>
    </r>
    <r>
      <rPr>
        <sz val="10"/>
        <rFont val="Calibri"/>
        <family val="2"/>
        <charset val="238"/>
      </rPr>
      <t>"</t>
    </r>
  </si>
  <si>
    <t>Nikl (CH) NIPL 1/2"</t>
  </si>
  <si>
    <t>MS prijelaz 15-1/2 MŽ</t>
  </si>
  <si>
    <t>CU koljeno 15</t>
  </si>
  <si>
    <t>Vijak hager 6x60</t>
  </si>
  <si>
    <t>Matica slijepa M6</t>
  </si>
  <si>
    <r>
      <t xml:space="preserve">CU cijev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15</t>
    </r>
  </si>
  <si>
    <t>Pasta za meki LEM felder 250 g</t>
  </si>
  <si>
    <t>Vuna za čišćenje cijevi</t>
  </si>
  <si>
    <t>Žica za meki lem felder</t>
  </si>
  <si>
    <r>
      <t>Pločica zidna bronca 15x1/2</t>
    </r>
    <r>
      <rPr>
        <sz val="10"/>
        <rFont val="Calibri"/>
        <family val="2"/>
        <charset val="238"/>
      </rPr>
      <t>"</t>
    </r>
  </si>
  <si>
    <r>
      <t>Kutni ventil 1/2</t>
    </r>
    <r>
      <rPr>
        <sz val="10"/>
        <rFont val="Calibri"/>
        <family val="2"/>
        <charset val="238"/>
      </rPr>
      <t>" - 3/8"</t>
    </r>
  </si>
  <si>
    <t xml:space="preserve">Kvaka malaga sa štitom za WC </t>
  </si>
  <si>
    <t>Krep traka 50 mmx45 m</t>
  </si>
  <si>
    <t>Silikon penosil acrylic 301 bijeli</t>
  </si>
  <si>
    <t>Sifon podni 2/2 s rešetkom</t>
  </si>
  <si>
    <t>Brava 6,5 WC -BC</t>
  </si>
  <si>
    <r>
      <t>Zaštitna folija 20 m</t>
    </r>
    <r>
      <rPr>
        <sz val="10"/>
        <rFont val="Calibri"/>
        <family val="2"/>
        <charset val="238"/>
      </rPr>
      <t>²</t>
    </r>
  </si>
  <si>
    <t>Vijak DIN 6x10</t>
  </si>
  <si>
    <t xml:space="preserve">Vijak + tipla 8x40 nikl </t>
  </si>
  <si>
    <t>Tabla Alu-bond 165x63</t>
  </si>
  <si>
    <t>Dobava i montaža prozorske limene klupice, obostrano bojana RAL8019; 0,55 r.š. do 41,5</t>
  </si>
  <si>
    <t>m'</t>
  </si>
  <si>
    <t xml:space="preserve">Ključevi za ulazna vrata </t>
  </si>
  <si>
    <t>Poklopac kanal 6000x600, 5t</t>
  </si>
  <si>
    <t>Brusni papir 230x280, 150</t>
  </si>
  <si>
    <t>Krep traka 50mm*45m</t>
  </si>
  <si>
    <t xml:space="preserve">Silikon penosil acrylic 310 bijeli </t>
  </si>
  <si>
    <t>Gips ploča "NIDA" 12,5*1250*2000</t>
  </si>
  <si>
    <t>Rigips vijak 3,5*35</t>
  </si>
  <si>
    <t>Shark iver 4x50</t>
  </si>
  <si>
    <r>
      <t>Zaštitna folija 20</t>
    </r>
    <r>
      <rPr>
        <sz val="10"/>
        <rFont val="Arial"/>
        <family val="2"/>
        <charset val="238"/>
      </rPr>
      <t>m²</t>
    </r>
  </si>
  <si>
    <t>Teranil max. 1,5 kg</t>
  </si>
  <si>
    <t>Folija kreč PVC 6x4 m</t>
  </si>
  <si>
    <t xml:space="preserve">Poliflor 15l </t>
  </si>
  <si>
    <t xml:space="preserve">Cement 25kg </t>
  </si>
  <si>
    <t>Frakcija 0/16 mm</t>
  </si>
  <si>
    <t>Armaturna mreža Q283, 6*6, 10*10</t>
  </si>
  <si>
    <t>Cement 25 kg</t>
  </si>
  <si>
    <r>
      <t>Spojnica MS T 1/2</t>
    </r>
    <r>
      <rPr>
        <sz val="10"/>
        <rFont val="Calibri"/>
        <family val="2"/>
        <charset val="238"/>
      </rPr>
      <t>"</t>
    </r>
  </si>
  <si>
    <r>
      <t>Spojnica MS 3/4</t>
    </r>
    <r>
      <rPr>
        <sz val="10"/>
        <rFont val="Calibri"/>
        <family val="2"/>
        <charset val="238"/>
      </rPr>
      <t>" dupla</t>
    </r>
  </si>
  <si>
    <r>
      <t xml:space="preserve">Betonska cijev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800</t>
    </r>
  </si>
  <si>
    <r>
      <t xml:space="preserve">Betonski poklopac </t>
    </r>
    <r>
      <rPr>
        <sz val="10"/>
        <rFont val="Calibri"/>
        <family val="2"/>
        <charset val="238"/>
      </rPr>
      <t>Ø 800/400</t>
    </r>
  </si>
  <si>
    <r>
      <t>Cijev okiten 3/4</t>
    </r>
    <r>
      <rPr>
        <sz val="10"/>
        <rFont val="Calibri"/>
        <family val="2"/>
        <charset val="238"/>
      </rPr>
      <t>"</t>
    </r>
    <r>
      <rPr>
        <sz val="10"/>
        <rFont val="Arial"/>
        <family val="2"/>
        <charset val="238"/>
      </rPr>
      <t xml:space="preserve"> 25-10</t>
    </r>
  </si>
  <si>
    <r>
      <t>Cijev okiten 1/2</t>
    </r>
    <r>
      <rPr>
        <sz val="10"/>
        <rFont val="Calibri"/>
        <family val="2"/>
        <charset val="238"/>
      </rPr>
      <t>"</t>
    </r>
    <r>
      <rPr>
        <sz val="10"/>
        <rFont val="Arial"/>
        <family val="2"/>
        <charset val="238"/>
      </rPr>
      <t xml:space="preserve"> 20-10</t>
    </r>
  </si>
  <si>
    <t>CJENIK OSNOVNIH MATERIJALA 2021. - 2022.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</si>
  <si>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</si>
  <si>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</si>
  <si>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</si>
  <si>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</si>
  <si>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</si>
  <si>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</si>
  <si>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</si>
  <si>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</si>
  <si>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</si>
  <si>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</si>
  <si>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</si>
  <si>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</si>
  <si>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</si>
  <si>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</si>
  <si>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</si>
  <si>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</si>
  <si>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 xml:space="preserve">Žarulja standard 60 W E-27 </t>
  </si>
  <si>
    <t>Šamotno brašno 3/1</t>
  </si>
  <si>
    <t>Staklena voda 1/1</t>
  </si>
  <si>
    <t>LED cijev 18 W  120 mm</t>
  </si>
  <si>
    <t xml:space="preserve">Potrošni materijal za održavanje čistoće prostorija </t>
  </si>
  <si>
    <t>komplet</t>
  </si>
  <si>
    <t>Fluo cijev 18W/840</t>
  </si>
  <si>
    <t xml:space="preserve">Žarulja standard 100W E-27 </t>
  </si>
  <si>
    <t>Kemopol plus 15 l</t>
  </si>
  <si>
    <t>Umivaonik fayans 56x47</t>
  </si>
  <si>
    <t>Baterija za umivaonik (slavina)</t>
  </si>
  <si>
    <t>Nikl (CH) T komad 1/2</t>
  </si>
  <si>
    <t>Nikl (CH) 3/8</t>
  </si>
  <si>
    <t>Markpro 25 kg boja bijela</t>
  </si>
  <si>
    <t>PVC račva 32/32/90</t>
  </si>
  <si>
    <t xml:space="preserve">PVC cijev 32x500 </t>
  </si>
  <si>
    <t>PVC cijev 32x100</t>
  </si>
  <si>
    <t xml:space="preserve">PVC koljeno 32/90 </t>
  </si>
  <si>
    <t>JUPOL 15 l</t>
  </si>
  <si>
    <t>Cijev za bojler 1/2"-1/2"  70 cm</t>
  </si>
  <si>
    <t>Cijev za vodokotlić 3/8" - 3/8" 40 cm</t>
  </si>
  <si>
    <t>WC daska PVC - bijela</t>
  </si>
  <si>
    <t>Produljenje 1/2*20 mm</t>
  </si>
  <si>
    <t>Sifon za umivaonik</t>
  </si>
  <si>
    <t>Vijak dijana za umivaonik</t>
  </si>
  <si>
    <t>Kist premium stalco 2</t>
  </si>
  <si>
    <t xml:space="preserve">Ventil kuglasti mini </t>
  </si>
  <si>
    <t>Cijev za bojler 1/2"-1/2"  60 cm</t>
  </si>
  <si>
    <t>Silikon ceresit sanitarni transparent 300 ml</t>
  </si>
  <si>
    <t>Spojnica MS 3/4 T komad</t>
  </si>
  <si>
    <t>Spojnica MS koljeno 3/4 M</t>
  </si>
  <si>
    <t xml:space="preserve">Pasta za kudjelju </t>
  </si>
  <si>
    <r>
      <t>Cijev okiten 3/4</t>
    </r>
    <r>
      <rPr>
        <sz val="10"/>
        <rFont val="Calibri"/>
        <family val="2"/>
        <charset val="238"/>
      </rPr>
      <t>"</t>
    </r>
    <r>
      <rPr>
        <sz val="10"/>
        <rFont val="Arial"/>
        <family val="2"/>
        <charset val="238"/>
      </rPr>
      <t xml:space="preserve"> 25-10 bara</t>
    </r>
  </si>
  <si>
    <t>Pocinčani čep 1/2</t>
  </si>
  <si>
    <t>119.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</si>
  <si>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</si>
  <si>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</si>
  <si>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</si>
  <si>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</si>
  <si>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</si>
  <si>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</si>
  <si>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</si>
  <si>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</si>
  <si>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</si>
  <si>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</si>
  <si>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</si>
  <si>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</si>
  <si>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</si>
  <si>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</si>
  <si>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</si>
  <si>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</si>
  <si>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</si>
  <si>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</si>
  <si>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</si>
  <si>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</si>
  <si>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</si>
  <si>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</si>
  <si>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</si>
  <si>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</si>
  <si>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</si>
  <si>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</si>
  <si>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</si>
  <si>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</si>
  <si>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</si>
  <si>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</si>
  <si>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</si>
  <si>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</si>
  <si>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</si>
  <si>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</si>
  <si>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</si>
  <si>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Ostranjivač plijesni 1000 ml</t>
  </si>
  <si>
    <t>____________</t>
  </si>
  <si>
    <t>______________</t>
  </si>
  <si>
    <t>____________________</t>
  </si>
  <si>
    <t>Vodoinstalater</t>
  </si>
  <si>
    <t>Građevinski radnik</t>
  </si>
  <si>
    <t>Keramičar</t>
  </si>
  <si>
    <t>Ličenje zidova</t>
  </si>
  <si>
    <t>Pomoćni radnik</t>
  </si>
  <si>
    <t>Čistač</t>
  </si>
  <si>
    <t>Tepison balcon 4 m</t>
  </si>
  <si>
    <t>Spojnica MS 1/2" muška</t>
  </si>
  <si>
    <t>Spojnica MS 3/4" muška</t>
  </si>
  <si>
    <t xml:space="preserve">Cijev okiten 1/2" 20-10 bara </t>
  </si>
  <si>
    <t>Pocinčana redukcija 3/4" - 1/2"</t>
  </si>
  <si>
    <t>Spojnica MS 3/4" ženska</t>
  </si>
  <si>
    <t>Slavina kugličasta 3/4" sa ispustom</t>
  </si>
  <si>
    <t>Spojnica MS 3/4" koljeno 2/2</t>
  </si>
  <si>
    <t xml:space="preserve">Spojnica MS 1/2" ženska </t>
  </si>
  <si>
    <t>Spojnica MS dupla 1/2" alk.</t>
  </si>
  <si>
    <t>Spojnica MS 3/4" dupla</t>
  </si>
  <si>
    <t xml:space="preserve">Slavina kugličasta 1/2" vrtna </t>
  </si>
  <si>
    <t xml:space="preserve">Cement 25 kg </t>
  </si>
  <si>
    <t>CU koljeno 15 mm - MŽ</t>
  </si>
  <si>
    <t>CU spojnica 15 mm</t>
  </si>
  <si>
    <r>
      <t>Slavina kuglasta 1/2</t>
    </r>
    <r>
      <rPr>
        <sz val="10"/>
        <rFont val="Calibri"/>
        <family val="2"/>
        <charset val="238"/>
      </rPr>
      <t>"  ŽŽ</t>
    </r>
  </si>
  <si>
    <t>Tip najlon 80x40 m</t>
  </si>
  <si>
    <t>Krep traka 50mm x 45m</t>
  </si>
  <si>
    <t>Super rigips ispuna za fuge 5/1 kg</t>
  </si>
  <si>
    <t>Čavli 28/60 mm</t>
  </si>
  <si>
    <t>Čavli 42/10 mm</t>
  </si>
  <si>
    <t>PVC cijev 110/1000 mm</t>
  </si>
  <si>
    <t>PVC cijev 50/500 mm</t>
  </si>
  <si>
    <t>PVC redukcija 110/50 mm</t>
  </si>
  <si>
    <t>PVC koljeno 110/90 mm</t>
  </si>
  <si>
    <t>PVC koljeno 50/90 mm</t>
  </si>
  <si>
    <t>GIBLJIVI SIFON ZA UMIVAONIK</t>
  </si>
  <si>
    <t xml:space="preserve">WC DASKA PVC </t>
  </si>
  <si>
    <t>Slavina kugličasta 3/4 "</t>
  </si>
  <si>
    <t>CH redukcija 1/2" - 3/8" nikl</t>
  </si>
  <si>
    <t>Masa za fugiranje 2/1 kg tera</t>
  </si>
  <si>
    <t>KUDELJA 250 gr</t>
  </si>
  <si>
    <t>BRTVA GUMENA ZA VRATA - SMEĐA</t>
  </si>
  <si>
    <r>
      <t>m</t>
    </r>
    <r>
      <rPr>
        <sz val="10"/>
        <rFont val="Calibri"/>
        <family val="2"/>
        <charset val="238"/>
      </rPr>
      <t>'</t>
    </r>
  </si>
  <si>
    <r>
      <t>POCINČANA REDUKCIJA 1X3/4</t>
    </r>
    <r>
      <rPr>
        <sz val="10"/>
        <rFont val="Calibri"/>
        <family val="2"/>
        <charset val="238"/>
      </rPr>
      <t>"</t>
    </r>
  </si>
  <si>
    <r>
      <t>POCINČANI KOLČAK 1</t>
    </r>
    <r>
      <rPr>
        <sz val="10"/>
        <rFont val="Calibri"/>
        <family val="2"/>
        <charset val="238"/>
      </rPr>
      <t>"</t>
    </r>
  </si>
  <si>
    <r>
      <t>NIPL NAZUVICA 1/2</t>
    </r>
    <r>
      <rPr>
        <sz val="10"/>
        <rFont val="Calibri"/>
        <family val="2"/>
        <charset val="238"/>
      </rPr>
      <t>"</t>
    </r>
  </si>
  <si>
    <r>
      <t>SLAVINA VRTNA 3/4</t>
    </r>
    <r>
      <rPr>
        <sz val="10"/>
        <rFont val="Calibri"/>
        <family val="2"/>
        <charset val="238"/>
      </rPr>
      <t>"</t>
    </r>
    <r>
      <rPr>
        <sz val="10"/>
        <rFont val="Arial"/>
        <family val="2"/>
        <charset val="238"/>
      </rPr>
      <t xml:space="preserve"> </t>
    </r>
  </si>
  <si>
    <t>BRTVA GUMENA 1/2"</t>
  </si>
  <si>
    <t>KUDELJA 50 gr</t>
  </si>
  <si>
    <t>PRODULJENJE 1/2" 15mm</t>
  </si>
  <si>
    <t>SLAVINA KUGLIČASTA 1/2" S HOLENDER</t>
  </si>
  <si>
    <t>ČAVLI GREDNI 23,25,30 cm</t>
  </si>
  <si>
    <t>LED PANEL - LUXRAM TECHTOLICH 600X600; 42W; 4000 K</t>
  </si>
  <si>
    <t>LED LAMPA - LOMBARDO-ROS; 4000 K; 1500 lm; +5W-66 lm</t>
  </si>
  <si>
    <t>LETVICA POKROVNA 4 CK ZA VRATA</t>
  </si>
  <si>
    <t xml:space="preserve">PROZORSKO STAKLO 3 mm </t>
  </si>
  <si>
    <r>
      <t>m</t>
    </r>
    <r>
      <rPr>
        <sz val="10"/>
        <rFont val="Calibri"/>
        <family val="2"/>
        <charset val="238"/>
      </rPr>
      <t>²</t>
    </r>
  </si>
  <si>
    <t xml:space="preserve">Cilindar 30x70 </t>
  </si>
  <si>
    <t>Cilindar 30x35</t>
  </si>
  <si>
    <t>Soboslikar - ličilac KV</t>
  </si>
  <si>
    <t>Radnik PKV</t>
  </si>
  <si>
    <t>Radnik KV</t>
  </si>
  <si>
    <t>Gips</t>
  </si>
  <si>
    <t>Voda</t>
  </si>
  <si>
    <t>za komunalne djelatnosti</t>
  </si>
  <si>
    <t>STUDENI 2021. GODINE</t>
  </si>
  <si>
    <t>U VLASNIŠTVU OPĆINE 2021./2022. GODINA</t>
  </si>
  <si>
    <t xml:space="preserve">UGOVORNI CJENIK REDOVITOG ODRŽAVANJA OBJEKATA </t>
  </si>
  <si>
    <t>Ličenje novih zidova i plafona. Obuhvaća: ličenje zidova, gipsanje manjih oštećenja, brušenje i ispravljanje manjih oštećenja, prskanje zidova, te završno čišćenje prostorija. Obračun po metru kvadratnom uređenog zida.</t>
  </si>
  <si>
    <t>Gletanje grubo ožbukanih površina. Obuvaća: brušenje, čišćenje, gipsanje manjih oštećenja, gletanje i završno čišćenje. Obračun po metru kvadratnom uređenog zida.</t>
  </si>
  <si>
    <t>Teretni automobil nosivosti do 3,5t</t>
  </si>
  <si>
    <t>_______________</t>
  </si>
  <si>
    <t>_____________</t>
  </si>
  <si>
    <t>Opis posla</t>
  </si>
  <si>
    <t xml:space="preserve">Lim pocinčani </t>
  </si>
  <si>
    <t>157.</t>
  </si>
  <si>
    <t>158.</t>
  </si>
  <si>
    <t>Crijep</t>
  </si>
  <si>
    <t xml:space="preserve">Krovna folija </t>
  </si>
  <si>
    <t>159.</t>
  </si>
  <si>
    <t>IZVODITELJ:                                                                           NARUČITELJ:</t>
  </si>
  <si>
    <t>___________                                                                         ______________</t>
  </si>
  <si>
    <t>Ostaje za isplatu:</t>
  </si>
  <si>
    <t xml:space="preserve">ugovorenih obaveza:         </t>
  </si>
  <si>
    <t xml:space="preserve">Zadržan iznos zbog neispunjenja    </t>
  </si>
  <si>
    <t xml:space="preserve">         </t>
  </si>
  <si>
    <t>Vrijednost po ovoj situaciji s PDV-om:</t>
  </si>
  <si>
    <t xml:space="preserve">Ukupna vrijednost izvršenih radova s PDV-om:              </t>
  </si>
  <si>
    <r>
      <t>Obračun plaćanj</t>
    </r>
    <r>
      <rPr>
        <sz val="12"/>
        <rFont val="Times New Roman"/>
        <family val="1"/>
        <charset val="238"/>
      </rPr>
      <t xml:space="preserve">a:    </t>
    </r>
  </si>
  <si>
    <t>Za Perušić d.o.o,: Mihael Kurteš</t>
  </si>
  <si>
    <t xml:space="preserve">Za Općinu Perušić, Ivica Turić                                                           </t>
  </si>
  <si>
    <t>________________________</t>
  </si>
  <si>
    <t xml:space="preserve">_______________________                                </t>
  </si>
  <si>
    <t>Za izvoditelja:</t>
  </si>
  <si>
    <t xml:space="preserve">        Za naručitelja:                                                                            </t>
  </si>
  <si>
    <t>_______________________</t>
  </si>
  <si>
    <t>radnih naloga i ostale propisane dokumentacije.</t>
  </si>
  <si>
    <t>Jamčim da su radovi izvedeni kvalitetno i da su količine utvrđene na temelju podataka iz dnevnika,</t>
  </si>
  <si>
    <t xml:space="preserve">                                                                   UKUPNO:</t>
  </si>
  <si>
    <t xml:space="preserve">                                                                            PDV:</t>
  </si>
  <si>
    <t>VRIJEDNOST RADOVA PO OVOJ SITUACIJI:</t>
  </si>
  <si>
    <r>
      <t xml:space="preserve">VRIJEDNOST RADOVA PO PRETHODNOJ:                         </t>
    </r>
    <r>
      <rPr>
        <u/>
        <sz val="12"/>
        <rFont val="Times New Roman"/>
        <family val="1"/>
        <charset val="238"/>
      </rPr>
      <t xml:space="preserve">      86.255,49 kuna</t>
    </r>
  </si>
  <si>
    <r>
      <t xml:space="preserve">UKUPNA VRIJEDNOST IZVRŠENIH RADOVA:                  </t>
    </r>
    <r>
      <rPr>
        <u/>
        <sz val="12"/>
        <rFont val="Times New Roman"/>
        <family val="1"/>
        <charset val="238"/>
      </rPr>
      <t xml:space="preserve">      92.602,90 kuna</t>
    </r>
  </si>
  <si>
    <t>NA TEMELJU UGOVORA BR. ______________</t>
  </si>
  <si>
    <t>OIB: 29305600567</t>
  </si>
  <si>
    <t>MATIČNI BROJ: 2581086</t>
  </si>
  <si>
    <t xml:space="preserve">                          Perušić, Trg popa M. Mesića 2</t>
  </si>
  <si>
    <r>
      <t xml:space="preserve">NARUČITELJ: </t>
    </r>
    <r>
      <rPr>
        <b/>
        <sz val="12"/>
        <rFont val="Times New Roman"/>
        <family val="1"/>
        <charset val="238"/>
      </rPr>
      <t>OPĆINA PERUŠIĆ</t>
    </r>
  </si>
  <si>
    <t>na području Općine Perušić od 01.12.2021. do 31.12.2021.</t>
  </si>
  <si>
    <t>za izvršene radove prigodnog ukrašavanja</t>
  </si>
  <si>
    <t>PRIVREMENA MJESEČNA SITUACIJA BROJ 1</t>
  </si>
  <si>
    <t xml:space="preserve"> </t>
  </si>
  <si>
    <t>U Perušiću, dana 31.12.2021.</t>
  </si>
  <si>
    <t xml:space="preserve">                                                                                                                      fax:  053/679-269</t>
  </si>
  <si>
    <t xml:space="preserve">                                                                                                                       tel:  053/679-269</t>
  </si>
  <si>
    <r>
      <t xml:space="preserve">IME DIREKTORA IZVODITELJA: </t>
    </r>
    <r>
      <rPr>
        <b/>
        <sz val="12"/>
        <rFont val="Times New Roman"/>
        <family val="1"/>
        <charset val="238"/>
      </rPr>
      <t>Mihael Kurteš, mag. Oecc</t>
    </r>
  </si>
  <si>
    <r>
      <t xml:space="preserve">OIB:        </t>
    </r>
    <r>
      <rPr>
        <u/>
        <sz val="12"/>
        <rFont val="Times New Roman"/>
        <family val="1"/>
        <charset val="238"/>
      </rPr>
      <t xml:space="preserve">72380967406  </t>
    </r>
    <r>
      <rPr>
        <sz val="12"/>
        <rFont val="Times New Roman"/>
        <family val="1"/>
        <charset val="238"/>
      </rPr>
      <t xml:space="preserve">                    </t>
    </r>
  </si>
  <si>
    <r>
      <t xml:space="preserve">IBAN:     </t>
    </r>
    <r>
      <rPr>
        <u/>
        <sz val="12"/>
        <rFont val="Times New Roman"/>
        <family val="1"/>
        <charset val="238"/>
      </rPr>
      <t>HR2023400091110279620</t>
    </r>
  </si>
  <si>
    <t xml:space="preserve">                             Perušić, Trg popa M. Mesića 2</t>
  </si>
  <si>
    <t>IZVODITELJ:    «Perušić» d.o.o. za komunalne djelatnosti</t>
  </si>
  <si>
    <t>RADOVI REDOVITOG ODRŽAVANJA OBJEKATA U VLASNIŠTVU I SUVLASNIŠTVU OPĆINE</t>
  </si>
  <si>
    <t>Ličenje zidova - preko postojeće boje obuhvaća: ličenje zidova, gipsanje manjih oštećenja, brušenje i ispravljanje manjih oštećenja, prskanje zidova, te završno čišćenje prostorija. Obračun po metru kvadratnom uređenog zida.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</si>
  <si>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</si>
  <si>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</si>
  <si>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</si>
  <si>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</si>
  <si>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</si>
  <si>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</si>
  <si>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</si>
  <si>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</si>
  <si>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</si>
  <si>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</si>
  <si>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</si>
  <si>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</si>
  <si>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</si>
  <si>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</si>
  <si>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</si>
  <si>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</si>
  <si>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</si>
  <si>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</si>
  <si>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</si>
  <si>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</si>
  <si>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</si>
  <si>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</si>
  <si>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</si>
  <si>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</si>
  <si>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</si>
  <si>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</si>
  <si>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</si>
  <si>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</si>
  <si>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</si>
  <si>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120.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</si>
  <si>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</si>
  <si>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</si>
  <si>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</si>
  <si>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</si>
  <si>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</si>
  <si>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</si>
  <si>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</si>
  <si>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</si>
  <si>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</si>
  <si>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</si>
  <si>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</si>
  <si>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</si>
  <si>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</si>
  <si>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</si>
  <si>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</si>
  <si>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</si>
  <si>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</si>
  <si>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</si>
  <si>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</si>
  <si>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</si>
  <si>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</si>
  <si>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</si>
  <si>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</si>
  <si>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</si>
  <si>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</si>
  <si>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</si>
  <si>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</si>
  <si>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</si>
  <si>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</si>
  <si>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</si>
  <si>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</si>
  <si>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</si>
  <si>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Impregniranje površina zidova odgovarajućim materijalima. Obuhvaća: brušenje, čišćenje,  predimpregniranje i impregniranje površina zidova objekta te završno čišćenje objekta. Obračun po metru kvadratnom impregnirane površine.</t>
  </si>
  <si>
    <t>Brusni papir (platno) 60-150</t>
  </si>
  <si>
    <t>Sredstvo za impregnaciju prije bojenja - Akril grund ekonomik 10 l</t>
  </si>
  <si>
    <t>Masa za gletanje</t>
  </si>
  <si>
    <t>Gletanje fino ožbukanih površina. Obuvaća: brušenje, čišćenje, gipsanje manjih oštećenja, gletanje i završno čišćenje. Obračun po metru kvadratnom uređenog zida.</t>
  </si>
  <si>
    <t>Boja protiv plijesni (pak. 750 ml)</t>
  </si>
  <si>
    <t>Ljepilo fleksibilno za pločice - kao Ceresit 17</t>
  </si>
  <si>
    <t>Pločice zidne 35x35</t>
  </si>
  <si>
    <t>Pločice zidne 60x30</t>
  </si>
  <si>
    <t>Pločice podne 30,8x30,8</t>
  </si>
  <si>
    <t>Obrada podnožja zida ili stepenica "sokl": obuvaća dobavu potrebnog materijala, pripremu zida, oblaganje keramičkim pločicama, te završno čišćenje i zbrinjavanje građevinskog otpada. Obračun po metru dužnom obrađene površine zida ili stepenica.</t>
  </si>
  <si>
    <t>Oblaganje podova keramičkim pločicama: obuvaća dobavu potrebnog materijala, pripremu podova, oblaganje keramičkim pločicama sa obradom podnožja zida ili stepenica, fugiranje spojeva, te završno čišćenje i zbrinjavanje građevinskog otpada. Obračun po metru kvadratnom obloženih podova.</t>
  </si>
  <si>
    <t>Oblaganje zidova keramičkim pločicama - na vezu: obuvaća dobavu potrebnog materijala, pripremu zidova, oblaganje keramičkim pločicama, fugiranje spojeva, te završno čišćenje i zbrinjavanje građevinskog otpada. Obračun po metru kvadratnom obloženih zidova.</t>
  </si>
  <si>
    <t>Oblaganje zidova keramičkim pločicama - fuga na fugu: obuvaća dobavu potrebnog materijala, pripremu zidova, oblaganje keramičkim pločicama, fugiranje spojeva, te završno čišćenje i zbrinjavanje građevinskog otpada. Obračun po metru kvadratnom obloženih zidova.</t>
  </si>
  <si>
    <t>Stiropor EPS 5 cm</t>
  </si>
  <si>
    <t>Stiropor EPS 10 cm</t>
  </si>
  <si>
    <t>Stiropor EPS 15 cm</t>
  </si>
  <si>
    <t>Stiropor EPS 6 cm</t>
  </si>
  <si>
    <t>Stiropor EPS 8 cm</t>
  </si>
  <si>
    <t>Stiropor EPS 14 cm</t>
  </si>
  <si>
    <t>Stiropor EPS 12 cm</t>
  </si>
  <si>
    <t>Stirodur EPS 2 cm</t>
  </si>
  <si>
    <t>Stirodur EPS 3 cm</t>
  </si>
  <si>
    <t>Stirodur EPS 4 cm</t>
  </si>
  <si>
    <t>Stirodur EPS 5 cm</t>
  </si>
  <si>
    <t>Stirodur EPS 8 cm</t>
  </si>
  <si>
    <t>Stirodur EPS 10 cm</t>
  </si>
  <si>
    <t>1.10.</t>
  </si>
  <si>
    <t>1.11.</t>
  </si>
  <si>
    <t>Ljepilo ljepljenje i gletanje fasada</t>
  </si>
  <si>
    <t>Staklena mrežica za armiranje fasada 160 g</t>
  </si>
  <si>
    <t>PVC kutnik s mrežicom i okapnicom za fasade 10x15 cm x 2,5 m</t>
  </si>
  <si>
    <t>PVC kutnik s mrežicom za fasade 10x15 cm x 2,5 m</t>
  </si>
  <si>
    <t>PVC profil s mrežicom za spoj s prozorom 10X15 cm x 2,4 m</t>
  </si>
  <si>
    <t>Cokl profil za stiropor fasade 6 cm x 2,5 m</t>
  </si>
  <si>
    <t>Cokl profil za stiropor fasade 5 cm x 2,5 m</t>
  </si>
  <si>
    <t>Cokl profil za stiropor fasade 8 cm x 2,5 m</t>
  </si>
  <si>
    <t>Cokl profil za stiropor fasade 10 cm x 2,5 m</t>
  </si>
  <si>
    <t>Cokl profil za stiropor fasade 12 cm x 2,5 m</t>
  </si>
  <si>
    <t>Cokl profil za stiropor fasade 14 cm x 2,5 m</t>
  </si>
  <si>
    <t>Cokl profil za stiropor fasade 15 cm x 2,5 m</t>
  </si>
  <si>
    <t>Sidro za fasade 160 mm</t>
  </si>
  <si>
    <t>Sidro za fasade 180 mm</t>
  </si>
  <si>
    <t>Sidro za fasade 200 mm</t>
  </si>
  <si>
    <t>Žbuka fina unutarnja (kao Rofix)</t>
  </si>
  <si>
    <t>Žbuka temeljna unutarnja (kao Samoborka)</t>
  </si>
  <si>
    <t>Kutni profil za zaštitu standardnih vapnenih žbuka 3,4 x 3,4 cm x 2,75 m</t>
  </si>
  <si>
    <t>Letva 5 cm x 3 cm x 4 m</t>
  </si>
  <si>
    <t>Letva 5 cm x 4 cm x 4 m</t>
  </si>
  <si>
    <t>Letva 5 cm x 8 cm x 4 m</t>
  </si>
  <si>
    <t xml:space="preserve">m </t>
  </si>
  <si>
    <r>
      <t xml:space="preserve">Popravci starih fasada: obuvaća dobavu potrebnog materijala, pripremu zida, oblaganje </t>
    </r>
    <r>
      <rPr>
        <b/>
        <sz val="10"/>
        <color rgb="FFFF0000"/>
        <rFont val="Arial"/>
        <family val="2"/>
        <charset val="238"/>
      </rPr>
      <t>_______</t>
    </r>
    <r>
      <rPr>
        <b/>
        <sz val="10"/>
        <color indexed="17"/>
        <rFont val="Arial"/>
        <family val="2"/>
        <charset val="238"/>
      </rPr>
      <t>, te završno čišćenje i zbrinjavanje građevinskog otpada. Obračun po metru kvadratnom izvedene fasade.</t>
    </r>
  </si>
  <si>
    <t xml:space="preserve">Žbukanje unutarnjih zidova grubom i finom žbukom obuhvaća: dobavu, prijevoz i strojno žbukanje površina zidova, utroškom materijala (gotove žbuke), prosječnom potrošnjom žbuke 2 kg/m2. Obračun po metru kvadratnom izvedene žbuke. </t>
  </si>
  <si>
    <t>Zamjena dotrajalog krova: obuhvaća skidanje, prijenos i zbrinjavanje dotrajalog crijepa, nabavu i prijevoz crijepa, prijenos i pokrivanje krova. Obračun po metru kvadratnom pokrivenog krova mjereno po kosini krova.</t>
  </si>
  <si>
    <t>Skidanje i montaža prozora na objektu, prozor prema izboru naručitelja: obuhvaća skidanje postojećih prozora, nabavu i prijevoz prozora prema izboru naručitelja, postavljanje novih prozora i završno čišćenje. Obračun po komadu montiranog zamijenjenog prozora</t>
  </si>
  <si>
    <t>Prozor drveni Š x V: 100 x 120 cm, DIN desno, Natur</t>
  </si>
  <si>
    <t>PUR PJENA MONT. (RUČNA) 750 ml-1</t>
  </si>
  <si>
    <t>PUR PJENA MONT. (RUČNA) 750 ml -2</t>
  </si>
  <si>
    <t>Popravak oštećenih vodovodnih cijevi: obuhvaća iskop postojećeg kanala, demontažu postojećih cijevi, montažu novih cijevi, obilježavanje cijevi, djelomičnu zamjenu postojećeg materijala, te sabijenje rova do tražene zbijenosti. Obračun po metru dužnom zamijenjene cijevi.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</si>
  <si>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</si>
  <si>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</si>
  <si>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</si>
  <si>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</si>
  <si>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</si>
  <si>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</si>
  <si>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</si>
  <si>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</si>
  <si>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</si>
  <si>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1.12.</t>
  </si>
  <si>
    <t>1.13.</t>
  </si>
  <si>
    <t>1.14.</t>
  </si>
  <si>
    <t>1.15.</t>
  </si>
  <si>
    <t>1.16.</t>
  </si>
  <si>
    <t>1.17.</t>
  </si>
  <si>
    <t>1.18.</t>
  </si>
  <si>
    <t>12.21.</t>
  </si>
  <si>
    <t xml:space="preserve">Nit za navoje </t>
  </si>
  <si>
    <t xml:space="preserve">Mišolovka metalna </t>
  </si>
  <si>
    <t>Brtva gumena za vrata</t>
  </si>
  <si>
    <t xml:space="preserve">Zasun usadni </t>
  </si>
  <si>
    <t>Pletivo rabic 10x10x1000</t>
  </si>
  <si>
    <t>Pletivo rabic 13x13x1000</t>
  </si>
  <si>
    <t>Mehanička zaštita sa unutarnjim odbojnikom</t>
  </si>
  <si>
    <t>Pletivo rabic 19x19x1000</t>
  </si>
  <si>
    <t>Manžeta za WC školjku</t>
  </si>
  <si>
    <t>Utičnica OG 220 V - nadžbukna</t>
  </si>
  <si>
    <t xml:space="preserve">Elektrotehničar/Elektromonter </t>
  </si>
  <si>
    <t>13,40-14,52</t>
  </si>
</sst>
</file>

<file path=xl/styles.xml><?xml version="1.0" encoding="utf-8"?>
<styleSheet xmlns="http://schemas.openxmlformats.org/spreadsheetml/2006/main">
  <numFmts count="10">
    <numFmt numFmtId="43" formatCode="_-* #,##0.00\ _k_n_-;\-* #,##0.00\ _k_n_-;_-* &quot;-&quot;??\ _k_n_-;_-@_-"/>
    <numFmt numFmtId="164" formatCode="0.000"/>
    <numFmt numFmtId="165" formatCode="0.000000"/>
    <numFmt numFmtId="166" formatCode="#,##0.000"/>
    <numFmt numFmtId="167" formatCode="#,##0.000000"/>
    <numFmt numFmtId="168" formatCode="#,##0.0000"/>
    <numFmt numFmtId="169" formatCode="#,##0.00\ &quot;kn&quot;"/>
    <numFmt numFmtId="170" formatCode="0.0"/>
    <numFmt numFmtId="171" formatCode="#,##0.00;[Red]#,##0.00"/>
    <numFmt numFmtId="172" formatCode="#,##0.00\ &quot;kn&quot;;[Red]#,##0.00\ &quot;kn&quot;"/>
  </numFmts>
  <fonts count="95">
    <font>
      <sz val="10"/>
      <name val="CRO_Swiss-Normal"/>
    </font>
    <font>
      <sz val="10"/>
      <name val="CRO_Swiss-Normal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indexed="32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color indexed="10"/>
      <name val="Tahoma"/>
      <family val="2"/>
      <charset val="238"/>
    </font>
    <font>
      <b/>
      <u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i/>
      <sz val="10"/>
      <name val="Arial"/>
      <family val="2"/>
    </font>
    <font>
      <b/>
      <i/>
      <sz val="10"/>
      <color indexed="10"/>
      <name val="Arial"/>
      <family val="2"/>
      <charset val="238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10"/>
      <name val="Arial"/>
      <family val="2"/>
    </font>
    <font>
      <sz val="8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9"/>
      <color indexed="81"/>
      <name val="Tahoma"/>
      <family val="2"/>
      <charset val="238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30"/>
      <name val="Arial"/>
      <family val="2"/>
      <charset val="238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CRO_Swiss-Normal"/>
    </font>
    <font>
      <sz val="10"/>
      <name val="Calibri"/>
      <family val="2"/>
      <charset val="238"/>
    </font>
    <font>
      <b/>
      <sz val="10"/>
      <name val="CRO_Swiss-Normal"/>
      <charset val="238"/>
    </font>
    <font>
      <sz val="10"/>
      <color indexed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u/>
      <sz val="12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7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21" borderId="2" applyNumberFormat="0" applyAlignment="0" applyProtection="0"/>
    <xf numFmtId="0" fontId="13" fillId="3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0" fontId="1" fillId="20" borderId="1" applyNumberFormat="0" applyFont="0" applyAlignment="0" applyProtection="0"/>
    <xf numFmtId="0" fontId="8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4" fillId="21" borderId="7" applyNumberFormat="0" applyAlignment="0" applyProtection="0"/>
    <xf numFmtId="9" fontId="1" fillId="0" borderId="0" applyFont="0" applyFill="0" applyBorder="0" applyAlignment="0" applyProtection="0"/>
    <xf numFmtId="0" fontId="22" fillId="0" borderId="8" applyNumberFormat="0" applyFill="0" applyAlignment="0" applyProtection="0"/>
    <xf numFmtId="0" fontId="15" fillId="22" borderId="3" applyNumberFormat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1" fillId="7" borderId="2" applyNumberFormat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88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vertical="top"/>
    </xf>
    <xf numFmtId="0" fontId="4" fillId="24" borderId="0" xfId="0" applyFont="1" applyFill="1" applyAlignment="1">
      <alignment vertical="top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centerContinuous"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4" fillId="0" borderId="10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10" fontId="3" fillId="0" borderId="16" xfId="0" applyNumberFormat="1" applyFont="1" applyBorder="1" applyAlignment="1">
      <alignment horizontal="center" vertical="center"/>
    </xf>
    <xf numFmtId="165" fontId="3" fillId="25" borderId="16" xfId="0" applyNumberFormat="1" applyFont="1" applyFill="1" applyBorder="1" applyAlignment="1">
      <alignment horizontal="center" vertical="center"/>
    </xf>
    <xf numFmtId="166" fontId="3" fillId="0" borderId="16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left" vertical="center"/>
    </xf>
    <xf numFmtId="0" fontId="4" fillId="24" borderId="0" xfId="0" applyFont="1" applyFill="1" applyAlignment="1">
      <alignment horizontal="left" vertical="center"/>
    </xf>
    <xf numFmtId="2" fontId="4" fillId="24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7" fontId="3" fillId="25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left" vertical="center"/>
    </xf>
    <xf numFmtId="0" fontId="4" fillId="26" borderId="0" xfId="0" applyFont="1" applyFill="1" applyAlignment="1">
      <alignment horizontal="left" vertical="center"/>
    </xf>
    <xf numFmtId="2" fontId="4" fillId="26" borderId="0" xfId="0" applyNumberFormat="1" applyFont="1" applyFill="1" applyAlignment="1">
      <alignment vertical="center"/>
    </xf>
    <xf numFmtId="0" fontId="4" fillId="26" borderId="0" xfId="0" applyFont="1" applyFill="1" applyAlignment="1">
      <alignment vertical="top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167" fontId="3" fillId="25" borderId="17" xfId="0" applyNumberFormat="1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67" fontId="3" fillId="25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Border="1" applyAlignment="1">
      <alignment vertical="center"/>
    </xf>
    <xf numFmtId="166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67" fontId="3" fillId="25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67" fontId="3" fillId="25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/>
    </xf>
    <xf numFmtId="166" fontId="3" fillId="0" borderId="20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5" fontId="3" fillId="25" borderId="17" xfId="0" quotePrefix="1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65" fontId="3" fillId="25" borderId="18" xfId="0" quotePrefix="1" applyNumberFormat="1" applyFont="1" applyFill="1" applyBorder="1" applyAlignment="1">
      <alignment horizontal="center" vertical="center"/>
    </xf>
    <xf numFmtId="165" fontId="3" fillId="25" borderId="0" xfId="0" applyNumberFormat="1" applyFont="1" applyFill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165" fontId="3" fillId="25" borderId="21" xfId="0" quotePrefix="1" applyNumberFormat="1" applyFont="1" applyFill="1" applyBorder="1" applyAlignment="1">
      <alignment horizontal="center" vertical="center"/>
    </xf>
    <xf numFmtId="166" fontId="3" fillId="0" borderId="21" xfId="0" applyNumberFormat="1" applyFont="1" applyBorder="1" applyAlignment="1">
      <alignment vertical="center"/>
    </xf>
    <xf numFmtId="165" fontId="3" fillId="25" borderId="20" xfId="0" quotePrefix="1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7" fontId="3" fillId="25" borderId="21" xfId="0" applyNumberFormat="1" applyFont="1" applyFill="1" applyBorder="1" applyAlignment="1">
      <alignment horizontal="center" vertical="center"/>
    </xf>
    <xf numFmtId="165" fontId="3" fillId="25" borderId="17" xfId="0" applyNumberFormat="1" applyFont="1" applyFill="1" applyBorder="1" applyAlignment="1">
      <alignment horizontal="center" vertical="center"/>
    </xf>
    <xf numFmtId="165" fontId="3" fillId="25" borderId="19" xfId="0" applyNumberFormat="1" applyFont="1" applyFill="1" applyBorder="1" applyAlignment="1">
      <alignment horizontal="center" vertical="center"/>
    </xf>
    <xf numFmtId="10" fontId="3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10" fontId="3" fillId="0" borderId="19" xfId="0" applyNumberFormat="1" applyFont="1" applyBorder="1" applyAlignment="1">
      <alignment horizontal="center"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165" fontId="3" fillId="25" borderId="20" xfId="0" applyNumberFormat="1" applyFont="1" applyFill="1" applyBorder="1" applyAlignment="1">
      <alignment horizontal="center" vertical="center"/>
    </xf>
    <xf numFmtId="0" fontId="3" fillId="0" borderId="0" xfId="35" applyFont="1"/>
    <xf numFmtId="4" fontId="3" fillId="0" borderId="0" xfId="35" applyNumberFormat="1" applyFont="1"/>
    <xf numFmtId="0" fontId="3" fillId="0" borderId="0" xfId="34" applyFont="1"/>
    <xf numFmtId="0" fontId="3" fillId="0" borderId="0" xfId="34" applyFont="1" applyAlignment="1">
      <alignment horizontal="center" vertical="center"/>
    </xf>
    <xf numFmtId="0" fontId="7" fillId="26" borderId="0" xfId="0" applyFont="1" applyFill="1" applyAlignment="1">
      <alignment horizontal="left" vertical="center"/>
    </xf>
    <xf numFmtId="0" fontId="5" fillId="26" borderId="0" xfId="0" applyFont="1" applyFill="1" applyAlignment="1">
      <alignment vertical="center"/>
    </xf>
    <xf numFmtId="0" fontId="3" fillId="26" borderId="0" xfId="0" applyFont="1" applyFill="1" applyAlignment="1">
      <alignment horizontal="left" vertical="center"/>
    </xf>
    <xf numFmtId="0" fontId="4" fillId="26" borderId="0" xfId="0" applyFont="1" applyFill="1" applyAlignment="1">
      <alignment vertical="center"/>
    </xf>
    <xf numFmtId="49" fontId="3" fillId="26" borderId="0" xfId="0" applyNumberFormat="1" applyFont="1" applyFill="1" applyAlignment="1">
      <alignment horizontal="left" vertical="center"/>
    </xf>
    <xf numFmtId="0" fontId="4" fillId="26" borderId="0" xfId="0" applyFont="1" applyFill="1" applyAlignment="1">
      <alignment vertical="top" wrapText="1"/>
    </xf>
    <xf numFmtId="0" fontId="3" fillId="27" borderId="10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 wrapText="1"/>
    </xf>
    <xf numFmtId="165" fontId="3" fillId="27" borderId="10" xfId="0" applyNumberFormat="1" applyFont="1" applyFill="1" applyBorder="1" applyAlignment="1">
      <alignment horizontal="center" vertical="center"/>
    </xf>
    <xf numFmtId="2" fontId="3" fillId="27" borderId="10" xfId="0" applyNumberFormat="1" applyFont="1" applyFill="1" applyBorder="1" applyAlignment="1">
      <alignment horizontal="center" vertical="center" wrapText="1"/>
    </xf>
    <xf numFmtId="2" fontId="3" fillId="27" borderId="10" xfId="0" applyNumberFormat="1" applyFont="1" applyFill="1" applyBorder="1" applyAlignment="1">
      <alignment horizontal="center" vertical="center"/>
    </xf>
    <xf numFmtId="0" fontId="4" fillId="27" borderId="11" xfId="0" applyFont="1" applyFill="1" applyBorder="1" applyAlignment="1">
      <alignment horizontal="left" vertical="center"/>
    </xf>
    <xf numFmtId="0" fontId="3" fillId="27" borderId="22" xfId="0" applyFont="1" applyFill="1" applyBorder="1" applyAlignment="1">
      <alignment horizontal="center" vertical="center"/>
    </xf>
    <xf numFmtId="165" fontId="3" fillId="27" borderId="22" xfId="0" applyNumberFormat="1" applyFont="1" applyFill="1" applyBorder="1" applyAlignment="1">
      <alignment horizontal="center" vertical="center"/>
    </xf>
    <xf numFmtId="4" fontId="3" fillId="27" borderId="22" xfId="0" applyNumberFormat="1" applyFont="1" applyFill="1" applyBorder="1" applyAlignment="1">
      <alignment vertical="center"/>
    </xf>
    <xf numFmtId="4" fontId="3" fillId="0" borderId="11" xfId="0" applyNumberFormat="1" applyFont="1" applyBorder="1"/>
    <xf numFmtId="0" fontId="3" fillId="27" borderId="11" xfId="0" applyFont="1" applyFill="1" applyBorder="1" applyAlignment="1">
      <alignment horizontal="center" vertical="center"/>
    </xf>
    <xf numFmtId="165" fontId="3" fillId="27" borderId="11" xfId="0" applyNumberFormat="1" applyFont="1" applyFill="1" applyBorder="1" applyAlignment="1">
      <alignment horizontal="center" vertical="center"/>
    </xf>
    <xf numFmtId="4" fontId="3" fillId="27" borderId="11" xfId="0" applyNumberFormat="1" applyFont="1" applyFill="1" applyBorder="1" applyAlignment="1">
      <alignment vertical="center"/>
    </xf>
    <xf numFmtId="165" fontId="3" fillId="25" borderId="19" xfId="0" quotePrefix="1" applyNumberFormat="1" applyFont="1" applyFill="1" applyBorder="1" applyAlignment="1">
      <alignment horizontal="center" vertical="center"/>
    </xf>
    <xf numFmtId="2" fontId="3" fillId="27" borderId="10" xfId="0" applyNumberFormat="1" applyFont="1" applyFill="1" applyBorder="1" applyAlignment="1">
      <alignment horizontal="right" vertical="center"/>
    </xf>
    <xf numFmtId="10" fontId="4" fillId="27" borderId="10" xfId="42" quotePrefix="1" applyNumberFormat="1" applyFont="1" applyFill="1" applyBorder="1" applyAlignment="1">
      <alignment horizontal="right" vertical="center"/>
    </xf>
    <xf numFmtId="0" fontId="3" fillId="27" borderId="0" xfId="0" applyFont="1" applyFill="1" applyAlignment="1">
      <alignment horizontal="center"/>
    </xf>
    <xf numFmtId="165" fontId="3" fillId="25" borderId="0" xfId="0" applyNumberFormat="1" applyFont="1" applyFill="1" applyAlignment="1">
      <alignment horizontal="center" vertical="center"/>
    </xf>
    <xf numFmtId="0" fontId="4" fillId="28" borderId="0" xfId="0" applyFont="1" applyFill="1" applyAlignment="1">
      <alignment horizontal="left" vertical="center"/>
    </xf>
    <xf numFmtId="2" fontId="4" fillId="28" borderId="0" xfId="0" applyNumberFormat="1" applyFont="1" applyFill="1" applyAlignment="1">
      <alignment vertical="center"/>
    </xf>
    <xf numFmtId="0" fontId="4" fillId="28" borderId="0" xfId="0" applyFont="1" applyFill="1" applyAlignment="1">
      <alignment vertical="top"/>
    </xf>
    <xf numFmtId="165" fontId="4" fillId="0" borderId="10" xfId="0" applyNumberFormat="1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left" vertical="center"/>
    </xf>
    <xf numFmtId="0" fontId="8" fillId="0" borderId="0" xfId="37"/>
    <xf numFmtId="0" fontId="31" fillId="0" borderId="0" xfId="42" applyFont="1"/>
    <xf numFmtId="0" fontId="32" fillId="0" borderId="0" xfId="42" applyFont="1" applyAlignment="1">
      <alignment horizontal="center"/>
    </xf>
    <xf numFmtId="0" fontId="32" fillId="0" borderId="0" xfId="42" applyFont="1" applyAlignment="1">
      <alignment horizontal="center" vertical="center"/>
    </xf>
    <xf numFmtId="0" fontId="32" fillId="27" borderId="36" xfId="42" applyFont="1" applyFill="1" applyBorder="1" applyAlignment="1">
      <alignment horizontal="center" vertical="center" wrapText="1"/>
    </xf>
    <xf numFmtId="4" fontId="32" fillId="25" borderId="37" xfId="42" applyNumberFormat="1" applyFont="1" applyFill="1" applyBorder="1" applyAlignment="1" applyProtection="1">
      <alignment horizontal="right" vertical="center"/>
      <protection locked="0"/>
    </xf>
    <xf numFmtId="0" fontId="33" fillId="0" borderId="0" xfId="42" applyFont="1" applyAlignment="1">
      <alignment horizontal="center" vertical="center"/>
    </xf>
    <xf numFmtId="0" fontId="33" fillId="0" borderId="0" xfId="42" applyFont="1" applyAlignment="1">
      <alignment vertical="center"/>
    </xf>
    <xf numFmtId="0" fontId="32" fillId="27" borderId="38" xfId="42" applyFont="1" applyFill="1" applyBorder="1" applyAlignment="1">
      <alignment horizontal="center" vertical="center" wrapText="1"/>
    </xf>
    <xf numFmtId="2" fontId="32" fillId="25" borderId="39" xfId="42" applyNumberFormat="1" applyFont="1" applyFill="1" applyBorder="1" applyAlignment="1" applyProtection="1">
      <alignment horizontal="right" vertical="center"/>
      <protection locked="0"/>
    </xf>
    <xf numFmtId="0" fontId="33" fillId="0" borderId="0" xfId="37" applyFont="1" applyAlignment="1">
      <alignment vertical="center"/>
    </xf>
    <xf numFmtId="0" fontId="32" fillId="27" borderId="40" xfId="42" applyFont="1" applyFill="1" applyBorder="1" applyAlignment="1">
      <alignment horizontal="center" vertical="center" wrapText="1"/>
    </xf>
    <xf numFmtId="2" fontId="32" fillId="25" borderId="41" xfId="42" applyNumberFormat="1" applyFont="1" applyFill="1" applyBorder="1" applyAlignment="1" applyProtection="1">
      <alignment horizontal="right" vertical="center"/>
      <protection locked="0"/>
    </xf>
    <xf numFmtId="0" fontId="32" fillId="27" borderId="38" xfId="42" applyFont="1" applyFill="1" applyBorder="1" applyAlignment="1">
      <alignment horizontal="center" vertical="center"/>
    </xf>
    <xf numFmtId="10" fontId="32" fillId="25" borderId="39" xfId="42" quotePrefix="1" applyNumberFormat="1" applyFont="1" applyFill="1" applyBorder="1" applyAlignment="1" applyProtection="1">
      <alignment horizontal="right" vertical="center"/>
      <protection locked="0"/>
    </xf>
    <xf numFmtId="2" fontId="33" fillId="0" borderId="0" xfId="42" quotePrefix="1" applyNumberFormat="1" applyFont="1" applyAlignment="1">
      <alignment vertical="center"/>
    </xf>
    <xf numFmtId="10" fontId="34" fillId="0" borderId="42" xfId="42" applyNumberFormat="1" applyFont="1" applyBorder="1" applyAlignment="1">
      <alignment horizontal="right" vertical="center"/>
    </xf>
    <xf numFmtId="0" fontId="33" fillId="0" borderId="0" xfId="42" applyFont="1" applyAlignment="1">
      <alignment horizontal="center" vertical="center" wrapText="1"/>
    </xf>
    <xf numFmtId="0" fontId="32" fillId="27" borderId="43" xfId="42" applyFont="1" applyFill="1" applyBorder="1" applyAlignment="1">
      <alignment horizontal="center" vertical="center"/>
    </xf>
    <xf numFmtId="2" fontId="34" fillId="25" borderId="44" xfId="42" applyNumberFormat="1" applyFont="1" applyFill="1" applyBorder="1" applyAlignment="1" applyProtection="1">
      <alignment horizontal="right" vertical="center"/>
      <protection locked="0"/>
    </xf>
    <xf numFmtId="0" fontId="32" fillId="27" borderId="45" xfId="42" applyFont="1" applyFill="1" applyBorder="1" applyAlignment="1">
      <alignment horizontal="center" vertical="center" wrapText="1"/>
    </xf>
    <xf numFmtId="0" fontId="32" fillId="27" borderId="46" xfId="42" applyFont="1" applyFill="1" applyBorder="1" applyAlignment="1">
      <alignment horizontal="center" vertical="center" wrapText="1"/>
    </xf>
    <xf numFmtId="0" fontId="32" fillId="27" borderId="47" xfId="42" applyFont="1" applyFill="1" applyBorder="1" applyAlignment="1">
      <alignment horizontal="center" vertical="center" wrapText="1"/>
    </xf>
    <xf numFmtId="2" fontId="32" fillId="27" borderId="46" xfId="42" applyNumberFormat="1" applyFont="1" applyFill="1" applyBorder="1" applyAlignment="1">
      <alignment horizontal="center" vertical="center" wrapText="1"/>
    </xf>
    <xf numFmtId="2" fontId="32" fillId="27" borderId="48" xfId="42" applyNumberFormat="1" applyFont="1" applyFill="1" applyBorder="1" applyAlignment="1">
      <alignment horizontal="center" vertical="center" wrapText="1"/>
    </xf>
    <xf numFmtId="0" fontId="4" fillId="0" borderId="0" xfId="42" applyFont="1" applyAlignment="1">
      <alignment horizontal="center" vertical="center" wrapText="1"/>
    </xf>
    <xf numFmtId="0" fontId="33" fillId="0" borderId="26" xfId="42" applyFont="1" applyBorder="1" applyAlignment="1">
      <alignment horizontal="center" vertical="center"/>
    </xf>
    <xf numFmtId="4" fontId="32" fillId="25" borderId="49" xfId="42" applyNumberFormat="1" applyFont="1" applyFill="1" applyBorder="1" applyAlignment="1" applyProtection="1">
      <alignment horizontal="center" vertical="center"/>
      <protection locked="0"/>
    </xf>
    <xf numFmtId="4" fontId="34" fillId="0" borderId="29" xfId="42" applyNumberFormat="1" applyFont="1" applyBorder="1" applyAlignment="1">
      <alignment vertical="center"/>
    </xf>
    <xf numFmtId="4" fontId="33" fillId="0" borderId="51" xfId="42" applyNumberFormat="1" applyFont="1" applyBorder="1" applyAlignment="1">
      <alignment vertical="center"/>
    </xf>
    <xf numFmtId="4" fontId="33" fillId="0" borderId="28" xfId="42" applyNumberFormat="1" applyFont="1" applyBorder="1" applyAlignment="1">
      <alignment vertical="center"/>
    </xf>
    <xf numFmtId="0" fontId="33" fillId="0" borderId="30" xfId="42" applyFont="1" applyBorder="1" applyAlignment="1">
      <alignment horizontal="center" vertical="center"/>
    </xf>
    <xf numFmtId="4" fontId="32" fillId="25" borderId="52" xfId="42" applyNumberFormat="1" applyFont="1" applyFill="1" applyBorder="1" applyAlignment="1" applyProtection="1">
      <alignment horizontal="center" vertical="center"/>
      <protection locked="0"/>
    </xf>
    <xf numFmtId="4" fontId="34" fillId="0" borderId="31" xfId="42" applyNumberFormat="1" applyFont="1" applyBorder="1" applyAlignment="1">
      <alignment vertical="center"/>
    </xf>
    <xf numFmtId="4" fontId="33" fillId="0" borderId="53" xfId="42" applyNumberFormat="1" applyFont="1" applyBorder="1" applyAlignment="1">
      <alignment vertical="center"/>
    </xf>
    <xf numFmtId="4" fontId="33" fillId="0" borderId="24" xfId="42" applyNumberFormat="1" applyFont="1" applyBorder="1" applyAlignment="1">
      <alignment vertical="center"/>
    </xf>
    <xf numFmtId="0" fontId="9" fillId="0" borderId="0" xfId="42" applyFont="1"/>
    <xf numFmtId="0" fontId="33" fillId="0" borderId="55" xfId="42" applyFont="1" applyBorder="1" applyAlignment="1">
      <alignment horizontal="center" vertical="center"/>
    </xf>
    <xf numFmtId="4" fontId="32" fillId="25" borderId="56" xfId="42" applyNumberFormat="1" applyFont="1" applyFill="1" applyBorder="1" applyAlignment="1" applyProtection="1">
      <alignment horizontal="center" vertical="center"/>
      <protection locked="0"/>
    </xf>
    <xf numFmtId="4" fontId="34" fillId="0" borderId="58" xfId="42" applyNumberFormat="1" applyFont="1" applyBorder="1" applyAlignment="1">
      <alignment vertical="center"/>
    </xf>
    <xf numFmtId="4" fontId="33" fillId="0" borderId="59" xfId="42" applyNumberFormat="1" applyFont="1" applyBorder="1" applyAlignment="1">
      <alignment vertical="center"/>
    </xf>
    <xf numFmtId="4" fontId="33" fillId="0" borderId="60" xfId="42" applyNumberFormat="1" applyFont="1" applyBorder="1" applyAlignment="1">
      <alignment vertical="center"/>
    </xf>
    <xf numFmtId="0" fontId="33" fillId="0" borderId="61" xfId="42" applyFont="1" applyBorder="1" applyAlignment="1">
      <alignment horizontal="center" vertical="center"/>
    </xf>
    <xf numFmtId="4" fontId="33" fillId="29" borderId="62" xfId="42" applyNumberFormat="1" applyFont="1" applyFill="1" applyBorder="1" applyAlignment="1">
      <alignment horizontal="center" vertical="center"/>
    </xf>
    <xf numFmtId="0" fontId="33" fillId="0" borderId="62" xfId="42" applyFont="1" applyBorder="1" applyAlignment="1">
      <alignment vertical="center"/>
    </xf>
    <xf numFmtId="4" fontId="35" fillId="0" borderId="62" xfId="42" applyNumberFormat="1" applyFont="1" applyBorder="1" applyAlignment="1">
      <alignment vertical="center"/>
    </xf>
    <xf numFmtId="4" fontId="33" fillId="0" borderId="62" xfId="42" applyNumberFormat="1" applyFont="1" applyBorder="1" applyAlignment="1">
      <alignment vertical="center"/>
    </xf>
    <xf numFmtId="4" fontId="33" fillId="0" borderId="63" xfId="42" applyNumberFormat="1" applyFont="1" applyBorder="1" applyAlignment="1">
      <alignment vertical="center"/>
    </xf>
    <xf numFmtId="2" fontId="35" fillId="0" borderId="62" xfId="42" applyNumberFormat="1" applyFont="1" applyBorder="1" applyAlignment="1">
      <alignment vertical="center"/>
    </xf>
    <xf numFmtId="0" fontId="33" fillId="0" borderId="63" xfId="42" applyFont="1" applyBorder="1" applyAlignment="1">
      <alignment vertical="center"/>
    </xf>
    <xf numFmtId="0" fontId="33" fillId="0" borderId="64" xfId="42" applyFont="1" applyBorder="1" applyAlignment="1">
      <alignment horizontal="center" vertical="center"/>
    </xf>
    <xf numFmtId="4" fontId="32" fillId="25" borderId="65" xfId="42" applyNumberFormat="1" applyFont="1" applyFill="1" applyBorder="1" applyAlignment="1" applyProtection="1">
      <alignment horizontal="center" vertical="center"/>
      <protection locked="0"/>
    </xf>
    <xf numFmtId="0" fontId="32" fillId="0" borderId="66" xfId="42" applyFont="1" applyBorder="1" applyAlignment="1">
      <alignment vertical="center"/>
    </xf>
    <xf numFmtId="4" fontId="34" fillId="0" borderId="67" xfId="42" applyNumberFormat="1" applyFont="1" applyBorder="1" applyAlignment="1">
      <alignment vertical="center"/>
    </xf>
    <xf numFmtId="4" fontId="33" fillId="0" borderId="64" xfId="42" applyNumberFormat="1" applyFont="1" applyBorder="1" applyAlignment="1">
      <alignment vertical="center"/>
    </xf>
    <xf numFmtId="4" fontId="33" fillId="0" borderId="66" xfId="42" applyNumberFormat="1" applyFont="1" applyBorder="1" applyAlignment="1">
      <alignment vertical="center"/>
    </xf>
    <xf numFmtId="0" fontId="8" fillId="0" borderId="68" xfId="37" applyBorder="1"/>
    <xf numFmtId="0" fontId="31" fillId="0" borderId="0" xfId="42" applyFont="1" applyAlignment="1">
      <alignment horizontal="center"/>
    </xf>
    <xf numFmtId="2" fontId="31" fillId="0" borderId="0" xfId="42" applyNumberFormat="1" applyFont="1"/>
    <xf numFmtId="0" fontId="36" fillId="0" borderId="0" xfId="35" applyFont="1" applyAlignment="1">
      <alignment vertical="top"/>
    </xf>
    <xf numFmtId="0" fontId="36" fillId="0" borderId="0" xfId="35" applyFont="1" applyAlignment="1">
      <alignment wrapText="1"/>
    </xf>
    <xf numFmtId="0" fontId="36" fillId="0" borderId="0" xfId="35" applyFont="1"/>
    <xf numFmtId="0" fontId="36" fillId="0" borderId="0" xfId="40" applyFont="1" applyAlignment="1">
      <alignment vertical="top"/>
    </xf>
    <xf numFmtId="0" fontId="36" fillId="0" borderId="0" xfId="40" applyFont="1" applyAlignment="1">
      <alignment wrapText="1"/>
    </xf>
    <xf numFmtId="0" fontId="36" fillId="0" borderId="0" xfId="40" applyFont="1"/>
    <xf numFmtId="0" fontId="37" fillId="0" borderId="0" xfId="35" applyFont="1" applyAlignment="1">
      <alignment horizontal="center" vertical="center" wrapText="1"/>
    </xf>
    <xf numFmtId="0" fontId="37" fillId="0" borderId="0" xfId="35" applyFont="1" applyAlignment="1">
      <alignment horizontal="center" vertical="top" wrapText="1"/>
    </xf>
    <xf numFmtId="0" fontId="37" fillId="27" borderId="45" xfId="35" applyFont="1" applyFill="1" applyBorder="1" applyAlignment="1">
      <alignment horizontal="center" vertical="center" wrapText="1"/>
    </xf>
    <xf numFmtId="0" fontId="37" fillId="27" borderId="69" xfId="35" applyFont="1" applyFill="1" applyBorder="1" applyAlignment="1">
      <alignment horizontal="center" vertical="center"/>
    </xf>
    <xf numFmtId="0" fontId="38" fillId="0" borderId="0" xfId="35" applyFont="1" applyAlignment="1">
      <alignment horizontal="center" vertical="center"/>
    </xf>
    <xf numFmtId="0" fontId="36" fillId="0" borderId="26" xfId="35" applyFont="1" applyBorder="1" applyAlignment="1">
      <alignment horizontal="center" vertical="center"/>
    </xf>
    <xf numFmtId="0" fontId="36" fillId="0" borderId="27" xfId="35" applyFont="1" applyBorder="1" applyAlignment="1">
      <alignment vertical="center" wrapText="1"/>
    </xf>
    <xf numFmtId="4" fontId="37" fillId="0" borderId="28" xfId="35" applyNumberFormat="1" applyFont="1" applyBorder="1" applyAlignment="1">
      <alignment vertical="center"/>
    </xf>
    <xf numFmtId="0" fontId="38" fillId="0" borderId="0" xfId="35" applyFont="1"/>
    <xf numFmtId="0" fontId="36" fillId="0" borderId="30" xfId="35" applyFont="1" applyBorder="1" applyAlignment="1">
      <alignment horizontal="center" vertical="center"/>
    </xf>
    <xf numFmtId="0" fontId="36" fillId="0" borderId="23" xfId="35" applyFont="1" applyBorder="1" applyAlignment="1">
      <alignment vertical="center" wrapText="1"/>
    </xf>
    <xf numFmtId="4" fontId="37" fillId="0" borderId="24" xfId="35" applyNumberFormat="1" applyFont="1" applyBorder="1" applyAlignment="1">
      <alignment vertical="center"/>
    </xf>
    <xf numFmtId="0" fontId="36" fillId="0" borderId="55" xfId="35" applyFont="1" applyBorder="1" applyAlignment="1">
      <alignment horizontal="center" vertical="center"/>
    </xf>
    <xf numFmtId="0" fontId="36" fillId="0" borderId="70" xfId="35" applyFont="1" applyBorder="1" applyAlignment="1">
      <alignment vertical="center" wrapText="1"/>
    </xf>
    <xf numFmtId="4" fontId="37" fillId="0" borderId="60" xfId="35" applyNumberFormat="1" applyFont="1" applyBorder="1" applyAlignment="1">
      <alignment vertical="center"/>
    </xf>
    <xf numFmtId="4" fontId="3" fillId="0" borderId="17" xfId="0" applyNumberFormat="1" applyFont="1" applyBorder="1" applyAlignment="1">
      <alignment horizontal="right" vertical="center" indent="1"/>
    </xf>
    <xf numFmtId="4" fontId="3" fillId="0" borderId="18" xfId="0" applyNumberFormat="1" applyFont="1" applyBorder="1" applyAlignment="1">
      <alignment horizontal="right" vertical="center" indent="1"/>
    </xf>
    <xf numFmtId="4" fontId="3" fillId="0" borderId="19" xfId="0" applyNumberFormat="1" applyFont="1" applyBorder="1" applyAlignment="1">
      <alignment horizontal="right" vertical="center" indent="1"/>
    </xf>
    <xf numFmtId="4" fontId="3" fillId="0" borderId="11" xfId="0" applyNumberFormat="1" applyFont="1" applyBorder="1" applyAlignment="1">
      <alignment horizontal="right" vertical="center" indent="1"/>
    </xf>
    <xf numFmtId="2" fontId="3" fillId="0" borderId="0" xfId="0" applyNumberFormat="1" applyFont="1" applyAlignment="1">
      <alignment horizontal="right" indent="1"/>
    </xf>
    <xf numFmtId="2" fontId="3" fillId="0" borderId="0" xfId="0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indent="1"/>
    </xf>
    <xf numFmtId="10" fontId="3" fillId="0" borderId="10" xfId="42" quotePrefix="1" applyNumberFormat="1" applyFont="1" applyBorder="1" applyAlignment="1">
      <alignment horizontal="right" vertical="center" indent="1"/>
    </xf>
    <xf numFmtId="4" fontId="3" fillId="0" borderId="20" xfId="0" applyNumberFormat="1" applyFont="1" applyBorder="1" applyAlignment="1">
      <alignment horizontal="right" vertical="center" indent="1"/>
    </xf>
    <xf numFmtId="0" fontId="4" fillId="26" borderId="0" xfId="0" applyFont="1" applyFill="1" applyAlignment="1">
      <alignment horizontal="right" vertical="top" indent="1"/>
    </xf>
    <xf numFmtId="4" fontId="3" fillId="0" borderId="0" xfId="0" applyNumberFormat="1" applyFont="1" applyAlignment="1">
      <alignment horizontal="right" vertical="center" indent="1"/>
    </xf>
    <xf numFmtId="0" fontId="4" fillId="28" borderId="0" xfId="0" applyFont="1" applyFill="1" applyAlignment="1">
      <alignment horizontal="right" vertical="top" indent="1"/>
    </xf>
    <xf numFmtId="0" fontId="4" fillId="24" borderId="0" xfId="0" applyFont="1" applyFill="1" applyAlignment="1">
      <alignment horizontal="right" vertical="top" indent="1"/>
    </xf>
    <xf numFmtId="4" fontId="3" fillId="0" borderId="21" xfId="0" applyNumberFormat="1" applyFont="1" applyBorder="1" applyAlignment="1">
      <alignment horizontal="right" vertical="center" indent="1"/>
    </xf>
    <xf numFmtId="165" fontId="4" fillId="0" borderId="10" xfId="0" applyNumberFormat="1" applyFont="1" applyBorder="1" applyAlignment="1">
      <alignment horizontal="right" vertical="center" indent="1"/>
    </xf>
    <xf numFmtId="165" fontId="3" fillId="0" borderId="10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right" indent="1"/>
    </xf>
    <xf numFmtId="4" fontId="40" fillId="0" borderId="71" xfId="0" applyNumberFormat="1" applyFont="1" applyBorder="1" applyAlignment="1" applyProtection="1">
      <alignment horizontal="center" vertical="center" shrinkToFit="1"/>
      <protection hidden="1"/>
    </xf>
    <xf numFmtId="4" fontId="3" fillId="0" borderId="0" xfId="0" applyNumberFormat="1" applyFont="1"/>
    <xf numFmtId="0" fontId="33" fillId="27" borderId="72" xfId="34" applyFont="1" applyFill="1" applyBorder="1" applyAlignment="1">
      <alignment vertical="center"/>
    </xf>
    <xf numFmtId="4" fontId="32" fillId="27" borderId="73" xfId="34" applyNumberFormat="1" applyFont="1" applyFill="1" applyBorder="1" applyAlignment="1">
      <alignment vertical="center" wrapText="1"/>
    </xf>
    <xf numFmtId="0" fontId="4" fillId="0" borderId="0" xfId="42" applyFont="1" applyAlignment="1">
      <alignment vertical="center"/>
    </xf>
    <xf numFmtId="2" fontId="45" fillId="0" borderId="0" xfId="42" applyNumberFormat="1" applyFont="1" applyAlignment="1">
      <alignment vertical="center"/>
    </xf>
    <xf numFmtId="0" fontId="44" fillId="0" borderId="0" xfId="41"/>
    <xf numFmtId="0" fontId="4" fillId="27" borderId="45" xfId="42" applyFont="1" applyFill="1" applyBorder="1" applyAlignment="1">
      <alignment vertical="center"/>
    </xf>
    <xf numFmtId="164" fontId="4" fillId="25" borderId="74" xfId="42" applyNumberFormat="1" applyFont="1" applyFill="1" applyBorder="1" applyAlignment="1" applyProtection="1">
      <alignment vertical="center"/>
      <protection locked="0"/>
    </xf>
    <xf numFmtId="2" fontId="4" fillId="0" borderId="63" xfId="42" applyNumberFormat="1" applyFont="1" applyBorder="1" applyAlignment="1">
      <alignment vertical="center"/>
    </xf>
    <xf numFmtId="0" fontId="45" fillId="0" borderId="0" xfId="42" applyFont="1" applyAlignment="1">
      <alignment vertical="center"/>
    </xf>
    <xf numFmtId="164" fontId="45" fillId="0" borderId="0" xfId="42" applyNumberFormat="1" applyFont="1" applyAlignment="1">
      <alignment vertical="center"/>
    </xf>
    <xf numFmtId="2" fontId="46" fillId="0" borderId="0" xfId="42" applyNumberFormat="1" applyFont="1"/>
    <xf numFmtId="10" fontId="4" fillId="25" borderId="46" xfId="42" applyNumberFormat="1" applyFont="1" applyFill="1" applyBorder="1" applyAlignment="1" applyProtection="1">
      <alignment vertical="center"/>
      <protection locked="0"/>
    </xf>
    <xf numFmtId="0" fontId="3" fillId="0" borderId="0" xfId="41" applyFont="1" applyAlignment="1">
      <alignment vertical="center"/>
    </xf>
    <xf numFmtId="3" fontId="45" fillId="0" borderId="0" xfId="42" applyNumberFormat="1" applyFont="1" applyAlignment="1">
      <alignment vertical="center"/>
    </xf>
    <xf numFmtId="0" fontId="4" fillId="0" borderId="0" xfId="42" applyFont="1" applyAlignment="1">
      <alignment horizontal="right" vertical="center" wrapText="1"/>
    </xf>
    <xf numFmtId="2" fontId="4" fillId="27" borderId="36" xfId="42" applyNumberFormat="1" applyFont="1" applyFill="1" applyBorder="1" applyAlignment="1">
      <alignment horizontal="center" vertical="center" wrapText="1"/>
    </xf>
    <xf numFmtId="2" fontId="4" fillId="27" borderId="37" xfId="42" applyNumberFormat="1" applyFont="1" applyFill="1" applyBorder="1" applyAlignment="1">
      <alignment horizontal="center" vertical="center" wrapText="1"/>
    </xf>
    <xf numFmtId="0" fontId="4" fillId="27" borderId="26" xfId="42" applyFont="1" applyFill="1" applyBorder="1" applyAlignment="1">
      <alignment vertical="center"/>
    </xf>
    <xf numFmtId="2" fontId="3" fillId="25" borderId="75" xfId="42" applyNumberFormat="1" applyFont="1" applyFill="1" applyBorder="1" applyAlignment="1" applyProtection="1">
      <alignment vertical="center"/>
      <protection locked="0"/>
    </xf>
    <xf numFmtId="2" fontId="4" fillId="0" borderId="76" xfId="42" applyNumberFormat="1" applyFont="1" applyBorder="1" applyAlignment="1">
      <alignment vertical="center"/>
    </xf>
    <xf numFmtId="0" fontId="4" fillId="27" borderId="55" xfId="42" applyFont="1" applyFill="1" applyBorder="1" applyAlignment="1">
      <alignment vertical="center"/>
    </xf>
    <xf numFmtId="2" fontId="3" fillId="25" borderId="70" xfId="42" applyNumberFormat="1" applyFont="1" applyFill="1" applyBorder="1" applyAlignment="1" applyProtection="1">
      <alignment vertical="center"/>
      <protection locked="0"/>
    </xf>
    <xf numFmtId="2" fontId="4" fillId="0" borderId="60" xfId="42" applyNumberFormat="1" applyFont="1" applyBorder="1" applyAlignment="1">
      <alignment vertical="center"/>
    </xf>
    <xf numFmtId="2" fontId="4" fillId="0" borderId="0" xfId="42" applyNumberFormat="1" applyFont="1" applyAlignment="1">
      <alignment vertical="center"/>
    </xf>
    <xf numFmtId="2" fontId="9" fillId="0" borderId="0" xfId="42" applyNumberFormat="1" applyFont="1"/>
    <xf numFmtId="2" fontId="3" fillId="0" borderId="0" xfId="42" applyNumberFormat="1" applyFont="1"/>
    <xf numFmtId="0" fontId="4" fillId="0" borderId="0" xfId="42" applyFont="1"/>
    <xf numFmtId="0" fontId="45" fillId="0" borderId="0" xfId="42" applyFont="1"/>
    <xf numFmtId="0" fontId="31" fillId="0" borderId="0" xfId="35" applyFont="1"/>
    <xf numFmtId="4" fontId="47" fillId="0" borderId="0" xfId="35" applyNumberFormat="1" applyFont="1"/>
    <xf numFmtId="0" fontId="49" fillId="0" borderId="0" xfId="41" applyFont="1"/>
    <xf numFmtId="0" fontId="4" fillId="0" borderId="0" xfId="35" applyFont="1" applyAlignment="1">
      <alignment horizontal="center" vertical="center"/>
    </xf>
    <xf numFmtId="0" fontId="50" fillId="27" borderId="77" xfId="35" applyFont="1" applyFill="1" applyBorder="1" applyAlignment="1">
      <alignment horizontal="center" vertical="center" wrapText="1"/>
    </xf>
    <xf numFmtId="0" fontId="50" fillId="27" borderId="78" xfId="35" applyFont="1" applyFill="1" applyBorder="1" applyAlignment="1">
      <alignment horizontal="center" vertical="center" wrapText="1"/>
    </xf>
    <xf numFmtId="0" fontId="50" fillId="27" borderId="44" xfId="35" applyFont="1" applyFill="1" applyBorder="1" applyAlignment="1">
      <alignment horizontal="center" vertical="center" wrapText="1"/>
    </xf>
    <xf numFmtId="0" fontId="4" fillId="0" borderId="0" xfId="35" applyFont="1" applyAlignment="1">
      <alignment horizontal="center" vertical="center" wrapText="1"/>
    </xf>
    <xf numFmtId="0" fontId="51" fillId="0" borderId="26" xfId="35" applyFont="1" applyBorder="1" applyAlignment="1">
      <alignment horizontal="center" vertical="center"/>
    </xf>
    <xf numFmtId="0" fontId="51" fillId="0" borderId="28" xfId="35" applyFont="1" applyBorder="1" applyAlignment="1">
      <alignment vertical="center" wrapText="1"/>
    </xf>
    <xf numFmtId="4" fontId="52" fillId="25" borderId="26" xfId="54" applyNumberFormat="1" applyFont="1" applyFill="1" applyBorder="1" applyAlignment="1" applyProtection="1">
      <alignment vertical="center"/>
      <protection locked="0"/>
    </xf>
    <xf numFmtId="4" fontId="52" fillId="25" borderId="27" xfId="54" applyNumberFormat="1" applyFont="1" applyFill="1" applyBorder="1" applyAlignment="1" applyProtection="1">
      <alignment vertical="center"/>
      <protection locked="0"/>
    </xf>
    <xf numFmtId="4" fontId="52" fillId="25" borderId="28" xfId="54" applyNumberFormat="1" applyFont="1" applyFill="1" applyBorder="1" applyAlignment="1" applyProtection="1">
      <alignment vertical="center"/>
      <protection locked="0"/>
    </xf>
    <xf numFmtId="4" fontId="53" fillId="0" borderId="29" xfId="35" applyNumberFormat="1" applyFont="1" applyBorder="1" applyAlignment="1">
      <alignment vertical="center"/>
    </xf>
    <xf numFmtId="0" fontId="51" fillId="0" borderId="30" xfId="35" applyFont="1" applyBorder="1" applyAlignment="1">
      <alignment horizontal="center" vertical="center"/>
    </xf>
    <xf numFmtId="0" fontId="51" fillId="0" borderId="24" xfId="35" applyFont="1" applyBorder="1" applyAlignment="1">
      <alignment vertical="center" wrapText="1"/>
    </xf>
    <xf numFmtId="4" fontId="52" fillId="25" borderId="54" xfId="35" applyNumberFormat="1" applyFont="1" applyFill="1" applyBorder="1" applyAlignment="1" applyProtection="1">
      <alignment vertical="center"/>
      <protection locked="0"/>
    </xf>
    <xf numFmtId="4" fontId="52" fillId="25" borderId="23" xfId="54" applyNumberFormat="1" applyFont="1" applyFill="1" applyBorder="1" applyAlignment="1" applyProtection="1">
      <alignment vertical="center"/>
      <protection locked="0"/>
    </xf>
    <xf numFmtId="4" fontId="52" fillId="25" borderId="24" xfId="54" applyNumberFormat="1" applyFont="1" applyFill="1" applyBorder="1" applyAlignment="1" applyProtection="1">
      <alignment vertical="center"/>
      <protection locked="0"/>
    </xf>
    <xf numFmtId="4" fontId="53" fillId="0" borderId="31" xfId="35" applyNumberFormat="1" applyFont="1" applyBorder="1" applyAlignment="1">
      <alignment vertical="center"/>
    </xf>
    <xf numFmtId="4" fontId="52" fillId="25" borderId="54" xfId="54" applyNumberFormat="1" applyFont="1" applyFill="1" applyBorder="1" applyAlignment="1" applyProtection="1">
      <alignment vertical="center"/>
      <protection locked="0"/>
    </xf>
    <xf numFmtId="4" fontId="54" fillId="25" borderId="23" xfId="54" applyNumberFormat="1" applyFont="1" applyFill="1" applyBorder="1" applyAlignment="1" applyProtection="1">
      <alignment vertical="center"/>
      <protection locked="0"/>
    </xf>
    <xf numFmtId="4" fontId="54" fillId="25" borderId="24" xfId="54" applyNumberFormat="1" applyFont="1" applyFill="1" applyBorder="1" applyAlignment="1" applyProtection="1">
      <alignment vertical="center"/>
      <protection locked="0"/>
    </xf>
    <xf numFmtId="43" fontId="52" fillId="25" borderId="30" xfId="54" applyFont="1" applyFill="1" applyBorder="1" applyAlignment="1" applyProtection="1">
      <alignment horizontal="right" vertical="center" wrapText="1"/>
      <protection locked="0"/>
    </xf>
    <xf numFmtId="0" fontId="38" fillId="25" borderId="23" xfId="35" applyFont="1" applyFill="1" applyBorder="1" applyAlignment="1" applyProtection="1">
      <alignment vertical="center"/>
      <protection locked="0"/>
    </xf>
    <xf numFmtId="0" fontId="38" fillId="25" borderId="24" xfId="35" applyFont="1" applyFill="1" applyBorder="1" applyAlignment="1" applyProtection="1">
      <alignment vertical="center"/>
      <protection locked="0"/>
    </xf>
    <xf numFmtId="43" fontId="51" fillId="25" borderId="30" xfId="54" applyFont="1" applyFill="1" applyBorder="1" applyAlignment="1" applyProtection="1">
      <alignment horizontal="right" vertical="center" wrapText="1"/>
      <protection locked="0"/>
    </xf>
    <xf numFmtId="0" fontId="31" fillId="25" borderId="23" xfId="35" applyFont="1" applyFill="1" applyBorder="1" applyAlignment="1" applyProtection="1">
      <alignment vertical="center"/>
      <protection locked="0"/>
    </xf>
    <xf numFmtId="0" fontId="31" fillId="25" borderId="24" xfId="35" applyFont="1" applyFill="1" applyBorder="1" applyAlignment="1" applyProtection="1">
      <alignment vertical="center"/>
      <protection locked="0"/>
    </xf>
    <xf numFmtId="4" fontId="55" fillId="0" borderId="31" xfId="35" applyNumberFormat="1" applyFont="1" applyBorder="1" applyAlignment="1">
      <alignment vertical="center"/>
    </xf>
    <xf numFmtId="0" fontId="51" fillId="0" borderId="32" xfId="35" applyFont="1" applyBorder="1" applyAlignment="1">
      <alignment horizontal="center" vertical="center"/>
    </xf>
    <xf numFmtId="0" fontId="51" fillId="0" borderId="34" xfId="35" applyFont="1" applyBorder="1" applyAlignment="1">
      <alignment vertical="center" wrapText="1"/>
    </xf>
    <xf numFmtId="43" fontId="51" fillId="25" borderId="32" xfId="54" applyFont="1" applyFill="1" applyBorder="1" applyAlignment="1" applyProtection="1">
      <alignment horizontal="right" vertical="center" wrapText="1"/>
      <protection locked="0"/>
    </xf>
    <xf numFmtId="0" fontId="31" fillId="25" borderId="33" xfId="35" applyFont="1" applyFill="1" applyBorder="1" applyAlignment="1" applyProtection="1">
      <alignment vertical="center"/>
      <protection locked="0"/>
    </xf>
    <xf numFmtId="0" fontId="31" fillId="25" borderId="34" xfId="35" applyFont="1" applyFill="1" applyBorder="1" applyAlignment="1" applyProtection="1">
      <alignment vertical="center"/>
      <protection locked="0"/>
    </xf>
    <xf numFmtId="4" fontId="55" fillId="0" borderId="35" xfId="35" applyNumberFormat="1" applyFont="1" applyBorder="1" applyAlignment="1">
      <alignment vertical="center"/>
    </xf>
    <xf numFmtId="0" fontId="51" fillId="0" borderId="55" xfId="35" applyFont="1" applyBorder="1" applyAlignment="1">
      <alignment horizontal="center" vertical="center"/>
    </xf>
    <xf numFmtId="0" fontId="51" fillId="0" borderId="60" xfId="35" applyFont="1" applyBorder="1" applyAlignment="1">
      <alignment vertical="center" wrapText="1"/>
    </xf>
    <xf numFmtId="43" fontId="51" fillId="25" borderId="55" xfId="54" applyFont="1" applyFill="1" applyBorder="1" applyAlignment="1" applyProtection="1">
      <alignment horizontal="right" vertical="center" wrapText="1"/>
      <protection locked="0"/>
    </xf>
    <xf numFmtId="0" fontId="31" fillId="25" borderId="70" xfId="35" applyFont="1" applyFill="1" applyBorder="1" applyAlignment="1" applyProtection="1">
      <alignment vertical="center"/>
      <protection locked="0"/>
    </xf>
    <xf numFmtId="0" fontId="31" fillId="25" borderId="60" xfId="35" applyFont="1" applyFill="1" applyBorder="1" applyAlignment="1" applyProtection="1">
      <alignment vertical="center"/>
      <protection locked="0"/>
    </xf>
    <xf numFmtId="4" fontId="55" fillId="0" borderId="58" xfId="35" applyNumberFormat="1" applyFont="1" applyBorder="1" applyAlignment="1">
      <alignment vertical="center"/>
    </xf>
    <xf numFmtId="0" fontId="3" fillId="0" borderId="0" xfId="42" applyFont="1"/>
    <xf numFmtId="0" fontId="37" fillId="0" borderId="0" xfId="42" applyFont="1"/>
    <xf numFmtId="0" fontId="56" fillId="0" borderId="0" xfId="41" applyFont="1"/>
    <xf numFmtId="0" fontId="37" fillId="0" borderId="0" xfId="42" applyFont="1" applyAlignment="1">
      <alignment horizontal="center" vertical="center" wrapText="1"/>
    </xf>
    <xf numFmtId="4" fontId="4" fillId="0" borderId="0" xfId="42" applyNumberFormat="1" applyFont="1"/>
    <xf numFmtId="0" fontId="33" fillId="0" borderId="0" xfId="42" applyFont="1"/>
    <xf numFmtId="0" fontId="32" fillId="0" borderId="0" xfId="42" applyFont="1"/>
    <xf numFmtId="0" fontId="33" fillId="0" borderId="0" xfId="41" applyFont="1"/>
    <xf numFmtId="0" fontId="57" fillId="0" borderId="0" xfId="41" applyFont="1"/>
    <xf numFmtId="0" fontId="4" fillId="27" borderId="69" xfId="42" applyFont="1" applyFill="1" applyBorder="1" applyAlignment="1">
      <alignment horizontal="center" vertical="center" wrapText="1"/>
    </xf>
    <xf numFmtId="0" fontId="4" fillId="27" borderId="69" xfId="41" applyFont="1" applyFill="1" applyBorder="1" applyAlignment="1">
      <alignment horizontal="center" vertical="center" wrapText="1"/>
    </xf>
    <xf numFmtId="0" fontId="4" fillId="27" borderId="62" xfId="41" applyFont="1" applyFill="1" applyBorder="1" applyAlignment="1">
      <alignment horizontal="center" vertical="center" wrapText="1"/>
    </xf>
    <xf numFmtId="43" fontId="4" fillId="27" borderId="69" xfId="42" applyNumberFormat="1" applyFont="1" applyFill="1" applyBorder="1" applyAlignment="1">
      <alignment horizontal="center" vertical="center" wrapText="1"/>
    </xf>
    <xf numFmtId="0" fontId="3" fillId="0" borderId="0" xfId="41" applyFont="1" applyAlignment="1">
      <alignment wrapText="1"/>
    </xf>
    <xf numFmtId="0" fontId="46" fillId="27" borderId="79" xfId="42" applyFont="1" applyFill="1" applyBorder="1" applyAlignment="1">
      <alignment horizontal="left" vertical="center"/>
    </xf>
    <xf numFmtId="0" fontId="58" fillId="29" borderId="80" xfId="42" applyFont="1" applyFill="1" applyBorder="1" applyAlignment="1">
      <alignment horizontal="right" vertical="center"/>
    </xf>
    <xf numFmtId="0" fontId="45" fillId="29" borderId="81" xfId="42" applyFont="1" applyFill="1" applyBorder="1" applyAlignment="1">
      <alignment horizontal="right" vertical="center"/>
    </xf>
    <xf numFmtId="0" fontId="59" fillId="0" borderId="81" xfId="42" applyFont="1" applyBorder="1" applyAlignment="1">
      <alignment horizontal="right" vertical="center"/>
    </xf>
    <xf numFmtId="0" fontId="36" fillId="0" borderId="82" xfId="42" applyFont="1" applyBorder="1" applyAlignment="1">
      <alignment horizontal="left" vertical="center"/>
    </xf>
    <xf numFmtId="2" fontId="37" fillId="29" borderId="40" xfId="42" applyNumberFormat="1" applyFont="1" applyFill="1" applyBorder="1" applyAlignment="1">
      <alignment horizontal="right" vertical="center"/>
    </xf>
    <xf numFmtId="2" fontId="37" fillId="29" borderId="81" xfId="42" applyNumberFormat="1" applyFont="1" applyFill="1" applyBorder="1" applyAlignment="1">
      <alignment horizontal="right" vertical="center"/>
    </xf>
    <xf numFmtId="0" fontId="36" fillId="0" borderId="83" xfId="42" applyFont="1" applyBorder="1" applyAlignment="1">
      <alignment horizontal="left" vertical="center"/>
    </xf>
    <xf numFmtId="4" fontId="37" fillId="25" borderId="40" xfId="42" applyNumberFormat="1" applyFont="1" applyFill="1" applyBorder="1" applyAlignment="1" applyProtection="1">
      <alignment horizontal="right" vertical="center"/>
      <protection locked="0"/>
    </xf>
    <xf numFmtId="4" fontId="37" fillId="25" borderId="81" xfId="42" applyNumberFormat="1" applyFont="1" applyFill="1" applyBorder="1" applyAlignment="1" applyProtection="1">
      <alignment horizontal="right" vertical="center"/>
      <protection locked="0"/>
    </xf>
    <xf numFmtId="3" fontId="37" fillId="25" borderId="81" xfId="42" applyNumberFormat="1" applyFont="1" applyFill="1" applyBorder="1" applyAlignment="1" applyProtection="1">
      <alignment horizontal="right" vertical="center"/>
      <protection locked="0"/>
    </xf>
    <xf numFmtId="3" fontId="37" fillId="25" borderId="84" xfId="42" applyNumberFormat="1" applyFont="1" applyFill="1" applyBorder="1" applyAlignment="1" applyProtection="1">
      <alignment horizontal="right" vertical="center"/>
      <protection locked="0"/>
    </xf>
    <xf numFmtId="4" fontId="37" fillId="29" borderId="38" xfId="42" applyNumberFormat="1" applyFont="1" applyFill="1" applyBorder="1" applyAlignment="1">
      <alignment horizontal="right" vertical="center"/>
    </xf>
    <xf numFmtId="4" fontId="37" fillId="29" borderId="85" xfId="42" applyNumberFormat="1" applyFont="1" applyFill="1" applyBorder="1" applyAlignment="1">
      <alignment horizontal="right" vertical="center"/>
    </xf>
    <xf numFmtId="4" fontId="37" fillId="29" borderId="86" xfId="42" applyNumberFormat="1" applyFont="1" applyFill="1" applyBorder="1" applyAlignment="1">
      <alignment horizontal="right" vertical="center"/>
    </xf>
    <xf numFmtId="168" fontId="37" fillId="29" borderId="38" xfId="42" applyNumberFormat="1" applyFont="1" applyFill="1" applyBorder="1" applyAlignment="1">
      <alignment horizontal="right" vertical="center"/>
    </xf>
    <xf numFmtId="168" fontId="37" fillId="29" borderId="87" xfId="42" applyNumberFormat="1" applyFont="1" applyFill="1" applyBorder="1" applyAlignment="1">
      <alignment horizontal="right" vertical="center"/>
    </xf>
    <xf numFmtId="168" fontId="37" fillId="29" borderId="85" xfId="42" applyNumberFormat="1" applyFont="1" applyFill="1" applyBorder="1" applyAlignment="1">
      <alignment horizontal="right" vertical="center"/>
    </xf>
    <xf numFmtId="168" fontId="37" fillId="29" borderId="86" xfId="42" applyNumberFormat="1" applyFont="1" applyFill="1" applyBorder="1" applyAlignment="1">
      <alignment horizontal="right" vertical="center"/>
    </xf>
    <xf numFmtId="4" fontId="37" fillId="29" borderId="88" xfId="54" applyNumberFormat="1" applyFont="1" applyFill="1" applyBorder="1" applyAlignment="1" applyProtection="1">
      <alignment horizontal="right" vertical="center"/>
    </xf>
    <xf numFmtId="4" fontId="37" fillId="0" borderId="85" xfId="41" applyNumberFormat="1" applyFont="1" applyBorder="1" applyAlignment="1">
      <alignment horizontal="right" vertical="center"/>
    </xf>
    <xf numFmtId="2" fontId="37" fillId="25" borderId="40" xfId="42" applyNumberFormat="1" applyFont="1" applyFill="1" applyBorder="1" applyAlignment="1" applyProtection="1">
      <alignment horizontal="right" vertical="center"/>
      <protection locked="0"/>
    </xf>
    <xf numFmtId="2" fontId="37" fillId="25" borderId="81" xfId="42" applyNumberFormat="1" applyFont="1" applyFill="1" applyBorder="1" applyAlignment="1" applyProtection="1">
      <alignment horizontal="right" vertical="center"/>
      <protection locked="0"/>
    </xf>
    <xf numFmtId="2" fontId="37" fillId="25" borderId="84" xfId="42" applyNumberFormat="1" applyFont="1" applyFill="1" applyBorder="1" applyAlignment="1" applyProtection="1">
      <alignment horizontal="right" vertical="center"/>
      <protection locked="0"/>
    </xf>
    <xf numFmtId="0" fontId="36" fillId="0" borderId="89" xfId="42" applyFont="1" applyBorder="1" applyAlignment="1">
      <alignment horizontal="left" vertical="center"/>
    </xf>
    <xf numFmtId="4" fontId="44" fillId="0" borderId="0" xfId="41" applyNumberFormat="1"/>
    <xf numFmtId="0" fontId="58" fillId="0" borderId="90" xfId="42" applyFont="1" applyBorder="1" applyAlignment="1">
      <alignment horizontal="left" vertical="center"/>
    </xf>
    <xf numFmtId="0" fontId="37" fillId="0" borderId="0" xfId="42" applyFont="1" applyAlignment="1">
      <alignment horizontal="right" vertical="center"/>
    </xf>
    <xf numFmtId="0" fontId="58" fillId="0" borderId="0" xfId="42" applyFont="1" applyAlignment="1">
      <alignment horizontal="right" vertical="center"/>
    </xf>
    <xf numFmtId="0" fontId="60" fillId="27" borderId="91" xfId="42" applyFont="1" applyFill="1" applyBorder="1" applyAlignment="1">
      <alignment horizontal="left" vertical="center"/>
    </xf>
    <xf numFmtId="0" fontId="58" fillId="27" borderId="38" xfId="42" applyFont="1" applyFill="1" applyBorder="1" applyAlignment="1">
      <alignment horizontal="right" vertical="center"/>
    </xf>
    <xf numFmtId="0" fontId="58" fillId="27" borderId="85" xfId="42" applyFont="1" applyFill="1" applyBorder="1" applyAlignment="1">
      <alignment horizontal="right" vertical="center"/>
    </xf>
    <xf numFmtId="0" fontId="58" fillId="27" borderId="86" xfId="42" applyFont="1" applyFill="1" applyBorder="1" applyAlignment="1">
      <alignment horizontal="right" vertical="center"/>
    </xf>
    <xf numFmtId="0" fontId="36" fillId="0" borderId="92" xfId="42" applyFont="1" applyBorder="1" applyAlignment="1">
      <alignment horizontal="left" vertical="center"/>
    </xf>
    <xf numFmtId="4" fontId="37" fillId="0" borderId="38" xfId="42" applyNumberFormat="1" applyFont="1" applyBorder="1" applyAlignment="1">
      <alignment horizontal="right" vertical="center"/>
    </xf>
    <xf numFmtId="4" fontId="37" fillId="0" borderId="85" xfId="42" applyNumberFormat="1" applyFont="1" applyBorder="1" applyAlignment="1">
      <alignment horizontal="right" vertical="center"/>
    </xf>
    <xf numFmtId="4" fontId="37" fillId="0" borderId="86" xfId="42" applyNumberFormat="1" applyFont="1" applyBorder="1" applyAlignment="1">
      <alignment horizontal="right" vertical="center"/>
    </xf>
    <xf numFmtId="0" fontId="36" fillId="0" borderId="93" xfId="42" applyFont="1" applyBorder="1" applyAlignment="1">
      <alignment horizontal="left" vertical="center"/>
    </xf>
    <xf numFmtId="0" fontId="58" fillId="0" borderId="94" xfId="42" applyFont="1" applyBorder="1" applyAlignment="1">
      <alignment horizontal="left" vertical="center"/>
    </xf>
    <xf numFmtId="4" fontId="60" fillId="29" borderId="95" xfId="42" applyNumberFormat="1" applyFont="1" applyFill="1" applyBorder="1" applyAlignment="1">
      <alignment horizontal="right" vertical="center"/>
    </xf>
    <xf numFmtId="4" fontId="60" fillId="29" borderId="96" xfId="42" applyNumberFormat="1" applyFont="1" applyFill="1" applyBorder="1" applyAlignment="1">
      <alignment horizontal="right" vertical="center"/>
    </xf>
    <xf numFmtId="4" fontId="60" fillId="29" borderId="97" xfId="42" applyNumberFormat="1" applyFont="1" applyFill="1" applyBorder="1" applyAlignment="1">
      <alignment horizontal="right" vertical="center"/>
    </xf>
    <xf numFmtId="0" fontId="36" fillId="0" borderId="0" xfId="41" applyFont="1" applyAlignment="1">
      <alignment horizontal="left" vertical="center"/>
    </xf>
    <xf numFmtId="0" fontId="37" fillId="0" borderId="0" xfId="41" applyFont="1" applyAlignment="1">
      <alignment horizontal="right" vertical="center"/>
    </xf>
    <xf numFmtId="0" fontId="60" fillId="27" borderId="79" xfId="42" applyFont="1" applyFill="1" applyBorder="1" applyAlignment="1">
      <alignment horizontal="left" vertical="center"/>
    </xf>
    <xf numFmtId="4" fontId="58" fillId="27" borderId="38" xfId="42" applyNumberFormat="1" applyFont="1" applyFill="1" applyBorder="1" applyAlignment="1">
      <alignment horizontal="right" vertical="center"/>
    </xf>
    <xf numFmtId="4" fontId="58" fillId="27" borderId="85" xfId="42" applyNumberFormat="1" applyFont="1" applyFill="1" applyBorder="1" applyAlignment="1">
      <alignment horizontal="right" vertical="center"/>
    </xf>
    <xf numFmtId="4" fontId="58" fillId="27" borderId="86" xfId="42" applyNumberFormat="1" applyFont="1" applyFill="1" applyBorder="1" applyAlignment="1">
      <alignment horizontal="right" vertical="center"/>
    </xf>
    <xf numFmtId="0" fontId="36" fillId="0" borderId="98" xfId="42" applyFont="1" applyBorder="1" applyAlignment="1">
      <alignment horizontal="left" vertical="center"/>
    </xf>
    <xf numFmtId="4" fontId="37" fillId="0" borderId="99" xfId="42" applyNumberFormat="1" applyFont="1" applyBorder="1" applyAlignment="1">
      <alignment horizontal="right" vertical="center"/>
    </xf>
    <xf numFmtId="4" fontId="37" fillId="0" borderId="88" xfId="42" applyNumberFormat="1" applyFont="1" applyBorder="1" applyAlignment="1">
      <alignment horizontal="right" vertical="center"/>
    </xf>
    <xf numFmtId="4" fontId="37" fillId="29" borderId="88" xfId="42" applyNumberFormat="1" applyFont="1" applyFill="1" applyBorder="1" applyAlignment="1">
      <alignment horizontal="right" vertical="center"/>
    </xf>
    <xf numFmtId="4" fontId="37" fillId="0" borderId="100" xfId="42" applyNumberFormat="1" applyFont="1" applyBorder="1" applyAlignment="1">
      <alignment horizontal="right" vertical="center"/>
    </xf>
    <xf numFmtId="0" fontId="36" fillId="0" borderId="0" xfId="42" applyFont="1" applyAlignment="1">
      <alignment horizontal="left" vertical="center"/>
    </xf>
    <xf numFmtId="4" fontId="37" fillId="0" borderId="0" xfId="42" applyNumberFormat="1" applyFont="1" applyAlignment="1">
      <alignment horizontal="right" vertical="center"/>
    </xf>
    <xf numFmtId="0" fontId="60" fillId="27" borderId="69" xfId="42" applyFont="1" applyFill="1" applyBorder="1" applyAlignment="1">
      <alignment horizontal="left" vertical="center"/>
    </xf>
    <xf numFmtId="4" fontId="60" fillId="29" borderId="69" xfId="42" applyNumberFormat="1" applyFont="1" applyFill="1" applyBorder="1" applyAlignment="1">
      <alignment horizontal="right" vertical="center"/>
    </xf>
    <xf numFmtId="4" fontId="37" fillId="29" borderId="0" xfId="42" applyNumberFormat="1" applyFont="1" applyFill="1" applyAlignment="1">
      <alignment horizontal="right" vertical="center"/>
    </xf>
    <xf numFmtId="4" fontId="61" fillId="29" borderId="67" xfId="42" applyNumberFormat="1" applyFont="1" applyFill="1" applyBorder="1" applyAlignment="1">
      <alignment horizontal="right" vertical="center"/>
    </xf>
    <xf numFmtId="4" fontId="61" fillId="29" borderId="101" xfId="42" applyNumberFormat="1" applyFont="1" applyFill="1" applyBorder="1" applyAlignment="1">
      <alignment horizontal="right" vertical="center"/>
    </xf>
    <xf numFmtId="0" fontId="60" fillId="27" borderId="83" xfId="42" applyFont="1" applyFill="1" applyBorder="1" applyAlignment="1">
      <alignment horizontal="left" vertical="center"/>
    </xf>
    <xf numFmtId="4" fontId="61" fillId="29" borderId="83" xfId="42" applyNumberFormat="1" applyFont="1" applyFill="1" applyBorder="1" applyAlignment="1">
      <alignment horizontal="right" vertical="center"/>
    </xf>
    <xf numFmtId="0" fontId="60" fillId="27" borderId="89" xfId="42" applyFont="1" applyFill="1" applyBorder="1" applyAlignment="1">
      <alignment horizontal="left" vertical="center"/>
    </xf>
    <xf numFmtId="4" fontId="61" fillId="29" borderId="73" xfId="42" applyNumberFormat="1" applyFont="1" applyFill="1" applyBorder="1" applyAlignment="1">
      <alignment horizontal="right" vertical="center"/>
    </xf>
    <xf numFmtId="4" fontId="61" fillId="29" borderId="102" xfId="42" applyNumberFormat="1" applyFont="1" applyFill="1" applyBorder="1" applyAlignment="1">
      <alignment horizontal="right" vertical="center"/>
    </xf>
    <xf numFmtId="4" fontId="36" fillId="0" borderId="0" xfId="35" applyNumberFormat="1" applyFont="1"/>
    <xf numFmtId="0" fontId="36" fillId="0" borderId="0" xfId="41" applyFont="1" applyAlignment="1">
      <alignment vertical="top"/>
    </xf>
    <xf numFmtId="0" fontId="36" fillId="0" borderId="0" xfId="41" applyFont="1" applyAlignment="1">
      <alignment wrapText="1"/>
    </xf>
    <xf numFmtId="0" fontId="36" fillId="0" borderId="0" xfId="41" applyFont="1"/>
    <xf numFmtId="0" fontId="38" fillId="0" borderId="0" xfId="41" applyFont="1"/>
    <xf numFmtId="4" fontId="38" fillId="0" borderId="103" xfId="35" applyNumberFormat="1" applyFont="1" applyBorder="1"/>
    <xf numFmtId="4" fontId="38" fillId="0" borderId="92" xfId="35" applyNumberFormat="1" applyFont="1" applyBorder="1"/>
    <xf numFmtId="4" fontId="38" fillId="0" borderId="42" xfId="35" applyNumberFormat="1" applyFont="1" applyBorder="1"/>
    <xf numFmtId="4" fontId="38" fillId="0" borderId="104" xfId="35" applyNumberFormat="1" applyFont="1" applyBorder="1"/>
    <xf numFmtId="4" fontId="38" fillId="0" borderId="105" xfId="35" applyNumberFormat="1" applyFont="1" applyBorder="1"/>
    <xf numFmtId="4" fontId="38" fillId="0" borderId="106" xfId="35" applyNumberFormat="1" applyFont="1" applyBorder="1"/>
    <xf numFmtId="4" fontId="38" fillId="0" borderId="107" xfId="35" applyNumberFormat="1" applyFont="1" applyBorder="1"/>
    <xf numFmtId="0" fontId="3" fillId="0" borderId="0" xfId="43" applyFont="1" applyAlignment="1">
      <alignment horizontal="center" vertical="center"/>
    </xf>
    <xf numFmtId="4" fontId="3" fillId="0" borderId="0" xfId="43" applyNumberFormat="1" applyFont="1"/>
    <xf numFmtId="3" fontId="4" fillId="0" borderId="0" xfId="43" applyNumberFormat="1" applyFont="1" applyAlignment="1">
      <alignment horizontal="center"/>
    </xf>
    <xf numFmtId="0" fontId="3" fillId="0" borderId="0" xfId="43" applyFont="1"/>
    <xf numFmtId="4" fontId="62" fillId="0" borderId="0" xfId="43" applyNumberFormat="1" applyFont="1" applyAlignment="1">
      <alignment horizontal="center"/>
    </xf>
    <xf numFmtId="0" fontId="63" fillId="0" borderId="0" xfId="38" applyFont="1"/>
    <xf numFmtId="4" fontId="4" fillId="0" borderId="0" xfId="43" applyNumberFormat="1" applyFont="1" applyAlignment="1">
      <alignment horizontal="center"/>
    </xf>
    <xf numFmtId="4" fontId="32" fillId="0" borderId="45" xfId="43" applyNumberFormat="1" applyFont="1" applyBorder="1" applyAlignment="1">
      <alignment horizontal="center" vertical="center"/>
    </xf>
    <xf numFmtId="10" fontId="32" fillId="25" borderId="46" xfId="43" applyNumberFormat="1" applyFont="1" applyFill="1" applyBorder="1" applyAlignment="1" applyProtection="1">
      <alignment horizontal="center" vertical="center"/>
      <protection locked="0"/>
    </xf>
    <xf numFmtId="0" fontId="42" fillId="0" borderId="0" xfId="43" applyFont="1" applyAlignment="1">
      <alignment horizontal="center" vertical="center"/>
    </xf>
    <xf numFmtId="4" fontId="3" fillId="0" borderId="85" xfId="43" applyNumberFormat="1" applyFont="1" applyBorder="1" applyAlignment="1">
      <alignment vertical="center"/>
    </xf>
    <xf numFmtId="0" fontId="3" fillId="0" borderId="0" xfId="35" applyFont="1" applyAlignment="1">
      <alignment horizontal="center"/>
    </xf>
    <xf numFmtId="0" fontId="3" fillId="0" borderId="0" xfId="39" applyFont="1"/>
    <xf numFmtId="0" fontId="3" fillId="0" borderId="0" xfId="39" applyFont="1" applyAlignment="1">
      <alignment horizontal="center" vertical="center"/>
    </xf>
    <xf numFmtId="4" fontId="43" fillId="27" borderId="43" xfId="35" applyNumberFormat="1" applyFont="1" applyFill="1" applyBorder="1" applyAlignment="1">
      <alignment horizontal="center" vertical="center" wrapText="1"/>
    </xf>
    <xf numFmtId="0" fontId="43" fillId="27" borderId="78" xfId="35" applyFont="1" applyFill="1" applyBorder="1" applyAlignment="1">
      <alignment horizontal="center" vertical="center" wrapText="1"/>
    </xf>
    <xf numFmtId="4" fontId="43" fillId="27" borderId="78" xfId="35" applyNumberFormat="1" applyFont="1" applyFill="1" applyBorder="1" applyAlignment="1">
      <alignment horizontal="center" vertical="center" wrapText="1"/>
    </xf>
    <xf numFmtId="4" fontId="43" fillId="27" borderId="44" xfId="35" applyNumberFormat="1" applyFont="1" applyFill="1" applyBorder="1" applyAlignment="1">
      <alignment horizontal="center" vertical="center" wrapText="1"/>
    </xf>
    <xf numFmtId="0" fontId="31" fillId="0" borderId="26" xfId="35" applyFont="1" applyBorder="1" applyAlignment="1">
      <alignment horizontal="center"/>
    </xf>
    <xf numFmtId="0" fontId="31" fillId="0" borderId="27" xfId="35" applyFont="1" applyBorder="1" applyAlignment="1">
      <alignment horizontal="center"/>
    </xf>
    <xf numFmtId="0" fontId="31" fillId="0" borderId="30" xfId="35" applyFont="1" applyBorder="1" applyAlignment="1">
      <alignment horizontal="center"/>
    </xf>
    <xf numFmtId="0" fontId="31" fillId="0" borderId="23" xfId="35" applyFont="1" applyBorder="1" applyAlignment="1">
      <alignment vertical="center" wrapText="1"/>
    </xf>
    <xf numFmtId="0" fontId="31" fillId="0" borderId="23" xfId="35" applyFont="1" applyBorder="1" applyAlignment="1">
      <alignment horizontal="center"/>
    </xf>
    <xf numFmtId="0" fontId="3" fillId="0" borderId="23" xfId="35" applyFont="1" applyBorder="1" applyAlignment="1">
      <alignment horizontal="center"/>
    </xf>
    <xf numFmtId="4" fontId="4" fillId="0" borderId="23" xfId="35" applyNumberFormat="1" applyFont="1" applyBorder="1"/>
    <xf numFmtId="4" fontId="3" fillId="0" borderId="23" xfId="35" applyNumberFormat="1" applyFont="1" applyBorder="1" applyAlignment="1">
      <alignment horizontal="center"/>
    </xf>
    <xf numFmtId="0" fontId="3" fillId="0" borderId="90" xfId="35" applyFont="1" applyBorder="1"/>
    <xf numFmtId="4" fontId="10" fillId="0" borderId="90" xfId="35" applyNumberFormat="1" applyFont="1" applyBorder="1"/>
    <xf numFmtId="0" fontId="41" fillId="0" borderId="0" xfId="34" applyFont="1"/>
    <xf numFmtId="0" fontId="32" fillId="0" borderId="0" xfId="44" applyFont="1" applyAlignment="1">
      <alignment vertical="center"/>
    </xf>
    <xf numFmtId="49" fontId="33" fillId="0" borderId="0" xfId="44" applyNumberFormat="1" applyFont="1" applyAlignment="1">
      <alignment horizontal="left" vertical="top"/>
    </xf>
    <xf numFmtId="0" fontId="33" fillId="0" borderId="0" xfId="44" applyFont="1" applyAlignment="1">
      <alignment horizontal="center"/>
    </xf>
    <xf numFmtId="0" fontId="3" fillId="0" borderId="0" xfId="44" applyFont="1" applyAlignment="1">
      <alignment horizontal="center"/>
    </xf>
    <xf numFmtId="0" fontId="33" fillId="0" borderId="0" xfId="44" applyFont="1"/>
    <xf numFmtId="0" fontId="4" fillId="0" borderId="0" xfId="44" applyFont="1" applyAlignment="1">
      <alignment horizontal="center" vertical="center" wrapText="1"/>
    </xf>
    <xf numFmtId="0" fontId="32" fillId="0" borderId="0" xfId="44" applyFont="1" applyAlignment="1">
      <alignment vertical="center" wrapText="1"/>
    </xf>
    <xf numFmtId="0" fontId="4" fillId="0" borderId="0" xfId="44" applyFont="1" applyAlignment="1">
      <alignment horizontal="right" vertical="center"/>
    </xf>
    <xf numFmtId="0" fontId="3" fillId="0" borderId="0" xfId="33" applyAlignment="1">
      <alignment vertical="center"/>
    </xf>
    <xf numFmtId="0" fontId="65" fillId="0" borderId="0" xfId="33" applyFont="1" applyAlignment="1">
      <alignment horizontal="right" vertical="center"/>
    </xf>
    <xf numFmtId="0" fontId="3" fillId="0" borderId="0" xfId="33" applyAlignment="1">
      <alignment horizontal="justify" vertical="center" wrapText="1"/>
    </xf>
    <xf numFmtId="0" fontId="9" fillId="0" borderId="0" xfId="33" applyFont="1" applyAlignment="1">
      <alignment horizontal="center" vertical="center" wrapText="1"/>
    </xf>
    <xf numFmtId="0" fontId="42" fillId="0" borderId="0" xfId="33" applyFont="1" applyAlignment="1">
      <alignment horizontal="center" vertical="center" wrapText="1"/>
    </xf>
    <xf numFmtId="0" fontId="42" fillId="0" borderId="0" xfId="33" applyFont="1" applyAlignment="1">
      <alignment vertical="center" wrapText="1"/>
    </xf>
    <xf numFmtId="4" fontId="4" fillId="27" borderId="110" xfId="35" applyNumberFormat="1" applyFont="1" applyFill="1" applyBorder="1" applyAlignment="1">
      <alignment horizontal="center" vertical="center" wrapText="1"/>
    </xf>
    <xf numFmtId="49" fontId="4" fillId="27" borderId="108" xfId="33" applyNumberFormat="1" applyFont="1" applyFill="1" applyBorder="1" applyAlignment="1">
      <alignment horizontal="center" vertical="center" wrapText="1"/>
    </xf>
    <xf numFmtId="0" fontId="4" fillId="27" borderId="110" xfId="33" applyFont="1" applyFill="1" applyBorder="1" applyAlignment="1">
      <alignment horizontal="center" vertical="center" wrapText="1"/>
    </xf>
    <xf numFmtId="4" fontId="4" fillId="27" borderId="110" xfId="33" applyNumberFormat="1" applyFont="1" applyFill="1" applyBorder="1" applyAlignment="1">
      <alignment horizontal="center" vertical="center" wrapText="1"/>
    </xf>
    <xf numFmtId="49" fontId="4" fillId="28" borderId="111" xfId="33" applyNumberFormat="1" applyFont="1" applyFill="1" applyBorder="1" applyAlignment="1">
      <alignment vertical="center" wrapText="1"/>
    </xf>
    <xf numFmtId="0" fontId="4" fillId="28" borderId="112" xfId="33" applyFont="1" applyFill="1" applyBorder="1" applyAlignment="1">
      <alignment horizontal="left" vertical="center" wrapText="1"/>
    </xf>
    <xf numFmtId="169" fontId="4" fillId="28" borderId="112" xfId="3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3" applyFont="1" applyAlignment="1">
      <alignment horizontal="right" vertical="center"/>
    </xf>
    <xf numFmtId="4" fontId="5" fillId="0" borderId="0" xfId="33" applyNumberFormat="1" applyFont="1" applyAlignment="1">
      <alignment horizontal="right" vertical="center"/>
    </xf>
    <xf numFmtId="49" fontId="4" fillId="28" borderId="109" xfId="33" applyNumberFormat="1" applyFont="1" applyFill="1" applyBorder="1" applyAlignment="1">
      <alignment vertical="center" wrapText="1"/>
    </xf>
    <xf numFmtId="0" fontId="4" fillId="28" borderId="113" xfId="33" applyFont="1" applyFill="1" applyBorder="1" applyAlignment="1">
      <alignment horizontal="left" vertical="center" wrapText="1"/>
    </xf>
    <xf numFmtId="169" fontId="4" fillId="28" borderId="113" xfId="33" applyNumberFormat="1" applyFont="1" applyFill="1" applyBorder="1" applyAlignment="1" applyProtection="1">
      <alignment horizontal="right" vertical="center" wrapText="1"/>
      <protection locked="0"/>
    </xf>
    <xf numFmtId="49" fontId="3" fillId="0" borderId="22" xfId="33" applyNumberFormat="1" applyBorder="1" applyAlignment="1">
      <alignment horizontal="left" vertical="center"/>
    </xf>
    <xf numFmtId="0" fontId="3" fillId="0" borderId="22" xfId="33" applyBorder="1" applyAlignment="1">
      <alignment horizontal="left" vertical="center" wrapText="1"/>
    </xf>
    <xf numFmtId="4" fontId="3" fillId="0" borderId="22" xfId="33" applyNumberFormat="1" applyBorder="1" applyAlignment="1" applyProtection="1">
      <alignment vertical="center"/>
      <protection locked="0"/>
    </xf>
    <xf numFmtId="4" fontId="3" fillId="0" borderId="0" xfId="33" applyNumberFormat="1" applyAlignment="1">
      <alignment vertical="center"/>
    </xf>
    <xf numFmtId="0" fontId="33" fillId="0" borderId="0" xfId="0" applyFont="1" applyAlignment="1">
      <alignment horizontal="justify" vertical="center" wrapText="1"/>
    </xf>
    <xf numFmtId="4" fontId="66" fillId="29" borderId="85" xfId="42" applyNumberFormat="1" applyFont="1" applyFill="1" applyBorder="1" applyAlignment="1">
      <alignment horizontal="right" vertical="center"/>
    </xf>
    <xf numFmtId="4" fontId="66" fillId="0" borderId="114" xfId="42" applyNumberFormat="1" applyFont="1" applyBorder="1" applyAlignment="1">
      <alignment horizontal="right" vertical="center"/>
    </xf>
    <xf numFmtId="0" fontId="67" fillId="0" borderId="0" xfId="44" applyFont="1"/>
    <xf numFmtId="2" fontId="68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69" fillId="0" borderId="10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left" vertical="center"/>
    </xf>
    <xf numFmtId="2" fontId="69" fillId="0" borderId="0" xfId="0" applyNumberFormat="1" applyFont="1" applyAlignment="1">
      <alignment vertical="center"/>
    </xf>
    <xf numFmtId="0" fontId="69" fillId="0" borderId="0" xfId="0" applyFont="1" applyAlignment="1">
      <alignment horizontal="center" vertical="center" wrapText="1"/>
    </xf>
    <xf numFmtId="165" fontId="69" fillId="0" borderId="0" xfId="0" applyNumberFormat="1" applyFont="1" applyAlignment="1">
      <alignment horizontal="center" vertical="center"/>
    </xf>
    <xf numFmtId="2" fontId="69" fillId="0" borderId="0" xfId="0" applyNumberFormat="1" applyFont="1" applyAlignment="1">
      <alignment horizontal="right" vertical="center" wrapText="1" indent="1"/>
    </xf>
    <xf numFmtId="2" fontId="69" fillId="0" borderId="0" xfId="0" applyNumberFormat="1" applyFont="1" applyAlignment="1">
      <alignment horizontal="centerContinuous" vertical="center"/>
    </xf>
    <xf numFmtId="0" fontId="70" fillId="0" borderId="0" xfId="0" applyFont="1" applyAlignment="1">
      <alignment horizontal="center"/>
    </xf>
    <xf numFmtId="0" fontId="71" fillId="0" borderId="0" xfId="35" applyFont="1"/>
    <xf numFmtId="0" fontId="71" fillId="0" borderId="0" xfId="40" applyFont="1"/>
    <xf numFmtId="0" fontId="72" fillId="0" borderId="0" xfId="35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67" fontId="3" fillId="25" borderId="15" xfId="0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vertical="center"/>
    </xf>
    <xf numFmtId="0" fontId="4" fillId="31" borderId="69" xfId="42" applyFont="1" applyFill="1" applyBorder="1" applyAlignment="1">
      <alignment horizontal="center" vertical="center" wrapText="1"/>
    </xf>
    <xf numFmtId="4" fontId="37" fillId="31" borderId="85" xfId="42" applyNumberFormat="1" applyFont="1" applyFill="1" applyBorder="1" applyAlignment="1">
      <alignment horizontal="right" vertical="center"/>
    </xf>
    <xf numFmtId="3" fontId="37" fillId="31" borderId="81" xfId="42" applyNumberFormat="1" applyFont="1" applyFill="1" applyBorder="1" applyAlignment="1" applyProtection="1">
      <alignment horizontal="right" vertical="center"/>
      <protection locked="0"/>
    </xf>
    <xf numFmtId="0" fontId="4" fillId="31" borderId="69" xfId="41" applyFont="1" applyFill="1" applyBorder="1" applyAlignment="1">
      <alignment horizontal="center" vertical="center" wrapText="1"/>
    </xf>
    <xf numFmtId="4" fontId="32" fillId="27" borderId="85" xfId="43" applyNumberFormat="1" applyFont="1" applyFill="1" applyBorder="1" applyAlignment="1">
      <alignment horizontal="center" vertical="center" wrapText="1"/>
    </xf>
    <xf numFmtId="0" fontId="3" fillId="0" borderId="85" xfId="43" applyFont="1" applyBorder="1" applyAlignment="1">
      <alignment horizontal="center" vertical="center"/>
    </xf>
    <xf numFmtId="4" fontId="3" fillId="32" borderId="85" xfId="43" applyNumberFormat="1" applyFont="1" applyFill="1" applyBorder="1" applyAlignment="1">
      <alignment horizontal="right" vertical="center"/>
    </xf>
    <xf numFmtId="3" fontId="4" fillId="0" borderId="85" xfId="43" applyNumberFormat="1" applyFont="1" applyBorder="1" applyAlignment="1">
      <alignment horizontal="center" vertical="center"/>
    </xf>
    <xf numFmtId="4" fontId="4" fillId="25" borderId="85" xfId="43" applyNumberFormat="1" applyFont="1" applyFill="1" applyBorder="1" applyAlignment="1" applyProtection="1">
      <alignment vertical="center"/>
      <protection locked="0"/>
    </xf>
    <xf numFmtId="4" fontId="3" fillId="0" borderId="85" xfId="43" applyNumberFormat="1" applyFont="1" applyBorder="1" applyAlignment="1">
      <alignment horizontal="right" vertical="center"/>
    </xf>
    <xf numFmtId="0" fontId="33" fillId="27" borderId="115" xfId="34" applyFont="1" applyFill="1" applyBorder="1" applyAlignment="1">
      <alignment vertical="center"/>
    </xf>
    <xf numFmtId="4" fontId="32" fillId="27" borderId="67" xfId="34" applyNumberFormat="1" applyFont="1" applyFill="1" applyBorder="1" applyAlignment="1">
      <alignment horizontal="center" vertical="center" wrapText="1"/>
    </xf>
    <xf numFmtId="0" fontId="33" fillId="27" borderId="73" xfId="34" applyFont="1" applyFill="1" applyBorder="1" applyAlignment="1">
      <alignment vertical="center"/>
    </xf>
    <xf numFmtId="4" fontId="4" fillId="0" borderId="0" xfId="35" applyNumberFormat="1" applyFont="1"/>
    <xf numFmtId="4" fontId="4" fillId="25" borderId="23" xfId="35" applyNumberFormat="1" applyFont="1" applyFill="1" applyBorder="1" applyProtection="1">
      <protection locked="0"/>
    </xf>
    <xf numFmtId="9" fontId="66" fillId="0" borderId="85" xfId="46" applyFont="1" applyBorder="1" applyAlignment="1" applyProtection="1">
      <alignment vertical="center"/>
    </xf>
    <xf numFmtId="4" fontId="66" fillId="0" borderId="85" xfId="35" applyNumberFormat="1" applyFont="1" applyBorder="1" applyAlignment="1">
      <alignment vertical="center"/>
    </xf>
    <xf numFmtId="4" fontId="66" fillId="33" borderId="85" xfId="35" applyNumberFormat="1" applyFont="1" applyFill="1" applyBorder="1" applyAlignment="1">
      <alignment vertical="center"/>
    </xf>
    <xf numFmtId="0" fontId="74" fillId="0" borderId="0" xfId="35" applyFont="1"/>
    <xf numFmtId="0" fontId="74" fillId="0" borderId="0" xfId="40" applyFont="1"/>
    <xf numFmtId="0" fontId="75" fillId="0" borderId="0" xfId="35" applyFont="1" applyAlignment="1">
      <alignment horizontal="center" vertical="center"/>
    </xf>
    <xf numFmtId="4" fontId="76" fillId="0" borderId="28" xfId="35" applyNumberFormat="1" applyFont="1" applyBorder="1" applyAlignment="1">
      <alignment vertical="center"/>
    </xf>
    <xf numFmtId="9" fontId="76" fillId="0" borderId="85" xfId="46" applyFont="1" applyBorder="1" applyAlignment="1" applyProtection="1">
      <alignment vertical="center"/>
    </xf>
    <xf numFmtId="4" fontId="76" fillId="0" borderId="24" xfId="35" applyNumberFormat="1" applyFont="1" applyBorder="1" applyAlignment="1">
      <alignment vertical="center"/>
    </xf>
    <xf numFmtId="4" fontId="76" fillId="33" borderId="24" xfId="35" applyNumberFormat="1" applyFont="1" applyFill="1" applyBorder="1" applyAlignment="1">
      <alignment vertical="center"/>
    </xf>
    <xf numFmtId="9" fontId="77" fillId="0" borderId="85" xfId="46" applyFont="1" applyBorder="1" applyAlignment="1" applyProtection="1">
      <alignment horizontal="center" vertical="center"/>
    </xf>
    <xf numFmtId="9" fontId="66" fillId="0" borderId="114" xfId="46" applyFont="1" applyBorder="1" applyAlignment="1" applyProtection="1">
      <alignment horizontal="center" vertical="center"/>
    </xf>
    <xf numFmtId="9" fontId="66" fillId="0" borderId="88" xfId="46" applyFont="1" applyBorder="1" applyAlignment="1" applyProtection="1">
      <alignment horizontal="center" vertical="center"/>
    </xf>
    <xf numFmtId="9" fontId="66" fillId="0" borderId="81" xfId="46" applyFont="1" applyBorder="1" applyAlignment="1" applyProtection="1">
      <alignment horizontal="center" vertical="center"/>
    </xf>
    <xf numFmtId="0" fontId="31" fillId="0" borderId="0" xfId="35" applyFont="1" applyAlignment="1">
      <alignment vertical="top" wrapText="1"/>
    </xf>
    <xf numFmtId="0" fontId="39" fillId="0" borderId="0" xfId="41" applyFont="1"/>
    <xf numFmtId="0" fontId="59" fillId="29" borderId="81" xfId="42" applyFont="1" applyFill="1" applyBorder="1" applyAlignment="1">
      <alignment horizontal="right" vertical="center"/>
    </xf>
    <xf numFmtId="0" fontId="78" fillId="34" borderId="0" xfId="35" applyFont="1" applyFill="1"/>
    <xf numFmtId="4" fontId="79" fillId="34" borderId="24" xfId="35" applyNumberFormat="1" applyFont="1" applyFill="1" applyBorder="1" applyAlignment="1">
      <alignment vertical="center"/>
    </xf>
    <xf numFmtId="0" fontId="80" fillId="34" borderId="0" xfId="35" applyFont="1" applyFill="1"/>
    <xf numFmtId="4" fontId="36" fillId="0" borderId="0" xfId="35" applyNumberFormat="1" applyFont="1" applyAlignment="1">
      <alignment wrapText="1"/>
    </xf>
    <xf numFmtId="0" fontId="36" fillId="0" borderId="0" xfId="35" applyFont="1" applyAlignment="1">
      <alignment horizontal="center" vertical="center"/>
    </xf>
    <xf numFmtId="0" fontId="36" fillId="0" borderId="0" xfId="35" applyFont="1" applyAlignment="1">
      <alignment horizontal="center" vertical="top"/>
    </xf>
    <xf numFmtId="4" fontId="37" fillId="0" borderId="0" xfId="35" applyNumberFormat="1" applyFont="1" applyAlignment="1">
      <alignment horizontal="right"/>
    </xf>
    <xf numFmtId="0" fontId="4" fillId="0" borderId="0" xfId="33" applyFont="1" applyAlignment="1">
      <alignment horizontal="right" vertical="center" wrapText="1"/>
    </xf>
    <xf numFmtId="0" fontId="4" fillId="0" borderId="0" xfId="33" applyFont="1" applyAlignment="1">
      <alignment vertical="center"/>
    </xf>
    <xf numFmtId="172" fontId="4" fillId="35" borderId="11" xfId="33" applyNumberFormat="1" applyFont="1" applyFill="1" applyBorder="1" applyAlignment="1" applyProtection="1">
      <alignment horizontal="right" vertical="center"/>
      <protection locked="0"/>
    </xf>
    <xf numFmtId="172" fontId="4" fillId="35" borderId="126" xfId="33" applyNumberFormat="1" applyFont="1" applyFill="1" applyBorder="1" applyAlignment="1">
      <alignment vertical="center"/>
    </xf>
    <xf numFmtId="49" fontId="4" fillId="27" borderId="108" xfId="44" applyNumberFormat="1" applyFont="1" applyFill="1" applyBorder="1" applyAlignment="1">
      <alignment horizontal="center" vertical="center" wrapText="1"/>
    </xf>
    <xf numFmtId="0" fontId="4" fillId="27" borderId="108" xfId="0" applyFont="1" applyFill="1" applyBorder="1" applyAlignment="1">
      <alignment horizontal="center" vertical="center" wrapText="1"/>
    </xf>
    <xf numFmtId="0" fontId="4" fillId="27" borderId="108" xfId="44" applyFont="1" applyFill="1" applyBorder="1" applyAlignment="1">
      <alignment horizontal="center" vertical="center" wrapText="1"/>
    </xf>
    <xf numFmtId="4" fontId="4" fillId="27" borderId="108" xfId="44" applyNumberFormat="1" applyFont="1" applyFill="1" applyBorder="1" applyAlignment="1">
      <alignment horizontal="center" vertical="center" wrapText="1"/>
    </xf>
    <xf numFmtId="4" fontId="81" fillId="27" borderId="108" xfId="44" applyNumberFormat="1" applyFont="1" applyFill="1" applyBorder="1" applyAlignment="1">
      <alignment horizontal="center" vertical="center" wrapText="1"/>
    </xf>
    <xf numFmtId="0" fontId="55" fillId="0" borderId="0" xfId="44" applyFont="1" applyAlignment="1">
      <alignment horizontal="center" vertical="center"/>
    </xf>
    <xf numFmtId="0" fontId="55" fillId="0" borderId="0" xfId="44" applyFont="1" applyAlignment="1">
      <alignment vertical="center"/>
    </xf>
    <xf numFmtId="0" fontId="83" fillId="0" borderId="0" xfId="44" applyFont="1" applyAlignment="1">
      <alignment vertical="center"/>
    </xf>
    <xf numFmtId="0" fontId="51" fillId="0" borderId="0" xfId="44" applyFont="1" applyAlignment="1">
      <alignment horizontal="center"/>
    </xf>
    <xf numFmtId="0" fontId="51" fillId="0" borderId="0" xfId="44" applyFont="1"/>
    <xf numFmtId="0" fontId="85" fillId="0" borderId="0" xfId="44" applyFont="1"/>
    <xf numFmtId="0" fontId="55" fillId="0" borderId="0" xfId="44" applyFont="1" applyAlignment="1">
      <alignment horizontal="center" vertical="center" wrapText="1"/>
    </xf>
    <xf numFmtId="0" fontId="55" fillId="0" borderId="0" xfId="44" applyFont="1" applyAlignment="1">
      <alignment horizontal="left" vertical="top" wrapText="1"/>
    </xf>
    <xf numFmtId="0" fontId="55" fillId="0" borderId="0" xfId="0" applyFont="1" applyAlignment="1">
      <alignment horizontal="justify" vertical="center" wrapText="1"/>
    </xf>
    <xf numFmtId="0" fontId="83" fillId="0" borderId="0" xfId="44" applyFont="1"/>
    <xf numFmtId="0" fontId="51" fillId="0" borderId="25" xfId="0" applyFont="1" applyBorder="1" applyAlignment="1">
      <alignment horizontal="justify" vertical="center" wrapText="1"/>
    </xf>
    <xf numFmtId="0" fontId="51" fillId="0" borderId="25" xfId="44" applyFont="1" applyBorder="1" applyAlignment="1">
      <alignment horizontal="center" wrapText="1"/>
    </xf>
    <xf numFmtId="0" fontId="51" fillId="0" borderId="0" xfId="44" applyFont="1" applyAlignment="1">
      <alignment horizontal="center" wrapText="1"/>
    </xf>
    <xf numFmtId="0" fontId="55" fillId="0" borderId="0" xfId="44" applyFont="1" applyAlignment="1">
      <alignment vertical="center" wrapText="1"/>
    </xf>
    <xf numFmtId="0" fontId="83" fillId="0" borderId="0" xfId="44" applyFont="1" applyAlignment="1">
      <alignment vertical="center" wrapText="1"/>
    </xf>
    <xf numFmtId="49" fontId="55" fillId="28" borderId="109" xfId="44" applyNumberFormat="1" applyFont="1" applyFill="1" applyBorder="1" applyAlignment="1">
      <alignment horizontal="left" vertical="top" wrapText="1"/>
    </xf>
    <xf numFmtId="0" fontId="55" fillId="28" borderId="109" xfId="0" applyFont="1" applyFill="1" applyBorder="1" applyAlignment="1">
      <alignment horizontal="justify" vertical="center" wrapText="1"/>
    </xf>
    <xf numFmtId="0" fontId="51" fillId="28" borderId="109" xfId="44" applyFont="1" applyFill="1" applyBorder="1" applyAlignment="1">
      <alignment horizontal="center" wrapText="1"/>
    </xf>
    <xf numFmtId="4" fontId="51" fillId="28" borderId="109" xfId="44" applyNumberFormat="1" applyFont="1" applyFill="1" applyBorder="1" applyAlignment="1">
      <alignment horizontal="right" wrapText="1"/>
    </xf>
    <xf numFmtId="4" fontId="83" fillId="28" borderId="109" xfId="44" applyNumberFormat="1" applyFont="1" applyFill="1" applyBorder="1" applyAlignment="1" applyProtection="1">
      <alignment horizontal="right" wrapText="1"/>
      <protection locked="0"/>
    </xf>
    <xf numFmtId="4" fontId="51" fillId="28" borderId="109" xfId="44" applyNumberFormat="1" applyFont="1" applyFill="1" applyBorder="1" applyAlignment="1" applyProtection="1">
      <alignment horizontal="right" wrapText="1"/>
      <protection locked="0"/>
    </xf>
    <xf numFmtId="49" fontId="51" fillId="0" borderId="109" xfId="44" applyNumberFormat="1" applyFont="1" applyBorder="1" applyAlignment="1">
      <alignment horizontal="left" vertical="top" wrapText="1"/>
    </xf>
    <xf numFmtId="0" fontId="55" fillId="0" borderId="109" xfId="0" applyFont="1" applyBorder="1" applyAlignment="1">
      <alignment horizontal="justify" vertical="top" wrapText="1"/>
    </xf>
    <xf numFmtId="0" fontId="51" fillId="0" borderId="109" xfId="44" applyFont="1" applyBorder="1" applyAlignment="1">
      <alignment horizontal="center" wrapText="1"/>
    </xf>
    <xf numFmtId="4" fontId="51" fillId="0" borderId="109" xfId="44" applyNumberFormat="1" applyFont="1" applyBorder="1" applyAlignment="1">
      <alignment horizontal="right" wrapText="1"/>
    </xf>
    <xf numFmtId="4" fontId="83" fillId="0" borderId="109" xfId="44" applyNumberFormat="1" applyFont="1" applyBorder="1" applyAlignment="1" applyProtection="1">
      <alignment horizontal="right" wrapText="1"/>
      <protection locked="0"/>
    </xf>
    <xf numFmtId="4" fontId="51" fillId="0" borderId="109" xfId="44" applyNumberFormat="1" applyFont="1" applyBorder="1" applyAlignment="1" applyProtection="1">
      <alignment horizontal="right" wrapText="1"/>
      <protection locked="0"/>
    </xf>
    <xf numFmtId="0" fontId="51" fillId="0" borderId="109" xfId="44" applyFont="1" applyBorder="1" applyAlignment="1">
      <alignment horizontal="left" vertical="top" wrapText="1"/>
    </xf>
    <xf numFmtId="0" fontId="51" fillId="0" borderId="109" xfId="44" applyFont="1" applyBorder="1" applyAlignment="1">
      <alignment horizontal="left" vertical="top"/>
    </xf>
    <xf numFmtId="0" fontId="51" fillId="0" borderId="109" xfId="44" applyFont="1" applyBorder="1" applyAlignment="1">
      <alignment horizontal="center"/>
    </xf>
    <xf numFmtId="4" fontId="51" fillId="0" borderId="109" xfId="44" applyNumberFormat="1" applyFont="1" applyBorder="1" applyAlignment="1">
      <alignment horizontal="right"/>
    </xf>
    <xf numFmtId="4" fontId="83" fillId="0" borderId="109" xfId="44" applyNumberFormat="1" applyFont="1" applyBorder="1" applyAlignment="1" applyProtection="1">
      <alignment horizontal="right"/>
      <protection locked="0"/>
    </xf>
    <xf numFmtId="4" fontId="51" fillId="0" borderId="109" xfId="44" applyNumberFormat="1" applyFont="1" applyBorder="1" applyAlignment="1" applyProtection="1">
      <alignment horizontal="right"/>
      <protection locked="0"/>
    </xf>
    <xf numFmtId="16" fontId="51" fillId="0" borderId="109" xfId="44" applyNumberFormat="1" applyFont="1" applyBorder="1" applyAlignment="1">
      <alignment horizontal="left" vertical="top"/>
    </xf>
    <xf numFmtId="3" fontId="51" fillId="0" borderId="109" xfId="44" applyNumberFormat="1" applyFont="1" applyBorder="1" applyAlignment="1">
      <alignment horizontal="right" wrapText="1"/>
    </xf>
    <xf numFmtId="4" fontId="82" fillId="0" borderId="109" xfId="44" applyNumberFormat="1" applyFont="1" applyBorder="1" applyAlignment="1" applyProtection="1">
      <alignment horizontal="right" wrapText="1"/>
      <protection locked="0"/>
    </xf>
    <xf numFmtId="3" fontId="51" fillId="0" borderId="109" xfId="44" applyNumberFormat="1" applyFont="1" applyBorder="1" applyAlignment="1">
      <alignment horizontal="right"/>
    </xf>
    <xf numFmtId="4" fontId="82" fillId="0" borderId="109" xfId="44" applyNumberFormat="1" applyFont="1" applyBorder="1" applyAlignment="1" applyProtection="1">
      <alignment horizontal="right"/>
      <protection locked="0"/>
    </xf>
    <xf numFmtId="49" fontId="86" fillId="0" borderId="0" xfId="33" applyNumberFormat="1" applyFont="1" applyAlignment="1">
      <alignment vertical="center"/>
    </xf>
    <xf numFmtId="0" fontId="86" fillId="0" borderId="0" xfId="33" applyFont="1" applyAlignment="1">
      <alignment horizontal="justify" vertical="center" wrapText="1"/>
    </xf>
    <xf numFmtId="49" fontId="51" fillId="36" borderId="109" xfId="44" applyNumberFormat="1" applyFont="1" applyFill="1" applyBorder="1" applyAlignment="1">
      <alignment horizontal="left" vertical="top" wrapText="1"/>
    </xf>
    <xf numFmtId="0" fontId="51" fillId="36" borderId="109" xfId="44" applyFont="1" applyFill="1" applyBorder="1" applyAlignment="1">
      <alignment horizontal="center" wrapText="1"/>
    </xf>
    <xf numFmtId="4" fontId="51" fillId="36" borderId="109" xfId="44" applyNumberFormat="1" applyFont="1" applyFill="1" applyBorder="1" applyAlignment="1">
      <alignment horizontal="right" wrapText="1"/>
    </xf>
    <xf numFmtId="4" fontId="83" fillId="36" borderId="109" xfId="44" applyNumberFormat="1" applyFont="1" applyFill="1" applyBorder="1" applyAlignment="1" applyProtection="1">
      <alignment horizontal="right" wrapText="1"/>
      <protection locked="0"/>
    </xf>
    <xf numFmtId="4" fontId="51" fillId="36" borderId="109" xfId="44" applyNumberFormat="1" applyFont="1" applyFill="1" applyBorder="1" applyAlignment="1" applyProtection="1">
      <alignment horizontal="right" wrapText="1"/>
      <protection locked="0"/>
    </xf>
    <xf numFmtId="0" fontId="55" fillId="36" borderId="109" xfId="0" applyFont="1" applyFill="1" applyBorder="1" applyAlignment="1">
      <alignment horizontal="justify" vertical="center" wrapText="1"/>
    </xf>
    <xf numFmtId="0" fontId="55" fillId="36" borderId="109" xfId="0" applyFont="1" applyFill="1" applyBorder="1" applyAlignment="1">
      <alignment horizontal="justify" vertical="top" wrapText="1"/>
    </xf>
    <xf numFmtId="0" fontId="51" fillId="36" borderId="109" xfId="44" applyFont="1" applyFill="1" applyBorder="1" applyAlignment="1">
      <alignment horizontal="center"/>
    </xf>
    <xf numFmtId="3" fontId="51" fillId="36" borderId="109" xfId="44" applyNumberFormat="1" applyFont="1" applyFill="1" applyBorder="1" applyAlignment="1">
      <alignment horizontal="right"/>
    </xf>
    <xf numFmtId="4" fontId="51" fillId="36" borderId="109" xfId="44" applyNumberFormat="1" applyFont="1" applyFill="1" applyBorder="1" applyAlignment="1">
      <alignment horizontal="right"/>
    </xf>
    <xf numFmtId="4" fontId="82" fillId="36" borderId="109" xfId="44" applyNumberFormat="1" applyFont="1" applyFill="1" applyBorder="1" applyAlignment="1" applyProtection="1">
      <alignment horizontal="right"/>
      <protection locked="0"/>
    </xf>
    <xf numFmtId="4" fontId="51" fillId="36" borderId="109" xfId="44" applyNumberFormat="1" applyFont="1" applyFill="1" applyBorder="1" applyAlignment="1" applyProtection="1">
      <alignment horizontal="right"/>
      <protection locked="0"/>
    </xf>
    <xf numFmtId="49" fontId="51" fillId="0" borderId="0" xfId="44" applyNumberFormat="1" applyFont="1" applyBorder="1" applyAlignment="1">
      <alignment horizontal="left" vertical="top" wrapText="1"/>
    </xf>
    <xf numFmtId="0" fontId="55" fillId="0" borderId="0" xfId="0" applyFont="1" applyBorder="1" applyAlignment="1">
      <alignment horizontal="justify" vertical="top" wrapText="1"/>
    </xf>
    <xf numFmtId="0" fontId="51" fillId="0" borderId="0" xfId="44" applyFont="1" applyBorder="1" applyAlignment="1">
      <alignment horizontal="center"/>
    </xf>
    <xf numFmtId="4" fontId="51" fillId="0" borderId="0" xfId="44" applyNumberFormat="1" applyFont="1" applyBorder="1" applyAlignment="1">
      <alignment horizontal="right"/>
    </xf>
    <xf numFmtId="4" fontId="82" fillId="0" borderId="0" xfId="44" applyNumberFormat="1" applyFont="1" applyBorder="1" applyAlignment="1" applyProtection="1">
      <alignment horizontal="right"/>
      <protection locked="0"/>
    </xf>
    <xf numFmtId="4" fontId="51" fillId="0" borderId="0" xfId="44" applyNumberFormat="1" applyFont="1" applyBorder="1" applyAlignment="1" applyProtection="1">
      <alignment horizontal="right"/>
      <protection locked="0"/>
    </xf>
    <xf numFmtId="0" fontId="55" fillId="0" borderId="127" xfId="0" applyFont="1" applyBorder="1" applyAlignment="1">
      <alignment horizontal="justify" vertical="top" wrapText="1"/>
    </xf>
    <xf numFmtId="0" fontId="51" fillId="0" borderId="127" xfId="44" applyFont="1" applyBorder="1" applyAlignment="1">
      <alignment horizontal="center"/>
    </xf>
    <xf numFmtId="4" fontId="51" fillId="0" borderId="127" xfId="44" applyNumberFormat="1" applyFont="1" applyBorder="1" applyAlignment="1">
      <alignment horizontal="right"/>
    </xf>
    <xf numFmtId="4" fontId="82" fillId="0" borderId="127" xfId="44" applyNumberFormat="1" applyFont="1" applyBorder="1" applyAlignment="1" applyProtection="1">
      <alignment horizontal="right"/>
      <protection locked="0"/>
    </xf>
    <xf numFmtId="4" fontId="51" fillId="0" borderId="128" xfId="44" applyNumberFormat="1" applyFont="1" applyBorder="1" applyAlignment="1" applyProtection="1">
      <alignment horizontal="right"/>
      <protection locked="0"/>
    </xf>
    <xf numFmtId="49" fontId="51" fillId="0" borderId="129" xfId="44" applyNumberFormat="1" applyFont="1" applyBorder="1" applyAlignment="1">
      <alignment horizontal="left" vertical="top" wrapText="1"/>
    </xf>
    <xf numFmtId="4" fontId="51" fillId="0" borderId="113" xfId="44" applyNumberFormat="1" applyFont="1" applyBorder="1" applyAlignment="1" applyProtection="1">
      <alignment horizontal="right"/>
      <protection locked="0"/>
    </xf>
    <xf numFmtId="49" fontId="51" fillId="0" borderId="130" xfId="44" applyNumberFormat="1" applyFont="1" applyBorder="1" applyAlignment="1">
      <alignment horizontal="left" vertical="top" wrapText="1"/>
    </xf>
    <xf numFmtId="49" fontId="51" fillId="0" borderId="18" xfId="44" applyNumberFormat="1" applyFont="1" applyBorder="1" applyAlignment="1">
      <alignment horizontal="left" vertical="top" wrapText="1"/>
    </xf>
    <xf numFmtId="49" fontId="51" fillId="0" borderId="21" xfId="44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vertical="center"/>
    </xf>
    <xf numFmtId="0" fontId="3" fillId="0" borderId="21" xfId="0" applyFont="1" applyBorder="1" applyAlignment="1">
      <alignment horizontal="left" vertical="distributed" wrapText="1"/>
    </xf>
    <xf numFmtId="0" fontId="3" fillId="0" borderId="131" xfId="35" applyFont="1" applyBorder="1" applyAlignment="1">
      <alignment horizontal="center" vertical="center"/>
    </xf>
    <xf numFmtId="0" fontId="3" fillId="0" borderId="111" xfId="0" applyFont="1" applyBorder="1" applyAlignment="1"/>
    <xf numFmtId="0" fontId="3" fillId="0" borderId="111" xfId="0" applyFont="1" applyFill="1" applyBorder="1" applyAlignment="1">
      <alignment horizontal="center"/>
    </xf>
    <xf numFmtId="0" fontId="3" fillId="0" borderId="132" xfId="35" applyFont="1" applyBorder="1" applyAlignment="1">
      <alignment horizontal="center" vertical="center"/>
    </xf>
    <xf numFmtId="0" fontId="3" fillId="0" borderId="109" xfId="0" applyFont="1" applyBorder="1" applyAlignment="1"/>
    <xf numFmtId="0" fontId="3" fillId="0" borderId="109" xfId="0" applyFont="1" applyFill="1" applyBorder="1" applyAlignment="1">
      <alignment horizontal="center"/>
    </xf>
    <xf numFmtId="0" fontId="3" fillId="29" borderId="109" xfId="35" applyFont="1" applyFill="1" applyBorder="1" applyAlignment="1">
      <alignment vertical="center" wrapText="1"/>
    </xf>
    <xf numFmtId="0" fontId="3" fillId="29" borderId="109" xfId="35" applyFont="1" applyFill="1" applyBorder="1" applyAlignment="1">
      <alignment horizontal="center" vertical="center"/>
    </xf>
    <xf numFmtId="4" fontId="4" fillId="36" borderId="133" xfId="35" applyNumberFormat="1" applyFont="1" applyFill="1" applyBorder="1" applyAlignment="1">
      <alignment vertical="center"/>
    </xf>
    <xf numFmtId="0" fontId="3" fillId="0" borderId="109" xfId="35" applyFont="1" applyBorder="1" applyAlignment="1">
      <alignment vertical="center" wrapText="1"/>
    </xf>
    <xf numFmtId="0" fontId="3" fillId="0" borderId="109" xfId="35" applyFont="1" applyBorder="1" applyAlignment="1">
      <alignment horizontal="center" vertical="center"/>
    </xf>
    <xf numFmtId="0" fontId="3" fillId="36" borderId="109" xfId="0" applyFont="1" applyFill="1" applyBorder="1"/>
    <xf numFmtId="0" fontId="3" fillId="36" borderId="109" xfId="0" applyFont="1" applyFill="1" applyBorder="1" applyAlignment="1">
      <alignment horizontal="center"/>
    </xf>
    <xf numFmtId="0" fontId="3" fillId="29" borderId="132" xfId="35" applyFont="1" applyFill="1" applyBorder="1" applyAlignment="1">
      <alignment horizontal="center" vertical="center"/>
    </xf>
    <xf numFmtId="0" fontId="3" fillId="30" borderId="132" xfId="35" applyFont="1" applyFill="1" applyBorder="1" applyAlignment="1">
      <alignment horizontal="center" vertical="center"/>
    </xf>
    <xf numFmtId="0" fontId="3" fillId="0" borderId="109" xfId="35" applyFont="1" applyBorder="1"/>
    <xf numFmtId="0" fontId="3" fillId="0" borderId="134" xfId="35" applyFont="1" applyBorder="1"/>
    <xf numFmtId="0" fontId="51" fillId="0" borderId="0" xfId="0" applyFont="1" applyBorder="1" applyAlignment="1">
      <alignment horizontal="justify" vertical="top" wrapText="1"/>
    </xf>
    <xf numFmtId="0" fontId="4" fillId="26" borderId="0" xfId="0" applyFont="1" applyFill="1" applyAlignment="1">
      <alignment vertical="top"/>
    </xf>
    <xf numFmtId="4" fontId="40" fillId="0" borderId="0" xfId="0" applyNumberFormat="1" applyFont="1" applyBorder="1" applyAlignment="1" applyProtection="1">
      <alignment horizontal="center" vertical="center" shrinkToFit="1"/>
      <protection hidden="1"/>
    </xf>
    <xf numFmtId="0" fontId="3" fillId="0" borderId="109" xfId="0" applyFont="1" applyBorder="1" applyAlignment="1">
      <alignment horizontal="justify" vertical="top" wrapText="1"/>
    </xf>
    <xf numFmtId="0" fontId="3" fillId="0" borderId="135" xfId="0" applyFont="1" applyBorder="1" applyAlignment="1"/>
    <xf numFmtId="4" fontId="32" fillId="25" borderId="28" xfId="42" applyNumberFormat="1" applyFont="1" applyFill="1" applyBorder="1" applyAlignment="1" applyProtection="1">
      <alignment horizontal="center" vertical="center"/>
      <protection locked="0"/>
    </xf>
    <xf numFmtId="4" fontId="32" fillId="25" borderId="24" xfId="42" applyNumberFormat="1" applyFont="1" applyFill="1" applyBorder="1" applyAlignment="1" applyProtection="1">
      <alignment horizontal="center" vertical="center"/>
      <protection locked="0"/>
    </xf>
    <xf numFmtId="4" fontId="32" fillId="25" borderId="60" xfId="42" applyNumberFormat="1" applyFont="1" applyFill="1" applyBorder="1" applyAlignment="1" applyProtection="1">
      <alignment horizontal="center" vertical="center"/>
      <protection locked="0"/>
    </xf>
    <xf numFmtId="0" fontId="3" fillId="0" borderId="87" xfId="0" applyFont="1" applyBorder="1" applyAlignment="1">
      <alignment horizontal="left" vertical="center"/>
    </xf>
    <xf numFmtId="10" fontId="3" fillId="0" borderId="85" xfId="0" applyNumberFormat="1" applyFont="1" applyBorder="1" applyAlignment="1">
      <alignment horizontal="center" vertical="center"/>
    </xf>
    <xf numFmtId="165" fontId="3" fillId="25" borderId="85" xfId="0" applyNumberFormat="1" applyFont="1" applyFill="1" applyBorder="1" applyAlignment="1">
      <alignment horizontal="center" vertical="center"/>
    </xf>
    <xf numFmtId="4" fontId="3" fillId="0" borderId="85" xfId="0" applyNumberFormat="1" applyFont="1" applyBorder="1" applyAlignment="1">
      <alignment horizontal="right" vertical="center" indent="1"/>
    </xf>
    <xf numFmtId="166" fontId="3" fillId="0" borderId="86" xfId="0" applyNumberFormat="1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5" xfId="0" applyFont="1" applyBorder="1" applyAlignment="1">
      <alignment horizontal="center" vertical="center"/>
    </xf>
    <xf numFmtId="0" fontId="33" fillId="0" borderId="50" xfId="42" applyFont="1" applyBorder="1" applyAlignment="1">
      <alignment vertical="center"/>
    </xf>
    <xf numFmtId="0" fontId="33" fillId="0" borderId="18" xfId="42" applyFont="1" applyBorder="1" applyAlignment="1">
      <alignment vertical="center"/>
    </xf>
    <xf numFmtId="0" fontId="33" fillId="0" borderId="54" xfId="42" applyFont="1" applyBorder="1" applyAlignment="1">
      <alignment vertical="center"/>
    </xf>
    <xf numFmtId="0" fontId="33" fillId="0" borderId="29" xfId="42" applyFont="1" applyBorder="1" applyAlignment="1">
      <alignment vertical="center"/>
    </xf>
    <xf numFmtId="0" fontId="33" fillId="0" borderId="31" xfId="42" applyFont="1" applyBorder="1" applyAlignment="1">
      <alignment vertical="center"/>
    </xf>
    <xf numFmtId="0" fontId="3" fillId="0" borderId="113" xfId="0" applyFont="1" applyBorder="1" applyAlignment="1">
      <alignment horizontal="justify" vertical="top" wrapText="1"/>
    </xf>
    <xf numFmtId="0" fontId="89" fillId="0" borderId="0" xfId="0" applyFont="1"/>
    <xf numFmtId="4" fontId="3" fillId="36" borderId="109" xfId="0" applyNumberFormat="1" applyFont="1" applyFill="1" applyBorder="1" applyAlignment="1">
      <alignment horizontal="justify" vertical="center" wrapText="1"/>
    </xf>
    <xf numFmtId="0" fontId="3" fillId="0" borderId="109" xfId="44" applyFont="1" applyBorder="1" applyAlignment="1">
      <alignment horizontal="center" wrapText="1"/>
    </xf>
    <xf numFmtId="4" fontId="3" fillId="0" borderId="109" xfId="44" applyNumberFormat="1" applyFont="1" applyBorder="1" applyAlignment="1">
      <alignment horizontal="right" wrapText="1"/>
    </xf>
    <xf numFmtId="4" fontId="90" fillId="0" borderId="109" xfId="44" applyNumberFormat="1" applyFont="1" applyBorder="1" applyAlignment="1" applyProtection="1">
      <alignment horizontal="right" wrapText="1"/>
      <protection locked="0"/>
    </xf>
    <xf numFmtId="4" fontId="3" fillId="0" borderId="109" xfId="44" applyNumberFormat="1" applyFont="1" applyBorder="1" applyAlignment="1" applyProtection="1">
      <alignment horizontal="right" wrapText="1"/>
      <protection locked="0"/>
    </xf>
    <xf numFmtId="0" fontId="3" fillId="36" borderId="109" xfId="0" applyFont="1" applyFill="1" applyBorder="1" applyAlignment="1">
      <alignment horizontal="justify" vertical="center" wrapText="1"/>
    </xf>
    <xf numFmtId="0" fontId="3" fillId="36" borderId="109" xfId="44" applyFont="1" applyFill="1" applyBorder="1" applyAlignment="1">
      <alignment horizontal="center" wrapText="1"/>
    </xf>
    <xf numFmtId="4" fontId="3" fillId="36" borderId="109" xfId="44" applyNumberFormat="1" applyFont="1" applyFill="1" applyBorder="1" applyAlignment="1">
      <alignment horizontal="right" wrapText="1"/>
    </xf>
    <xf numFmtId="4" fontId="90" fillId="36" borderId="109" xfId="44" applyNumberFormat="1" applyFont="1" applyFill="1" applyBorder="1" applyAlignment="1" applyProtection="1">
      <alignment horizontal="right" wrapText="1"/>
      <protection locked="0"/>
    </xf>
    <xf numFmtId="4" fontId="3" fillId="36" borderId="109" xfId="44" applyNumberFormat="1" applyFont="1" applyFill="1" applyBorder="1" applyAlignment="1" applyProtection="1">
      <alignment horizontal="right" wrapText="1"/>
      <protection locked="0"/>
    </xf>
    <xf numFmtId="49" fontId="3" fillId="0" borderId="109" xfId="44" applyNumberFormat="1" applyFont="1" applyBorder="1" applyAlignment="1">
      <alignment horizontal="left" vertical="top" wrapText="1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129" xfId="0" applyFont="1" applyBorder="1" applyAlignment="1"/>
    <xf numFmtId="4" fontId="81" fillId="0" borderId="109" xfId="44" applyNumberFormat="1" applyFont="1" applyBorder="1" applyAlignment="1" applyProtection="1">
      <alignment horizontal="right" wrapText="1"/>
      <protection locked="0"/>
    </xf>
    <xf numFmtId="49" fontId="3" fillId="36" borderId="109" xfId="44" applyNumberFormat="1" applyFont="1" applyFill="1" applyBorder="1" applyAlignment="1">
      <alignment horizontal="left" vertical="top" wrapText="1"/>
    </xf>
    <xf numFmtId="4" fontId="81" fillId="36" borderId="109" xfId="44" applyNumberFormat="1" applyFont="1" applyFill="1" applyBorder="1" applyAlignment="1" applyProtection="1">
      <alignment horizontal="right" wrapText="1"/>
      <protection locked="0"/>
    </xf>
    <xf numFmtId="0" fontId="3" fillId="0" borderId="109" xfId="35" applyFont="1" applyBorder="1" applyAlignment="1">
      <alignment horizontal="center"/>
    </xf>
    <xf numFmtId="4" fontId="3" fillId="0" borderId="15" xfId="0" applyNumberFormat="1" applyFont="1" applyBorder="1" applyAlignment="1">
      <alignment horizontal="right" vertical="center" indent="1"/>
    </xf>
    <xf numFmtId="0" fontId="37" fillId="0" borderId="0" xfId="35" applyFont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6" fillId="0" borderId="0" xfId="55" applyFont="1" applyAlignment="1">
      <alignment vertical="top"/>
    </xf>
    <xf numFmtId="0" fontId="36" fillId="0" borderId="0" xfId="55" applyFont="1" applyAlignment="1">
      <alignment wrapText="1"/>
    </xf>
    <xf numFmtId="0" fontId="36" fillId="0" borderId="0" xfId="55" applyFont="1"/>
    <xf numFmtId="0" fontId="38" fillId="0" borderId="0" xfId="55" applyFont="1"/>
    <xf numFmtId="0" fontId="55" fillId="0" borderId="0" xfId="44" applyFont="1" applyAlignment="1">
      <alignment horizontal="center" vertical="center" wrapText="1"/>
    </xf>
    <xf numFmtId="0" fontId="91" fillId="0" borderId="0" xfId="0" applyFont="1"/>
    <xf numFmtId="0" fontId="92" fillId="0" borderId="0" xfId="0" applyFont="1"/>
    <xf numFmtId="0" fontId="93" fillId="0" borderId="0" xfId="0" applyFont="1"/>
    <xf numFmtId="0" fontId="87" fillId="0" borderId="0" xfId="0" applyFont="1" applyAlignment="1">
      <alignment horizontal="center"/>
    </xf>
    <xf numFmtId="0" fontId="0" fillId="0" borderId="0" xfId="0" applyAlignment="1"/>
    <xf numFmtId="0" fontId="4" fillId="0" borderId="11" xfId="0" applyFont="1" applyBorder="1" applyAlignment="1">
      <alignment vertical="center"/>
    </xf>
    <xf numFmtId="0" fontId="3" fillId="0" borderId="21" xfId="0" applyFont="1" applyBorder="1" applyAlignment="1">
      <alignment horizontal="left" vertical="distributed" wrapText="1"/>
    </xf>
    <xf numFmtId="0" fontId="3" fillId="0" borderId="8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3" fillId="0" borderId="17" xfId="0" applyFont="1" applyBorder="1" applyAlignment="1">
      <alignment horizontal="left" vertical="distributed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167" fontId="3" fillId="25" borderId="85" xfId="0" applyNumberFormat="1" applyFont="1" applyFill="1" applyBorder="1" applyAlignment="1">
      <alignment horizontal="center" vertical="center"/>
    </xf>
    <xf numFmtId="166" fontId="3" fillId="0" borderId="85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7" fontId="3" fillId="25" borderId="137" xfId="0" applyNumberFormat="1" applyFont="1" applyFill="1" applyBorder="1" applyAlignment="1">
      <alignment horizontal="center" vertical="center"/>
    </xf>
    <xf numFmtId="4" fontId="3" fillId="0" borderId="137" xfId="0" applyNumberFormat="1" applyFont="1" applyBorder="1" applyAlignment="1">
      <alignment horizontal="right" vertical="center" indent="1"/>
    </xf>
    <xf numFmtId="166" fontId="3" fillId="0" borderId="138" xfId="0" applyNumberFormat="1" applyFont="1" applyBorder="1" applyAlignment="1">
      <alignment vertical="center"/>
    </xf>
    <xf numFmtId="0" fontId="3" fillId="0" borderId="109" xfId="0" applyFont="1" applyBorder="1" applyAlignment="1">
      <alignment horizontal="center" vertical="center"/>
    </xf>
    <xf numFmtId="167" fontId="3" fillId="25" borderId="109" xfId="0" applyNumberFormat="1" applyFont="1" applyFill="1" applyBorder="1" applyAlignment="1">
      <alignment horizontal="center" vertical="center"/>
    </xf>
    <xf numFmtId="4" fontId="3" fillId="0" borderId="109" xfId="0" applyNumberFormat="1" applyFont="1" applyBorder="1" applyAlignment="1">
      <alignment horizontal="right" vertical="center" indent="1"/>
    </xf>
    <xf numFmtId="166" fontId="3" fillId="0" borderId="113" xfId="0" applyNumberFormat="1" applyFont="1" applyBorder="1" applyAlignment="1">
      <alignment vertical="center"/>
    </xf>
    <xf numFmtId="0" fontId="3" fillId="0" borderId="140" xfId="0" applyFont="1" applyBorder="1" applyAlignment="1">
      <alignment horizontal="center" vertical="center"/>
    </xf>
    <xf numFmtId="167" fontId="3" fillId="25" borderId="140" xfId="0" applyNumberFormat="1" applyFont="1" applyFill="1" applyBorder="1" applyAlignment="1">
      <alignment horizontal="center" vertical="center"/>
    </xf>
    <xf numFmtId="4" fontId="3" fillId="0" borderId="140" xfId="0" applyNumberFormat="1" applyFont="1" applyBorder="1" applyAlignment="1">
      <alignment horizontal="right" vertical="center" indent="1"/>
    </xf>
    <xf numFmtId="166" fontId="3" fillId="0" borderId="141" xfId="0" applyNumberFormat="1" applyFont="1" applyBorder="1" applyAlignment="1">
      <alignment vertical="center"/>
    </xf>
    <xf numFmtId="0" fontId="3" fillId="0" borderId="129" xfId="0" applyFont="1" applyBorder="1" applyAlignment="1">
      <alignment vertical="center"/>
    </xf>
    <xf numFmtId="0" fontId="3" fillId="0" borderId="142" xfId="0" applyFont="1" applyBorder="1" applyAlignment="1">
      <alignment vertical="center"/>
    </xf>
    <xf numFmtId="0" fontId="3" fillId="0" borderId="143" xfId="0" applyFont="1" applyBorder="1" applyAlignment="1">
      <alignment horizontal="center" vertical="center"/>
    </xf>
    <xf numFmtId="167" fontId="3" fillId="25" borderId="143" xfId="0" applyNumberFormat="1" applyFont="1" applyFill="1" applyBorder="1" applyAlignment="1">
      <alignment horizontal="center" vertical="center"/>
    </xf>
    <xf numFmtId="166" fontId="3" fillId="0" borderId="144" xfId="0" applyNumberFormat="1" applyFont="1" applyBorder="1" applyAlignment="1">
      <alignment vertical="center"/>
    </xf>
    <xf numFmtId="4" fontId="3" fillId="0" borderId="143" xfId="0" applyNumberFormat="1" applyFont="1" applyBorder="1" applyAlignment="1">
      <alignment horizontal="right" vertical="center" indent="1"/>
    </xf>
    <xf numFmtId="0" fontId="3" fillId="0" borderId="136" xfId="0" applyFont="1" applyBorder="1" applyAlignment="1">
      <alignment vertical="center"/>
    </xf>
    <xf numFmtId="0" fontId="3" fillId="0" borderId="137" xfId="0" applyFont="1" applyBorder="1" applyAlignment="1">
      <alignment horizontal="center" vertical="center"/>
    </xf>
    <xf numFmtId="165" fontId="3" fillId="25" borderId="137" xfId="0" applyNumberFormat="1" applyFont="1" applyFill="1" applyBorder="1" applyAlignment="1">
      <alignment horizontal="center" vertical="center"/>
    </xf>
    <xf numFmtId="165" fontId="3" fillId="25" borderId="109" xfId="0" applyNumberFormat="1" applyFont="1" applyFill="1" applyBorder="1" applyAlignment="1">
      <alignment horizontal="center" vertical="center"/>
    </xf>
    <xf numFmtId="0" fontId="3" fillId="0" borderId="139" xfId="0" applyFont="1" applyBorder="1" applyAlignment="1">
      <alignment horizontal="left" vertical="center"/>
    </xf>
    <xf numFmtId="10" fontId="3" fillId="0" borderId="140" xfId="0" applyNumberFormat="1" applyFont="1" applyBorder="1" applyAlignment="1">
      <alignment horizontal="center" vertical="center"/>
    </xf>
    <xf numFmtId="165" fontId="3" fillId="25" borderId="140" xfId="0" applyNumberFormat="1" applyFont="1" applyFill="1" applyBorder="1" applyAlignment="1">
      <alignment horizontal="center" vertical="center"/>
    </xf>
    <xf numFmtId="0" fontId="3" fillId="0" borderId="134" xfId="35" applyFont="1" applyBorder="1" applyAlignment="1">
      <alignment horizontal="center"/>
    </xf>
    <xf numFmtId="0" fontId="3" fillId="0" borderId="127" xfId="35" applyFont="1" applyBorder="1" applyAlignment="1">
      <alignment horizontal="center"/>
    </xf>
    <xf numFmtId="171" fontId="3" fillId="0" borderId="109" xfId="44" applyNumberFormat="1" applyFont="1" applyBorder="1" applyAlignment="1" applyProtection="1">
      <alignment horizontal="right" wrapText="1"/>
      <protection locked="0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35" applyFont="1" applyBorder="1"/>
    <xf numFmtId="0" fontId="32" fillId="27" borderId="64" xfId="35" applyFont="1" applyFill="1" applyBorder="1" applyAlignment="1">
      <alignment vertical="center" wrapText="1"/>
    </xf>
    <xf numFmtId="0" fontId="32" fillId="27" borderId="120" xfId="35" applyFont="1" applyFill="1" applyBorder="1" applyAlignment="1">
      <alignment vertical="center" wrapText="1"/>
    </xf>
    <xf numFmtId="4" fontId="87" fillId="36" borderId="145" xfId="0" applyNumberFormat="1" applyFont="1" applyFill="1" applyBorder="1" applyAlignment="1">
      <alignment horizontal="right"/>
    </xf>
    <xf numFmtId="4" fontId="87" fillId="36" borderId="133" xfId="0" applyNumberFormat="1" applyFont="1" applyFill="1" applyBorder="1" applyAlignment="1">
      <alignment horizontal="right"/>
    </xf>
    <xf numFmtId="171" fontId="4" fillId="36" borderId="133" xfId="0" applyNumberFormat="1" applyFont="1" applyFill="1" applyBorder="1" applyAlignment="1">
      <alignment horizontal="right"/>
    </xf>
    <xf numFmtId="4" fontId="89" fillId="0" borderId="133" xfId="0" applyNumberFormat="1" applyFont="1" applyBorder="1" applyAlignment="1">
      <alignment horizontal="right"/>
    </xf>
    <xf numFmtId="4" fontId="0" fillId="0" borderId="133" xfId="0" applyNumberFormat="1" applyBorder="1" applyAlignment="1">
      <alignment horizontal="right"/>
    </xf>
    <xf numFmtId="0" fontId="3" fillId="0" borderId="132" xfId="35" applyFont="1" applyBorder="1" applyAlignment="1">
      <alignment horizontal="center"/>
    </xf>
    <xf numFmtId="4" fontId="87" fillId="0" borderId="133" xfId="0" applyNumberFormat="1" applyFont="1" applyBorder="1" applyAlignment="1">
      <alignment horizontal="right"/>
    </xf>
    <xf numFmtId="4" fontId="4" fillId="0" borderId="133" xfId="0" applyNumberFormat="1" applyFont="1" applyBorder="1" applyAlignment="1">
      <alignment horizontal="right"/>
    </xf>
    <xf numFmtId="4" fontId="4" fillId="0" borderId="133" xfId="35" applyNumberFormat="1" applyFont="1" applyBorder="1"/>
    <xf numFmtId="4" fontId="4" fillId="0" borderId="133" xfId="35" applyNumberFormat="1" applyFont="1" applyBorder="1" applyAlignment="1">
      <alignment horizontal="right"/>
    </xf>
    <xf numFmtId="0" fontId="3" fillId="0" borderId="146" xfId="35" applyFont="1" applyBorder="1" applyAlignment="1">
      <alignment horizontal="center"/>
    </xf>
    <xf numFmtId="4" fontId="4" fillId="0" borderId="147" xfId="35" applyNumberFormat="1" applyFont="1" applyBorder="1" applyAlignment="1">
      <alignment horizontal="right"/>
    </xf>
    <xf numFmtId="0" fontId="3" fillId="0" borderId="148" xfId="35" applyFont="1" applyBorder="1" applyAlignment="1">
      <alignment horizontal="center"/>
    </xf>
    <xf numFmtId="4" fontId="4" fillId="0" borderId="149" xfId="35" applyNumberFormat="1" applyFont="1" applyBorder="1" applyAlignment="1">
      <alignment horizontal="right"/>
    </xf>
    <xf numFmtId="0" fontId="3" fillId="0" borderId="107" xfId="35" applyFont="1" applyBorder="1" applyAlignment="1">
      <alignment horizontal="center"/>
    </xf>
    <xf numFmtId="4" fontId="3" fillId="0" borderId="106" xfId="35" applyNumberFormat="1" applyFont="1" applyBorder="1"/>
    <xf numFmtId="4" fontId="3" fillId="0" borderId="133" xfId="35" applyNumberFormat="1" applyFont="1" applyBorder="1"/>
    <xf numFmtId="0" fontId="3" fillId="0" borderId="150" xfId="35" applyFont="1" applyBorder="1" applyAlignment="1">
      <alignment horizontal="center"/>
    </xf>
    <xf numFmtId="4" fontId="3" fillId="0" borderId="102" xfId="35" applyNumberFormat="1" applyFont="1" applyBorder="1"/>
    <xf numFmtId="4" fontId="3" fillId="0" borderId="109" xfId="0" applyNumberFormat="1" applyFont="1" applyBorder="1" applyAlignment="1">
      <alignment horizontal="justify" vertical="top" wrapText="1"/>
    </xf>
    <xf numFmtId="0" fontId="4" fillId="0" borderId="109" xfId="35" applyFont="1" applyBorder="1" applyAlignment="1">
      <alignment horizontal="right"/>
    </xf>
    <xf numFmtId="171" fontId="4" fillId="0" borderId="109" xfId="35" applyNumberFormat="1" applyFont="1" applyBorder="1" applyAlignment="1">
      <alignment horizontal="right"/>
    </xf>
    <xf numFmtId="171" fontId="4" fillId="0" borderId="133" xfId="35" applyNumberFormat="1" applyFont="1" applyBorder="1" applyAlignment="1">
      <alignment horizontal="right"/>
    </xf>
    <xf numFmtId="171" fontId="4" fillId="0" borderId="133" xfId="35" applyNumberFormat="1" applyFont="1" applyBorder="1"/>
    <xf numFmtId="4" fontId="3" fillId="0" borderId="151" xfId="0" applyNumberFormat="1" applyFont="1" applyBorder="1" applyAlignment="1">
      <alignment horizontal="right" vertical="center" indent="1"/>
    </xf>
    <xf numFmtId="171" fontId="3" fillId="0" borderId="0" xfId="0" applyNumberFormat="1" applyFont="1" applyAlignment="1">
      <alignment horizontal="center"/>
    </xf>
    <xf numFmtId="0" fontId="4" fillId="0" borderId="11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1" fillId="0" borderId="0" xfId="0" applyFont="1" applyAlignment="1"/>
    <xf numFmtId="0" fontId="0" fillId="0" borderId="0" xfId="0" applyAlignment="1"/>
    <xf numFmtId="172" fontId="92" fillId="0" borderId="90" xfId="0" applyNumberFormat="1" applyFont="1" applyBorder="1" applyAlignment="1">
      <alignment horizontal="right"/>
    </xf>
    <xf numFmtId="172" fontId="0" fillId="0" borderId="90" xfId="0" applyNumberFormat="1" applyFont="1" applyBorder="1" applyAlignment="1">
      <alignment horizontal="right"/>
    </xf>
    <xf numFmtId="0" fontId="91" fillId="0" borderId="11" xfId="0" applyFont="1" applyBorder="1" applyAlignment="1"/>
    <xf numFmtId="0" fontId="0" fillId="0" borderId="11" xfId="0" applyBorder="1" applyAlignment="1"/>
    <xf numFmtId="0" fontId="92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92" fillId="0" borderId="62" xfId="0" applyNumberFormat="1" applyFont="1" applyBorder="1" applyAlignment="1"/>
    <xf numFmtId="172" fontId="0" fillId="0" borderId="62" xfId="0" applyNumberFormat="1" applyFont="1" applyBorder="1" applyAlignment="1"/>
    <xf numFmtId="172" fontId="89" fillId="0" borderId="90" xfId="0" applyNumberFormat="1" applyFont="1" applyBorder="1" applyAlignment="1"/>
    <xf numFmtId="172" fontId="89" fillId="0" borderId="62" xfId="0" applyNumberFormat="1" applyFont="1" applyBorder="1" applyAlignment="1"/>
    <xf numFmtId="0" fontId="0" fillId="0" borderId="12" xfId="0" applyBorder="1" applyAlignment="1"/>
    <xf numFmtId="0" fontId="89" fillId="0" borderId="0" xfId="0" applyFont="1" applyAlignment="1">
      <alignment horizontal="center"/>
    </xf>
    <xf numFmtId="0" fontId="89" fillId="0" borderId="0" xfId="0" applyFont="1" applyAlignment="1"/>
    <xf numFmtId="0" fontId="89" fillId="0" borderId="0" xfId="0" applyFont="1" applyAlignment="1">
      <alignment horizontal="right"/>
    </xf>
    <xf numFmtId="4" fontId="4" fillId="27" borderId="116" xfId="35" applyNumberFormat="1" applyFont="1" applyFill="1" applyBorder="1" applyAlignment="1">
      <alignment horizontal="center" vertical="center" wrapText="1"/>
    </xf>
    <xf numFmtId="4" fontId="4" fillId="27" borderId="69" xfId="35" applyNumberFormat="1" applyFont="1" applyFill="1" applyBorder="1" applyAlignment="1">
      <alignment horizontal="center" vertical="center" wrapText="1"/>
    </xf>
    <xf numFmtId="4" fontId="4" fillId="27" borderId="117" xfId="35" applyNumberFormat="1" applyFont="1" applyFill="1" applyBorder="1" applyAlignment="1">
      <alignment horizontal="center" vertical="center" wrapText="1"/>
    </xf>
    <xf numFmtId="4" fontId="82" fillId="0" borderId="0" xfId="44" applyNumberFormat="1" applyFont="1" applyAlignment="1">
      <alignment horizontal="left" vertical="center"/>
    </xf>
    <xf numFmtId="0" fontId="82" fillId="0" borderId="0" xfId="44" applyFont="1" applyAlignment="1">
      <alignment horizontal="left" vertical="center"/>
    </xf>
    <xf numFmtId="0" fontId="55" fillId="0" borderId="0" xfId="44" applyFont="1" applyAlignment="1">
      <alignment horizontal="center" vertical="center" wrapText="1"/>
    </xf>
    <xf numFmtId="4" fontId="55" fillId="27" borderId="116" xfId="35" applyNumberFormat="1" applyFont="1" applyFill="1" applyBorder="1" applyAlignment="1">
      <alignment horizontal="center" vertical="center" wrapText="1"/>
    </xf>
    <xf numFmtId="4" fontId="55" fillId="27" borderId="69" xfId="35" applyNumberFormat="1" applyFont="1" applyFill="1" applyBorder="1" applyAlignment="1">
      <alignment horizontal="center" vertical="center" wrapText="1"/>
    </xf>
    <xf numFmtId="4" fontId="55" fillId="27" borderId="117" xfId="35" applyNumberFormat="1" applyFont="1" applyFill="1" applyBorder="1" applyAlignment="1">
      <alignment horizontal="center" vertical="center" wrapText="1"/>
    </xf>
    <xf numFmtId="49" fontId="84" fillId="0" borderId="0" xfId="44" applyNumberFormat="1" applyFont="1" applyAlignment="1">
      <alignment horizontal="left" vertical="top"/>
    </xf>
    <xf numFmtId="0" fontId="84" fillId="0" borderId="0" xfId="0" applyFont="1" applyAlignment="1">
      <alignment horizontal="justify" vertical="center" wrapText="1"/>
    </xf>
    <xf numFmtId="49" fontId="55" fillId="0" borderId="0" xfId="44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3" fillId="0" borderId="109" xfId="0" applyFont="1" applyBorder="1" applyAlignment="1">
      <alignment horizontal="left" vertical="distributed" wrapText="1"/>
    </xf>
    <xf numFmtId="0" fontId="3" fillId="0" borderId="17" xfId="0" applyFont="1" applyBorder="1" applyAlignment="1">
      <alignment horizontal="left" vertical="distributed" wrapText="1"/>
    </xf>
    <xf numFmtId="0" fontId="3" fillId="0" borderId="18" xfId="0" applyFont="1" applyBorder="1" applyAlignment="1">
      <alignment horizontal="left" vertical="distributed" wrapText="1"/>
    </xf>
    <xf numFmtId="0" fontId="3" fillId="0" borderId="142" xfId="0" applyFont="1" applyBorder="1" applyAlignment="1">
      <alignment horizontal="left" vertical="distributed" wrapText="1"/>
    </xf>
    <xf numFmtId="0" fontId="3" fillId="0" borderId="143" xfId="0" applyFont="1" applyBorder="1" applyAlignment="1">
      <alignment horizontal="left" vertical="distributed" wrapText="1"/>
    </xf>
    <xf numFmtId="0" fontId="3" fillId="0" borderId="20" xfId="0" applyFont="1" applyBorder="1" applyAlignment="1">
      <alignment horizontal="left" vertical="distributed" wrapText="1"/>
    </xf>
    <xf numFmtId="165" fontId="4" fillId="0" borderId="15" xfId="0" applyNumberFormat="1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center"/>
    </xf>
    <xf numFmtId="0" fontId="3" fillId="0" borderId="136" xfId="0" applyFont="1" applyBorder="1" applyAlignment="1">
      <alignment horizontal="left" vertical="distributed" wrapText="1"/>
    </xf>
    <xf numFmtId="0" fontId="3" fillId="0" borderId="137" xfId="0" applyFont="1" applyBorder="1" applyAlignment="1">
      <alignment horizontal="left" vertical="distributed" wrapText="1"/>
    </xf>
    <xf numFmtId="0" fontId="3" fillId="0" borderId="129" xfId="0" applyFont="1" applyBorder="1" applyAlignment="1">
      <alignment horizontal="left" vertical="distributed" wrapText="1"/>
    </xf>
    <xf numFmtId="0" fontId="4" fillId="0" borderId="11" xfId="0" applyFont="1" applyBorder="1" applyAlignment="1">
      <alignment vertical="center"/>
    </xf>
    <xf numFmtId="0" fontId="3" fillId="0" borderId="139" xfId="0" applyFont="1" applyBorder="1" applyAlignment="1">
      <alignment horizontal="left" vertical="distributed" wrapText="1"/>
    </xf>
    <xf numFmtId="0" fontId="3" fillId="0" borderId="140" xfId="0" applyFont="1" applyBorder="1" applyAlignment="1">
      <alignment horizontal="left" vertical="distributed" wrapText="1"/>
    </xf>
    <xf numFmtId="0" fontId="3" fillId="0" borderId="19" xfId="0" applyFont="1" applyBorder="1" applyAlignment="1">
      <alignment horizontal="left" vertical="distributed" wrapText="1"/>
    </xf>
    <xf numFmtId="0" fontId="3" fillId="0" borderId="137" xfId="0" applyFont="1" applyBorder="1" applyAlignment="1">
      <alignment vertical="center"/>
    </xf>
    <xf numFmtId="0" fontId="3" fillId="0" borderId="109" xfId="0" applyFont="1" applyBorder="1" applyAlignment="1">
      <alignment vertical="center"/>
    </xf>
    <xf numFmtId="0" fontId="3" fillId="0" borderId="140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68" fillId="0" borderId="0" xfId="0" applyFont="1" applyAlignment="1">
      <alignment horizontal="justify" vertical="top" wrapText="1"/>
    </xf>
    <xf numFmtId="0" fontId="4" fillId="0" borderId="10" xfId="0" applyFont="1" applyBorder="1" applyAlignment="1">
      <alignment horizontal="center" vertical="center" wrapText="1"/>
    </xf>
    <xf numFmtId="0" fontId="4" fillId="24" borderId="0" xfId="0" applyFont="1" applyFill="1" applyAlignment="1">
      <alignment vertical="top"/>
    </xf>
    <xf numFmtId="0" fontId="4" fillId="0" borderId="0" xfId="0" applyFont="1" applyAlignment="1">
      <alignment horizontal="justify" vertical="top" wrapText="1"/>
    </xf>
    <xf numFmtId="0" fontId="4" fillId="28" borderId="0" xfId="0" applyFont="1" applyFill="1" applyAlignment="1">
      <alignment vertical="top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" fontId="3" fillId="0" borderId="2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" fontId="3" fillId="0" borderId="21" xfId="0" applyNumberFormat="1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1" fillId="36" borderId="0" xfId="0" applyFont="1" applyFill="1" applyAlignment="1">
      <alignment horizontal="justify" vertical="top" wrapText="1"/>
    </xf>
    <xf numFmtId="0" fontId="3" fillId="0" borderId="20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distributed" wrapText="1"/>
    </xf>
    <xf numFmtId="0" fontId="3" fillId="0" borderId="85" xfId="0" applyFont="1" applyBorder="1" applyAlignment="1">
      <alignment vertical="center"/>
    </xf>
    <xf numFmtId="0" fontId="3" fillId="0" borderId="85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left" vertical="distributed" wrapText="1"/>
    </xf>
    <xf numFmtId="0" fontId="3" fillId="0" borderId="113" xfId="0" applyFont="1" applyBorder="1" applyAlignment="1">
      <alignment horizontal="left" vertical="distributed" wrapText="1"/>
    </xf>
    <xf numFmtId="0" fontId="69" fillId="0" borderId="10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left" vertical="center" wrapText="1"/>
    </xf>
    <xf numFmtId="49" fontId="41" fillId="0" borderId="0" xfId="33" applyNumberFormat="1" applyFont="1" applyAlignment="1">
      <alignment horizontal="left" vertical="center"/>
    </xf>
    <xf numFmtId="0" fontId="41" fillId="0" borderId="0" xfId="33" applyFont="1" applyAlignment="1">
      <alignment horizontal="left" vertical="center"/>
    </xf>
    <xf numFmtId="0" fontId="55" fillId="0" borderId="0" xfId="33" applyFont="1" applyAlignment="1">
      <alignment horizontal="left" vertical="center" wrapText="1"/>
    </xf>
    <xf numFmtId="0" fontId="4" fillId="0" borderId="90" xfId="35" applyFont="1" applyBorder="1" applyAlignment="1">
      <alignment horizontal="center" vertical="center" wrapText="1"/>
    </xf>
    <xf numFmtId="0" fontId="4" fillId="0" borderId="0" xfId="33" applyFont="1" applyAlignment="1">
      <alignment horizontal="right" vertical="center" wrapText="1"/>
    </xf>
    <xf numFmtId="2" fontId="3" fillId="27" borderId="0" xfId="0" applyNumberFormat="1" applyFont="1" applyFill="1" applyAlignment="1">
      <alignment horizontal="center"/>
    </xf>
    <xf numFmtId="0" fontId="4" fillId="27" borderId="11" xfId="0" applyFont="1" applyFill="1" applyBorder="1" applyAlignment="1">
      <alignment vertical="center"/>
    </xf>
    <xf numFmtId="165" fontId="5" fillId="27" borderId="15" xfId="0" applyNumberFormat="1" applyFont="1" applyFill="1" applyBorder="1" applyAlignment="1">
      <alignment horizontal="left" vertical="center"/>
    </xf>
    <xf numFmtId="165" fontId="6" fillId="27" borderId="10" xfId="0" applyNumberFormat="1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6" borderId="0" xfId="0" applyFont="1" applyFill="1" applyAlignment="1">
      <alignment vertical="top"/>
    </xf>
    <xf numFmtId="0" fontId="4" fillId="26" borderId="0" xfId="0" applyFont="1" applyFill="1" applyAlignment="1">
      <alignment vertical="top"/>
    </xf>
    <xf numFmtId="0" fontId="4" fillId="26" borderId="0" xfId="0" applyFont="1" applyFill="1" applyAlignment="1">
      <alignment horizontal="justify" vertical="center" wrapText="1"/>
    </xf>
    <xf numFmtId="0" fontId="3" fillId="27" borderId="10" xfId="0" applyFont="1" applyFill="1" applyBorder="1" applyAlignment="1">
      <alignment horizontal="center" vertical="center"/>
    </xf>
    <xf numFmtId="0" fontId="4" fillId="0" borderId="0" xfId="42" applyFont="1" applyAlignment="1">
      <alignment horizontal="center" vertical="center"/>
    </xf>
    <xf numFmtId="0" fontId="42" fillId="0" borderId="0" xfId="35" applyFont="1" applyAlignment="1">
      <alignment horizontal="center" vertical="center" wrapText="1"/>
    </xf>
    <xf numFmtId="4" fontId="4" fillId="0" borderId="0" xfId="43" applyNumberFormat="1" applyFont="1" applyAlignment="1">
      <alignment horizontal="center" vertical="center"/>
    </xf>
    <xf numFmtId="4" fontId="32" fillId="27" borderId="85" xfId="43" applyNumberFormat="1" applyFont="1" applyFill="1" applyBorder="1" applyAlignment="1">
      <alignment horizontal="center" vertical="center"/>
    </xf>
    <xf numFmtId="4" fontId="32" fillId="27" borderId="85" xfId="43" applyNumberFormat="1" applyFont="1" applyFill="1" applyBorder="1" applyAlignment="1">
      <alignment horizontal="center" vertical="center" wrapText="1"/>
    </xf>
    <xf numFmtId="0" fontId="48" fillId="0" borderId="0" xfId="35" applyFont="1" applyAlignment="1">
      <alignment horizontal="center"/>
    </xf>
    <xf numFmtId="0" fontId="37" fillId="27" borderId="37" xfId="35" applyFont="1" applyFill="1" applyBorder="1" applyAlignment="1">
      <alignment horizontal="center" vertical="center" wrapText="1"/>
    </xf>
    <xf numFmtId="0" fontId="37" fillId="27" borderId="44" xfId="35" applyFont="1" applyFill="1" applyBorder="1" applyAlignment="1">
      <alignment horizontal="center" vertical="center" wrapText="1"/>
    </xf>
    <xf numFmtId="4" fontId="48" fillId="27" borderId="67" xfId="35" applyNumberFormat="1" applyFont="1" applyFill="1" applyBorder="1" applyAlignment="1">
      <alignment horizontal="center" vertical="center" wrapText="1"/>
    </xf>
    <xf numFmtId="0" fontId="49" fillId="27" borderId="73" xfId="41" applyFont="1" applyFill="1" applyBorder="1" applyAlignment="1">
      <alignment horizontal="center" vertical="center" wrapText="1"/>
    </xf>
    <xf numFmtId="0" fontId="37" fillId="27" borderId="121" xfId="35" applyFont="1" applyFill="1" applyBorder="1" applyAlignment="1">
      <alignment horizontal="center" vertical="center"/>
    </xf>
    <xf numFmtId="0" fontId="37" fillId="27" borderId="122" xfId="35" applyFont="1" applyFill="1" applyBorder="1" applyAlignment="1">
      <alignment horizontal="center" vertical="center"/>
    </xf>
    <xf numFmtId="0" fontId="37" fillId="27" borderId="37" xfId="35" applyFont="1" applyFill="1" applyBorder="1" applyAlignment="1">
      <alignment horizontal="center" vertical="center"/>
    </xf>
    <xf numFmtId="0" fontId="4" fillId="27" borderId="36" xfId="35" applyFont="1" applyFill="1" applyBorder="1" applyAlignment="1">
      <alignment horizontal="center" vertical="center" wrapText="1"/>
    </xf>
    <xf numFmtId="0" fontId="4" fillId="27" borderId="43" xfId="35" applyFont="1" applyFill="1" applyBorder="1" applyAlignment="1">
      <alignment horizontal="center" vertical="center" wrapText="1"/>
    </xf>
    <xf numFmtId="0" fontId="37" fillId="0" borderId="123" xfId="35" applyFont="1" applyBorder="1" applyAlignment="1">
      <alignment horizontal="center" vertical="center" wrapText="1"/>
    </xf>
    <xf numFmtId="0" fontId="37" fillId="0" borderId="124" xfId="35" applyFont="1" applyBorder="1" applyAlignment="1">
      <alignment horizontal="center" vertical="center" wrapText="1"/>
    </xf>
    <xf numFmtId="0" fontId="37" fillId="0" borderId="0" xfId="35" applyFont="1" applyAlignment="1">
      <alignment horizontal="center" vertical="center" wrapText="1"/>
    </xf>
    <xf numFmtId="0" fontId="37" fillId="27" borderId="36" xfId="35" applyFont="1" applyFill="1" applyBorder="1" applyAlignment="1">
      <alignment horizontal="center" vertical="top" wrapText="1"/>
    </xf>
    <xf numFmtId="0" fontId="37" fillId="27" borderId="43" xfId="35" applyFont="1" applyFill="1" applyBorder="1" applyAlignment="1">
      <alignment horizontal="center" vertical="top" wrapText="1"/>
    </xf>
    <xf numFmtId="0" fontId="37" fillId="27" borderId="122" xfId="35" applyFont="1" applyFill="1" applyBorder="1" applyAlignment="1">
      <alignment horizontal="center" vertical="center" wrapText="1"/>
    </xf>
    <xf numFmtId="0" fontId="37" fillId="27" borderId="78" xfId="35" applyFont="1" applyFill="1" applyBorder="1" applyAlignment="1">
      <alignment horizontal="center" vertical="center" wrapText="1"/>
    </xf>
    <xf numFmtId="4" fontId="37" fillId="0" borderId="125" xfId="35" applyNumberFormat="1" applyFont="1" applyBorder="1" applyAlignment="1">
      <alignment horizontal="center" wrapText="1"/>
    </xf>
    <xf numFmtId="4" fontId="37" fillId="0" borderId="104" xfId="35" applyNumberFormat="1" applyFont="1" applyBorder="1" applyAlignment="1">
      <alignment horizontal="center" wrapText="1"/>
    </xf>
    <xf numFmtId="0" fontId="37" fillId="27" borderId="36" xfId="35" applyFont="1" applyFill="1" applyBorder="1" applyAlignment="1">
      <alignment horizontal="center" vertical="center" wrapText="1"/>
    </xf>
    <xf numFmtId="0" fontId="37" fillId="27" borderId="43" xfId="35" applyFont="1" applyFill="1" applyBorder="1" applyAlignment="1">
      <alignment horizontal="center" vertical="center" wrapText="1"/>
    </xf>
    <xf numFmtId="0" fontId="66" fillId="27" borderId="85" xfId="35" applyFont="1" applyFill="1" applyBorder="1" applyAlignment="1">
      <alignment horizontal="center" vertical="center" wrapText="1"/>
    </xf>
    <xf numFmtId="0" fontId="76" fillId="27" borderId="37" xfId="35" applyFont="1" applyFill="1" applyBorder="1" applyAlignment="1">
      <alignment horizontal="center" vertical="center" wrapText="1"/>
    </xf>
    <xf numFmtId="0" fontId="76" fillId="27" borderId="44" xfId="35" applyFont="1" applyFill="1" applyBorder="1" applyAlignment="1">
      <alignment horizontal="center" vertical="center" wrapText="1"/>
    </xf>
    <xf numFmtId="0" fontId="76" fillId="27" borderId="85" xfId="35" applyFont="1" applyFill="1" applyBorder="1" applyAlignment="1">
      <alignment horizontal="center" vertical="center" wrapText="1"/>
    </xf>
    <xf numFmtId="0" fontId="3" fillId="27" borderId="37" xfId="35" quotePrefix="1" applyFont="1" applyFill="1" applyBorder="1" applyAlignment="1">
      <alignment horizontal="center" vertical="center" wrapText="1"/>
    </xf>
    <xf numFmtId="0" fontId="3" fillId="27" borderId="44" xfId="35" applyFont="1" applyFill="1" applyBorder="1" applyAlignment="1">
      <alignment horizontal="center" vertical="center" wrapText="1"/>
    </xf>
    <xf numFmtId="0" fontId="3" fillId="27" borderId="36" xfId="35" applyFont="1" applyFill="1" applyBorder="1" applyAlignment="1">
      <alignment horizontal="center" vertical="top" wrapText="1"/>
    </xf>
    <xf numFmtId="0" fontId="3" fillId="27" borderId="43" xfId="35" applyFont="1" applyFill="1" applyBorder="1" applyAlignment="1">
      <alignment horizontal="center" vertical="top" wrapText="1"/>
    </xf>
    <xf numFmtId="0" fontId="3" fillId="27" borderId="122" xfId="35" applyFont="1" applyFill="1" applyBorder="1" applyAlignment="1">
      <alignment horizontal="center" vertical="center" wrapText="1"/>
    </xf>
    <xf numFmtId="0" fontId="3" fillId="27" borderId="78" xfId="35" applyFont="1" applyFill="1" applyBorder="1" applyAlignment="1">
      <alignment horizontal="center" vertical="center" wrapText="1"/>
    </xf>
    <xf numFmtId="4" fontId="4" fillId="27" borderId="91" xfId="35" applyNumberFormat="1" applyFont="1" applyFill="1" applyBorder="1" applyAlignment="1">
      <alignment horizontal="center" vertical="center" wrapText="1"/>
    </xf>
    <xf numFmtId="4" fontId="4" fillId="27" borderId="118" xfId="35" applyNumberFormat="1" applyFont="1" applyFill="1" applyBorder="1" applyAlignment="1">
      <alignment horizontal="center" vertical="center" wrapText="1"/>
    </xf>
    <xf numFmtId="4" fontId="9" fillId="27" borderId="107" xfId="35" applyNumberFormat="1" applyFont="1" applyFill="1" applyBorder="1" applyAlignment="1">
      <alignment horizontal="center" vertical="center" wrapText="1"/>
    </xf>
    <xf numFmtId="4" fontId="9" fillId="27" borderId="0" xfId="35" applyNumberFormat="1" applyFont="1" applyFill="1" applyAlignment="1">
      <alignment horizontal="center" vertical="center" wrapText="1"/>
    </xf>
    <xf numFmtId="4" fontId="9" fillId="27" borderId="106" xfId="35" applyNumberFormat="1" applyFont="1" applyFill="1" applyBorder="1" applyAlignment="1">
      <alignment horizontal="center" vertical="center" wrapText="1"/>
    </xf>
    <xf numFmtId="0" fontId="64" fillId="0" borderId="0" xfId="39" applyFont="1" applyAlignment="1">
      <alignment horizontal="center" vertical="center" wrapText="1"/>
    </xf>
    <xf numFmtId="0" fontId="4" fillId="27" borderId="64" xfId="35" applyFont="1" applyFill="1" applyBorder="1" applyAlignment="1">
      <alignment horizontal="center" vertical="center" wrapText="1"/>
    </xf>
    <xf numFmtId="0" fontId="3" fillId="27" borderId="99" xfId="39" applyFont="1" applyFill="1" applyBorder="1" applyAlignment="1">
      <alignment horizontal="center" vertical="center"/>
    </xf>
    <xf numFmtId="0" fontId="3" fillId="27" borderId="72" xfId="39" applyFont="1" applyFill="1" applyBorder="1" applyAlignment="1">
      <alignment horizontal="center" vertical="center"/>
    </xf>
    <xf numFmtId="0" fontId="4" fillId="27" borderId="65" xfId="35" applyFont="1" applyFill="1" applyBorder="1" applyAlignment="1">
      <alignment horizontal="center" vertical="center" wrapText="1"/>
    </xf>
    <xf numFmtId="0" fontId="3" fillId="27" borderId="88" xfId="39" applyFont="1" applyFill="1" applyBorder="1" applyAlignment="1">
      <alignment horizontal="center" vertical="center"/>
    </xf>
    <xf numFmtId="0" fontId="3" fillId="27" borderId="119" xfId="39" applyFont="1" applyFill="1" applyBorder="1" applyAlignment="1">
      <alignment horizontal="center" vertical="center"/>
    </xf>
    <xf numFmtId="0" fontId="4" fillId="27" borderId="120" xfId="35" applyFont="1" applyFill="1" applyBorder="1" applyAlignment="1">
      <alignment horizontal="center" vertical="center" wrapText="1"/>
    </xf>
    <xf numFmtId="0" fontId="3" fillId="27" borderId="100" xfId="39" applyFont="1" applyFill="1" applyBorder="1" applyAlignment="1">
      <alignment horizontal="center" vertical="center"/>
    </xf>
    <xf numFmtId="0" fontId="3" fillId="27" borderId="115" xfId="39" applyFont="1" applyFill="1" applyBorder="1" applyAlignment="1">
      <alignment horizontal="center" vertical="center"/>
    </xf>
    <xf numFmtId="0" fontId="4" fillId="0" borderId="152" xfId="0" applyFont="1" applyBorder="1" applyAlignment="1">
      <alignment vertical="center"/>
    </xf>
    <xf numFmtId="0" fontId="33" fillId="0" borderId="57" xfId="42" applyFont="1" applyBorder="1" applyAlignment="1">
      <alignment vertical="center"/>
    </xf>
  </cellXfs>
  <cellStyles count="5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40% - Naglasak1" xfId="12" builtinId="3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6"/>
    <cellStyle name="Dobro" xfId="19"/>
    <cellStyle name="Isticanje1" xfId="20" builtinId="29" customBuiltin="1"/>
    <cellStyle name="Isticanje2" xfId="21" builtinId="33" customBuiltin="1"/>
    <cellStyle name="Isticanje3" xfId="22" builtinId="37" customBuiltin="1"/>
    <cellStyle name="Isticanje4" xfId="23" builtinId="41" customBuiltin="1"/>
    <cellStyle name="Isticanje5" xfId="24" builtinId="45" customBuiltin="1"/>
    <cellStyle name="Isticanje6" xfId="25" builtinId="49" customBuiltin="1"/>
    <cellStyle name="Izlaz" xfId="45"/>
    <cellStyle name="Izračun" xfId="26" builtinId="22" customBuiltin="1"/>
    <cellStyle name="Loše" xfId="27" builtinId="27" customBuiltin="1"/>
    <cellStyle name="Naslov" xfId="50"/>
    <cellStyle name="Naslov 1" xfId="28" builtinId="16" customBuiltin="1"/>
    <cellStyle name="Naslov 2" xfId="29" builtinId="17" customBuiltin="1"/>
    <cellStyle name="Naslov 3" xfId="30" builtinId="18" customBuiltin="1"/>
    <cellStyle name="Naslov 4" xfId="31" builtinId="19" customBuiltin="1"/>
    <cellStyle name="Neutralno" xfId="32" builtinId="28" customBuiltin="1"/>
    <cellStyle name="Normal 2" xfId="33"/>
    <cellStyle name="Normal_02-UP-C-M" xfId="34"/>
    <cellStyle name="Normal_Zavrsne analize cijena 2202 sa probom nove satnice" xfId="35"/>
    <cellStyle name="Obično" xfId="0" builtinId="0"/>
    <cellStyle name="Obično 2" xfId="56"/>
    <cellStyle name="Obično_02-CJENIK-RADNICI" xfId="37"/>
    <cellStyle name="Obično_03-CJENIK-PRIJEVOZ" xfId="38"/>
    <cellStyle name="Obično_04-CJENIK-MATERIJAL" xfId="39"/>
    <cellStyle name="Obično_05-CJENIK-MEHANIZACIJA" xfId="40"/>
    <cellStyle name="Obično_Analize-MEHANIZACIJA-ZUC BJ - 2009-2013" xfId="41"/>
    <cellStyle name="Obično_Analize-MEHANIZACIJA-ZUC BJ - 2009-2013 2" xfId="55"/>
    <cellStyle name="Obično_Cijene rada vozila i strojeva CESTING ZA HUC 16.11.2001." xfId="42"/>
    <cellStyle name="Obično_CIJENIK PRIJEVOZA MATERIJALA Osijek 16..04.2002." xfId="43"/>
    <cellStyle name="Obično_HRVATSKE CESTE (redovno održavanje 2014-2018) - BBŽ cijene (Verzija 1)" xfId="44"/>
    <cellStyle name="Postotak" xfId="46" builtinId="5"/>
    <cellStyle name="Povezana ćelija" xfId="47" builtinId="24" customBuiltin="1"/>
    <cellStyle name="Provjera ćelije" xfId="48" builtinId="23" customBuiltin="1"/>
    <cellStyle name="Tekst objašnjenja" xfId="49" builtinId="53" customBuiltin="1"/>
    <cellStyle name="Tekst upozorenja" xfId="53"/>
    <cellStyle name="Ukupni zbroj" xfId="51" builtinId="25" customBuiltin="1"/>
    <cellStyle name="Unos" xfId="52" builtinId="20" customBuiltin="1"/>
    <cellStyle name="Zarez" xfId="54" builtinId="3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Text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831457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hr-HR" sz="1000" b="0" i="0" strike="noStrike">
              <a:solidFill>
                <a:srgbClr val="800000"/>
              </a:solidFill>
              <a:latin typeface="CRO_Swiss_Light-Bold"/>
            </a:rPr>
            <a:t>Duljina: 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831457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hr-HR" sz="1000" b="0" i="0" strike="noStrike">
              <a:solidFill>
                <a:srgbClr val="800000"/>
              </a:solidFill>
              <a:latin typeface="CRO_Swiss_Light-Bold"/>
            </a:rPr>
            <a:t>Duljina: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Roaming/Microsoft/Excel/10%20PRIGODNO%20UKRA&#352;AVANJE%20NASEL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Roaming/Microsoft/Excel/01%20ODR&#381;AVANJE%20JAVNE%20RASVJE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Roaming/Microsoft/Excel/situacije%20odr&#382;avanje/Peru&#353;i&#263;%20d.o.o.%20analiza%20cijena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u  zapisnik 11"/>
      <sheetName val="situ 12 2021"/>
      <sheetName val="situ ukupno"/>
      <sheetName val="rekapitulacija zapisnik"/>
      <sheetName val="rekapitulacija 12 2021"/>
      <sheetName val="rekapitulacija ukupno"/>
      <sheetName val="Grupa radova 1."/>
      <sheetName val="Grupa radova 2."/>
      <sheetName val="Grupa radova 3."/>
      <sheetName val="Grupa radova 4."/>
      <sheetName val="Grupa radova 5."/>
      <sheetName val="Grupa radova 6."/>
      <sheetName val="Grupa radova 7."/>
      <sheetName val="Grupa radova 8."/>
      <sheetName val="Grupa radova 9."/>
      <sheetName val="Grupa radova 10."/>
      <sheetName val="Grupa radova 11."/>
      <sheetName val="Obrazac kalkulacije"/>
      <sheetName val="Cjenik RS"/>
      <sheetName val="Cjenik M"/>
      <sheetName val="Cjenik PM"/>
      <sheetName val="Devizni tecaj, porez i gorivo"/>
      <sheetName val="Nabavna cijena"/>
      <sheetName val="Cijena sata rada"/>
      <sheetName val="Cjenik VSO (pomoćna)"/>
      <sheetName val="Cjenik VSO"/>
      <sheetName val="Cjenik M (pomoćna)"/>
    </sheetNames>
    <sheetDataSet>
      <sheetData sheetId="0"/>
      <sheetData sheetId="1"/>
      <sheetData sheetId="2">
        <row r="29">
          <cell r="F29">
            <v>61153.399999999994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3"/>
      <sheetName val="kalkulacije"/>
      <sheetName val="troškovnik"/>
      <sheetName val="CJENIK"/>
      <sheetName val="rekapitulacija"/>
      <sheetName val="Obrazac kalkulacije"/>
      <sheetName val="Cjenik RS"/>
      <sheetName val="Cjenik M"/>
      <sheetName val="Cjenik PM"/>
      <sheetName val="Devizni tecaj, porez i gorivo"/>
      <sheetName val="Nabavna cijena"/>
      <sheetName val="Cijena sata rada"/>
      <sheetName val="Cjenik VSO (pomoćna)"/>
      <sheetName val="Cjenik VSO"/>
      <sheetName val="Cjenik M (pomoćna)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A7" t="str">
            <v>1.</v>
          </cell>
        </row>
        <row r="8">
          <cell r="A8" t="str">
            <v>2.</v>
          </cell>
        </row>
        <row r="9">
          <cell r="A9" t="str">
            <v>3.</v>
          </cell>
        </row>
        <row r="10">
          <cell r="A10" t="str">
            <v>4.</v>
          </cell>
        </row>
        <row r="11">
          <cell r="A11" t="str">
            <v>5.</v>
          </cell>
        </row>
        <row r="12">
          <cell r="A12" t="str">
            <v>6.</v>
          </cell>
          <cell r="B12" t="str">
            <v>Rovokopač (bager) na kotačima</v>
          </cell>
        </row>
        <row r="13">
          <cell r="A13" t="str">
            <v>7.</v>
          </cell>
          <cell r="B13" t="str">
            <v>Rovokopač - utovarivač</v>
          </cell>
        </row>
        <row r="14">
          <cell r="A14" t="str">
            <v>8.</v>
          </cell>
          <cell r="B14" t="str">
            <v>Pneumatski čekić</v>
          </cell>
        </row>
        <row r="15">
          <cell r="A15" t="str">
            <v>9.</v>
          </cell>
        </row>
        <row r="16">
          <cell r="A16" t="str">
            <v>10.</v>
          </cell>
        </row>
        <row r="17">
          <cell r="A17" t="str">
            <v>11.</v>
          </cell>
        </row>
        <row r="18">
          <cell r="A18" t="str">
            <v>12.</v>
          </cell>
          <cell r="B18" t="str">
            <v>Rezač asfalta</v>
          </cell>
        </row>
        <row r="19">
          <cell r="A19" t="str">
            <v>13.</v>
          </cell>
        </row>
        <row r="23">
          <cell r="B23" t="str">
            <v>Kamion do 2 t</v>
          </cell>
        </row>
        <row r="27">
          <cell r="B27" t="str">
            <v>Teretni automobil nosivosti 3,5-12 t sa dizalicom</v>
          </cell>
        </row>
        <row r="56">
          <cell r="B56" t="str">
            <v>Betonska miješalica</v>
          </cell>
        </row>
        <row r="57">
          <cell r="B57" t="str">
            <v>Pumpa za vodu</v>
          </cell>
        </row>
        <row r="58">
          <cell r="B58" t="str">
            <v>Vibroploča</v>
          </cell>
        </row>
        <row r="63">
          <cell r="B63" t="str">
            <v>Hidraulična košara</v>
          </cell>
        </row>
        <row r="71">
          <cell r="B71" t="str">
            <v>Mini rovokopač (bager)</v>
          </cell>
        </row>
        <row r="72">
          <cell r="B72" t="str">
            <v>Mini utovarivač</v>
          </cell>
        </row>
        <row r="74">
          <cell r="B74" t="str">
            <v>Teretni automobil nosivosti do 3,5t</v>
          </cell>
        </row>
      </sheetData>
      <sheetData sheetId="11">
        <row r="53">
          <cell r="G53">
            <v>461.09</v>
          </cell>
          <cell r="H53">
            <v>294.52</v>
          </cell>
          <cell r="I53">
            <v>57.2</v>
          </cell>
          <cell r="M53">
            <v>129.26</v>
          </cell>
          <cell r="R53">
            <v>262.23</v>
          </cell>
          <cell r="AY53">
            <v>117.76</v>
          </cell>
          <cell r="AZ53">
            <v>72.150000000000006</v>
          </cell>
          <cell r="BA53">
            <v>135.9</v>
          </cell>
          <cell r="BF53">
            <v>457.94</v>
          </cell>
          <cell r="BN53">
            <v>330.84</v>
          </cell>
          <cell r="BO53">
            <v>326.10000000000002</v>
          </cell>
          <cell r="BQ53">
            <v>297.11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roškovnik"/>
      <sheetName val="rekapitulacija"/>
      <sheetName val="Grupa radova 1."/>
      <sheetName val="Grupa radova 2."/>
      <sheetName val="Grupa radova 3."/>
      <sheetName val="Grupa radova 4."/>
      <sheetName val="Grupa radova 5."/>
      <sheetName val="Grupa radova 6."/>
      <sheetName val="Grupa radova 7."/>
      <sheetName val="Grupa radova 8."/>
      <sheetName val="Grupa radova 9."/>
      <sheetName val="Grupa radova 10."/>
      <sheetName val="Grupa radova 11."/>
      <sheetName val="Obrazac kalkulacije"/>
      <sheetName val="Cjenik RS"/>
      <sheetName val="Cjenik M"/>
      <sheetName val="Asfalti"/>
      <sheetName val="Cjenik M (pomoćna)"/>
      <sheetName val="Cjenik PM"/>
      <sheetName val="Devizni tecaj, porez i gorivo"/>
      <sheetName val="Nabavna cijena"/>
      <sheetName val="Cijena sata rada"/>
      <sheetName val="Cjenik VSO (pomoćna)"/>
      <sheetName val="Cjenik V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>AC 16 base BIT 50/70 AG6 M2</v>
          </cell>
        </row>
        <row r="3">
          <cell r="B3" t="str">
            <v>AC 22 base BIT 50/70 AG6 M1</v>
          </cell>
        </row>
        <row r="4">
          <cell r="B4" t="str">
            <v>AC 22 base 50/70 AG6 M2</v>
          </cell>
        </row>
        <row r="5">
          <cell r="B5" t="str">
            <v>AC 32 base BIT 50/70 AG6 M1</v>
          </cell>
        </row>
        <row r="6">
          <cell r="B6" t="str">
            <v>AC 32 base 50/70 AG6 M2</v>
          </cell>
        </row>
        <row r="7">
          <cell r="B7" t="str">
            <v>AC 22 base Pmb 45/80-65 AG6 M1</v>
          </cell>
        </row>
        <row r="8">
          <cell r="B8" t="str">
            <v>AC 4 surf BIT 50/70 AG4 M4</v>
          </cell>
        </row>
        <row r="9">
          <cell r="B9" t="str">
            <v>AC 8 surf BIT 50/70 AG4 M4</v>
          </cell>
        </row>
        <row r="10">
          <cell r="B10" t="str">
            <v>AC 11 surf 50/70 AG4 M4</v>
          </cell>
        </row>
        <row r="11">
          <cell r="B11" t="str">
            <v>AC 11 surf BIT 50/70 AG4 M3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opLeftCell="A13" workbookViewId="0">
      <selection activeCell="C31" sqref="C31"/>
    </sheetView>
  </sheetViews>
  <sheetFormatPr defaultRowHeight="12.75"/>
  <cols>
    <col min="1" max="1" width="55.85546875" customWidth="1"/>
    <col min="3" max="3" width="9.85546875" customWidth="1"/>
  </cols>
  <sheetData>
    <row r="1" spans="1:9" ht="15.75">
      <c r="A1" s="649" t="s">
        <v>933</v>
      </c>
    </row>
    <row r="2" spans="1:9" ht="15.75">
      <c r="A2" s="649" t="s">
        <v>932</v>
      </c>
    </row>
    <row r="3" spans="1:9" ht="15.75">
      <c r="A3" s="648" t="s">
        <v>931</v>
      </c>
    </row>
    <row r="4" spans="1:9" ht="15.75">
      <c r="A4" s="648" t="s">
        <v>930</v>
      </c>
    </row>
    <row r="5" spans="1:9" ht="15.75">
      <c r="A5" s="743" t="s">
        <v>929</v>
      </c>
      <c r="B5" s="744"/>
      <c r="C5" s="744"/>
      <c r="D5" s="744"/>
      <c r="E5" s="744"/>
      <c r="F5" s="744"/>
      <c r="G5" s="744"/>
      <c r="H5" s="744"/>
      <c r="I5" s="744"/>
    </row>
    <row r="6" spans="1:9" ht="15.75">
      <c r="A6" s="743" t="s">
        <v>928</v>
      </c>
      <c r="B6" s="744"/>
      <c r="C6" s="744"/>
      <c r="D6" s="744"/>
    </row>
    <row r="7" spans="1:9" ht="15.75">
      <c r="A7" s="743" t="s">
        <v>927</v>
      </c>
      <c r="B7" s="744"/>
      <c r="C7" s="744"/>
      <c r="D7" s="744"/>
    </row>
    <row r="8" spans="1:9" ht="15.75">
      <c r="A8" s="648" t="s">
        <v>926</v>
      </c>
    </row>
    <row r="9" spans="1:9" ht="15.75">
      <c r="A9" s="648" t="s">
        <v>925</v>
      </c>
    </row>
    <row r="10" spans="1:9" ht="15.75">
      <c r="A10" s="648"/>
    </row>
    <row r="11" spans="1:9" ht="15.75">
      <c r="A11" s="749" t="s">
        <v>924</v>
      </c>
      <c r="B11" s="744"/>
      <c r="C11" s="744"/>
      <c r="D11" s="744"/>
      <c r="E11" s="652"/>
      <c r="F11" s="652"/>
      <c r="G11" s="652"/>
      <c r="H11" s="652"/>
      <c r="I11" s="652"/>
    </row>
    <row r="12" spans="1:9" ht="15.75">
      <c r="A12" s="749" t="s">
        <v>923</v>
      </c>
      <c r="B12" s="744"/>
      <c r="C12" s="744"/>
      <c r="D12" s="744"/>
      <c r="E12" s="652"/>
      <c r="F12" s="652"/>
      <c r="G12" s="652"/>
      <c r="H12" s="652"/>
      <c r="I12" s="652"/>
    </row>
    <row r="13" spans="1:9" ht="15.75">
      <c r="A13" s="749" t="s">
        <v>922</v>
      </c>
      <c r="B13" s="750"/>
      <c r="C13" s="750"/>
      <c r="D13" s="750"/>
      <c r="E13" s="651"/>
      <c r="F13" s="651"/>
      <c r="G13" s="651"/>
      <c r="H13" s="651"/>
      <c r="I13" s="651"/>
    </row>
    <row r="14" spans="1:9" ht="15.75">
      <c r="A14" s="648"/>
    </row>
    <row r="15" spans="1:9" ht="15.75">
      <c r="A15" s="648"/>
    </row>
    <row r="16" spans="1:9" ht="15.75">
      <c r="A16" s="648" t="s">
        <v>921</v>
      </c>
    </row>
    <row r="17" spans="1:4" ht="15.75">
      <c r="A17" s="649" t="s">
        <v>920</v>
      </c>
    </row>
    <row r="18" spans="1:4" ht="15.75">
      <c r="A18" s="648" t="s">
        <v>919</v>
      </c>
    </row>
    <row r="19" spans="1:4" ht="15.75">
      <c r="A19" s="648" t="s">
        <v>918</v>
      </c>
    </row>
    <row r="20" spans="1:4" ht="15.75">
      <c r="A20" s="648" t="s">
        <v>917</v>
      </c>
    </row>
    <row r="21" spans="1:4" ht="15.75">
      <c r="A21" s="649"/>
    </row>
    <row r="22" spans="1:4" ht="16.5" thickBot="1">
      <c r="A22" s="648" t="s">
        <v>916</v>
      </c>
      <c r="B22" s="753">
        <f>B27</f>
        <v>76441.75</v>
      </c>
      <c r="C22" s="753"/>
    </row>
    <row r="23" spans="1:4" ht="16.5" thickBot="1">
      <c r="A23" s="648" t="s">
        <v>915</v>
      </c>
      <c r="B23" s="754">
        <v>0</v>
      </c>
      <c r="C23" s="754"/>
    </row>
    <row r="24" spans="1:4" ht="15.75">
      <c r="A24" s="648"/>
    </row>
    <row r="25" spans="1:4" ht="16.5" thickBot="1">
      <c r="A25" s="649" t="s">
        <v>914</v>
      </c>
      <c r="B25" s="745">
        <f>'[1]situ ukupno'!F29</f>
        <v>61153.399999999994</v>
      </c>
      <c r="C25" s="746"/>
    </row>
    <row r="26" spans="1:4" ht="16.5" thickBot="1">
      <c r="A26" s="649" t="s">
        <v>913</v>
      </c>
      <c r="B26" s="751">
        <f>B25*0.25</f>
        <v>15288.349999999999</v>
      </c>
      <c r="C26" s="752"/>
    </row>
    <row r="27" spans="1:4" ht="16.5" thickBot="1">
      <c r="A27" s="649" t="s">
        <v>912</v>
      </c>
      <c r="B27" s="751">
        <f>SUM(B25:C26)</f>
        <v>76441.75</v>
      </c>
      <c r="C27" s="752"/>
    </row>
    <row r="28" spans="1:4" ht="15.75">
      <c r="A28" s="649"/>
    </row>
    <row r="29" spans="1:4" ht="15.75">
      <c r="A29" s="649"/>
    </row>
    <row r="30" spans="1:4" ht="15.75">
      <c r="A30" s="649"/>
    </row>
    <row r="31" spans="1:4" ht="15.75">
      <c r="A31" s="648" t="s">
        <v>911</v>
      </c>
    </row>
    <row r="32" spans="1:4" ht="15.75">
      <c r="A32" s="743" t="s">
        <v>910</v>
      </c>
      <c r="B32" s="744"/>
      <c r="C32" s="744"/>
      <c r="D32" s="744"/>
    </row>
    <row r="33" spans="1:4" ht="15">
      <c r="A33" s="650" t="s">
        <v>909</v>
      </c>
      <c r="B33" s="650" t="s">
        <v>905</v>
      </c>
    </row>
    <row r="34" spans="1:4" ht="15">
      <c r="A34" s="650" t="s">
        <v>908</v>
      </c>
      <c r="B34" s="750" t="s">
        <v>907</v>
      </c>
      <c r="C34" s="750"/>
      <c r="D34" s="750"/>
    </row>
    <row r="35" spans="1:4" ht="15">
      <c r="A35" s="650"/>
    </row>
    <row r="36" spans="1:4" ht="15">
      <c r="A36" s="650" t="s">
        <v>906</v>
      </c>
      <c r="B36" s="650" t="s">
        <v>905</v>
      </c>
    </row>
    <row r="37" spans="1:4" ht="15">
      <c r="A37" s="650" t="s">
        <v>904</v>
      </c>
      <c r="B37" s="744" t="s">
        <v>903</v>
      </c>
      <c r="C37" s="744"/>
      <c r="D37" s="744"/>
    </row>
    <row r="38" spans="1:4" ht="15.75">
      <c r="A38" s="648"/>
    </row>
    <row r="39" spans="1:4" ht="15.75">
      <c r="A39" s="649" t="s">
        <v>902</v>
      </c>
    </row>
    <row r="40" spans="1:4" ht="15.75">
      <c r="A40" s="648" t="s">
        <v>901</v>
      </c>
      <c r="B40" s="755"/>
      <c r="C40" s="755"/>
      <c r="D40" s="755"/>
    </row>
    <row r="41" spans="1:4" ht="15.75">
      <c r="A41" s="648" t="s">
        <v>900</v>
      </c>
      <c r="B41" s="747" t="s">
        <v>899</v>
      </c>
      <c r="C41" s="748"/>
      <c r="D41" s="748"/>
    </row>
    <row r="42" spans="1:4" ht="15.75">
      <c r="A42" s="648" t="s">
        <v>898</v>
      </c>
    </row>
    <row r="43" spans="1:4" ht="15.75">
      <c r="A43" s="648" t="s">
        <v>897</v>
      </c>
      <c r="B43" s="755"/>
      <c r="C43" s="755"/>
      <c r="D43" s="755"/>
    </row>
    <row r="44" spans="1:4" ht="15.75">
      <c r="A44" s="648" t="s">
        <v>896</v>
      </c>
      <c r="B44" s="747"/>
      <c r="C44" s="748"/>
      <c r="D44" s="748"/>
    </row>
    <row r="45" spans="1:4" ht="15.75">
      <c r="A45" s="648"/>
    </row>
    <row r="46" spans="1:4" ht="15.75">
      <c r="A46" s="648"/>
    </row>
  </sheetData>
  <mergeCells count="18">
    <mergeCell ref="B43:D43"/>
    <mergeCell ref="B40:D40"/>
    <mergeCell ref="B34:D34"/>
    <mergeCell ref="B44:D44"/>
    <mergeCell ref="B37:D37"/>
    <mergeCell ref="A5:I5"/>
    <mergeCell ref="B25:C25"/>
    <mergeCell ref="A6:D6"/>
    <mergeCell ref="A7:D7"/>
    <mergeCell ref="B41:D41"/>
    <mergeCell ref="A32:D32"/>
    <mergeCell ref="A11:D11"/>
    <mergeCell ref="A12:D12"/>
    <mergeCell ref="A13:D13"/>
    <mergeCell ref="B26:C26"/>
    <mergeCell ref="B27:C27"/>
    <mergeCell ref="B22:C22"/>
    <mergeCell ref="B23:C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1"/>
  </sheetPr>
  <dimension ref="A1:K90"/>
  <sheetViews>
    <sheetView view="pageLayout" zoomScaleNormal="100" zoomScaleSheetLayoutView="115" workbookViewId="0">
      <selection activeCell="F50" sqref="F50:F53"/>
    </sheetView>
  </sheetViews>
  <sheetFormatPr defaultColWidth="10.7109375" defaultRowHeight="12.75"/>
  <cols>
    <col min="1" max="1" width="6" style="380" customWidth="1"/>
    <col min="2" max="2" width="3.28515625" style="381" customWidth="1"/>
    <col min="3" max="3" width="8.42578125" style="382" customWidth="1"/>
    <col min="4" max="4" width="11.7109375" style="381" customWidth="1"/>
    <col min="5" max="5" width="10.7109375" style="381" customWidth="1"/>
    <col min="6" max="7" width="11.7109375" style="381" customWidth="1"/>
    <col min="8" max="8" width="10.7109375" style="383" customWidth="1"/>
    <col min="9" max="9" width="11.7109375" style="383" customWidth="1"/>
    <col min="10" max="16384" width="10.7109375" style="383"/>
  </cols>
  <sheetData>
    <row r="1" spans="1:11" ht="4.9000000000000004" customHeight="1"/>
    <row r="2" spans="1:11" ht="4.9000000000000004" customHeight="1"/>
    <row r="3" spans="1:11" ht="15" customHeight="1">
      <c r="A3" s="834" t="s">
        <v>438</v>
      </c>
      <c r="B3" s="834"/>
      <c r="C3" s="834"/>
      <c r="D3" s="834"/>
      <c r="E3" s="834"/>
      <c r="F3" s="834"/>
      <c r="G3" s="834"/>
      <c r="H3" s="834"/>
      <c r="I3" s="834"/>
    </row>
    <row r="4" spans="1:11" ht="15" customHeight="1">
      <c r="A4" s="834" t="s">
        <v>439</v>
      </c>
      <c r="B4" s="834"/>
      <c r="C4" s="834"/>
      <c r="D4" s="834"/>
      <c r="E4" s="834"/>
      <c r="F4" s="834"/>
      <c r="G4" s="834"/>
      <c r="H4" s="834"/>
      <c r="I4" s="834"/>
    </row>
    <row r="5" spans="1:11" ht="15" customHeight="1" thickBot="1">
      <c r="A5" s="384"/>
      <c r="B5" s="385"/>
      <c r="C5" s="385"/>
      <c r="D5" s="385"/>
      <c r="E5" s="385"/>
      <c r="F5" s="385"/>
      <c r="G5" s="385"/>
    </row>
    <row r="6" spans="1:11" ht="15" customHeight="1" thickBot="1">
      <c r="A6" s="386"/>
      <c r="B6" s="383"/>
      <c r="C6" s="383"/>
      <c r="D6" s="383"/>
      <c r="E6" s="387" t="s">
        <v>269</v>
      </c>
      <c r="F6" s="388">
        <v>0.25</v>
      </c>
      <c r="G6" s="386"/>
      <c r="H6" s="386"/>
      <c r="I6" s="386"/>
    </row>
    <row r="7" spans="1:11" ht="15" customHeight="1"/>
    <row r="8" spans="1:11" ht="19.899999999999999" customHeight="1">
      <c r="A8" s="836" t="s">
        <v>272</v>
      </c>
      <c r="B8" s="836" t="s">
        <v>440</v>
      </c>
      <c r="C8" s="836"/>
      <c r="D8" s="835" t="s">
        <v>441</v>
      </c>
      <c r="E8" s="835"/>
      <c r="F8" s="835"/>
      <c r="G8" s="835" t="s">
        <v>442</v>
      </c>
      <c r="H8" s="835"/>
      <c r="I8" s="835"/>
    </row>
    <row r="9" spans="1:11" s="389" customFormat="1" ht="34.9" customHeight="1">
      <c r="A9" s="836"/>
      <c r="B9" s="836"/>
      <c r="C9" s="836"/>
      <c r="D9" s="469" t="s">
        <v>443</v>
      </c>
      <c r="E9" s="469" t="s">
        <v>444</v>
      </c>
      <c r="F9" s="469" t="s">
        <v>445</v>
      </c>
      <c r="G9" s="469" t="s">
        <v>443</v>
      </c>
      <c r="H9" s="469" t="s">
        <v>444</v>
      </c>
      <c r="I9" s="469" t="s">
        <v>445</v>
      </c>
    </row>
    <row r="10" spans="1:11" ht="15" customHeight="1">
      <c r="A10" s="470" t="s">
        <v>13</v>
      </c>
      <c r="B10" s="471"/>
      <c r="C10" s="472">
        <v>0</v>
      </c>
      <c r="D10" s="473">
        <f>ROUND(G10*1.55,2)</f>
        <v>0</v>
      </c>
      <c r="E10" s="390">
        <f>ROUND(D10*$F$6,2)</f>
        <v>0</v>
      </c>
      <c r="F10" s="390">
        <f>D10+E10</f>
        <v>0</v>
      </c>
      <c r="G10" s="473">
        <v>0</v>
      </c>
      <c r="H10" s="390">
        <f>ROUND(G10*$F$6,2)</f>
        <v>0</v>
      </c>
      <c r="I10" s="474">
        <f>G10+H10</f>
        <v>0</v>
      </c>
      <c r="K10" s="381"/>
    </row>
    <row r="11" spans="1:11" ht="15" customHeight="1">
      <c r="A11" s="470" t="s">
        <v>17</v>
      </c>
      <c r="B11" s="474" t="s">
        <v>446</v>
      </c>
      <c r="C11" s="472">
        <v>1</v>
      </c>
      <c r="D11" s="473">
        <f t="shared" ref="D11:D74" si="0">ROUND(G11*1.55,2)</f>
        <v>10.62</v>
      </c>
      <c r="E11" s="390">
        <f>ROUND(D11*$F$6,2)</f>
        <v>2.66</v>
      </c>
      <c r="F11" s="390">
        <f>D11+E11</f>
        <v>13.28</v>
      </c>
      <c r="G11" s="473">
        <v>6.85</v>
      </c>
      <c r="H11" s="390">
        <f>ROUND(G11*$F$6,2)</f>
        <v>1.71</v>
      </c>
      <c r="I11" s="474">
        <f>G11+H11</f>
        <v>8.5599999999999987</v>
      </c>
      <c r="K11" s="381"/>
    </row>
    <row r="12" spans="1:11" ht="15" customHeight="1">
      <c r="A12" s="470" t="s">
        <v>68</v>
      </c>
      <c r="B12" s="474" t="s">
        <v>446</v>
      </c>
      <c r="C12" s="472">
        <v>2</v>
      </c>
      <c r="D12" s="473">
        <f t="shared" si="0"/>
        <v>11.9</v>
      </c>
      <c r="E12" s="390">
        <f t="shared" ref="E12:E75" si="1">ROUND(D12*$F$6,2)</f>
        <v>2.98</v>
      </c>
      <c r="F12" s="390">
        <f t="shared" ref="F12:F75" si="2">D12+E12</f>
        <v>14.88</v>
      </c>
      <c r="G12" s="473">
        <v>7.68</v>
      </c>
      <c r="H12" s="390">
        <f t="shared" ref="H12:H75" si="3">ROUND(G12*$F$6,2)</f>
        <v>1.92</v>
      </c>
      <c r="I12" s="474">
        <f t="shared" ref="I12:I75" si="4">G12+H12</f>
        <v>9.6</v>
      </c>
      <c r="K12" s="381"/>
    </row>
    <row r="13" spans="1:11" ht="15" customHeight="1">
      <c r="A13" s="470" t="s">
        <v>77</v>
      </c>
      <c r="B13" s="474" t="s">
        <v>446</v>
      </c>
      <c r="C13" s="472">
        <v>3</v>
      </c>
      <c r="D13" s="473">
        <f t="shared" si="0"/>
        <v>15.55</v>
      </c>
      <c r="E13" s="390">
        <f t="shared" si="1"/>
        <v>3.89</v>
      </c>
      <c r="F13" s="390">
        <f t="shared" si="2"/>
        <v>19.440000000000001</v>
      </c>
      <c r="G13" s="473">
        <v>10.029999999999999</v>
      </c>
      <c r="H13" s="390">
        <f t="shared" si="3"/>
        <v>2.5099999999999998</v>
      </c>
      <c r="I13" s="474">
        <f t="shared" si="4"/>
        <v>12.54</v>
      </c>
      <c r="K13" s="381"/>
    </row>
    <row r="14" spans="1:11" ht="15" customHeight="1">
      <c r="A14" s="470" t="s">
        <v>87</v>
      </c>
      <c r="B14" s="474" t="s">
        <v>446</v>
      </c>
      <c r="C14" s="472">
        <v>4</v>
      </c>
      <c r="D14" s="473">
        <f t="shared" si="0"/>
        <v>17.829999999999998</v>
      </c>
      <c r="E14" s="390">
        <f t="shared" si="1"/>
        <v>4.46</v>
      </c>
      <c r="F14" s="390">
        <f t="shared" si="2"/>
        <v>22.29</v>
      </c>
      <c r="G14" s="473">
        <v>11.5</v>
      </c>
      <c r="H14" s="390">
        <f t="shared" si="3"/>
        <v>2.88</v>
      </c>
      <c r="I14" s="474">
        <f t="shared" si="4"/>
        <v>14.379999999999999</v>
      </c>
      <c r="K14" s="381"/>
    </row>
    <row r="15" spans="1:11" ht="15" customHeight="1">
      <c r="A15" s="470" t="s">
        <v>92</v>
      </c>
      <c r="B15" s="474" t="s">
        <v>446</v>
      </c>
      <c r="C15" s="472">
        <v>5</v>
      </c>
      <c r="D15" s="473">
        <f t="shared" si="0"/>
        <v>19.670000000000002</v>
      </c>
      <c r="E15" s="390">
        <f t="shared" si="1"/>
        <v>4.92</v>
      </c>
      <c r="F15" s="390">
        <f t="shared" si="2"/>
        <v>24.590000000000003</v>
      </c>
      <c r="G15" s="473">
        <v>12.69</v>
      </c>
      <c r="H15" s="390">
        <f t="shared" si="3"/>
        <v>3.17</v>
      </c>
      <c r="I15" s="474">
        <f t="shared" si="4"/>
        <v>15.86</v>
      </c>
      <c r="K15" s="381"/>
    </row>
    <row r="16" spans="1:11" ht="15" customHeight="1">
      <c r="A16" s="470" t="s">
        <v>96</v>
      </c>
      <c r="B16" s="474" t="s">
        <v>446</v>
      </c>
      <c r="C16" s="472">
        <v>6</v>
      </c>
      <c r="D16" s="473">
        <f t="shared" si="0"/>
        <v>20.65</v>
      </c>
      <c r="E16" s="390">
        <f t="shared" si="1"/>
        <v>5.16</v>
      </c>
      <c r="F16" s="390">
        <f t="shared" si="2"/>
        <v>25.81</v>
      </c>
      <c r="G16" s="473">
        <v>13.32</v>
      </c>
      <c r="H16" s="390">
        <f t="shared" si="3"/>
        <v>3.33</v>
      </c>
      <c r="I16" s="474">
        <f t="shared" si="4"/>
        <v>16.649999999999999</v>
      </c>
      <c r="K16" s="381"/>
    </row>
    <row r="17" spans="1:11" ht="15" customHeight="1">
      <c r="A17" s="470" t="s">
        <v>104</v>
      </c>
      <c r="B17" s="474" t="s">
        <v>446</v>
      </c>
      <c r="C17" s="472">
        <v>7</v>
      </c>
      <c r="D17" s="473">
        <f t="shared" si="0"/>
        <v>22.3</v>
      </c>
      <c r="E17" s="390">
        <f t="shared" si="1"/>
        <v>5.58</v>
      </c>
      <c r="F17" s="390">
        <f t="shared" si="2"/>
        <v>27.880000000000003</v>
      </c>
      <c r="G17" s="473">
        <v>14.39</v>
      </c>
      <c r="H17" s="390">
        <f t="shared" si="3"/>
        <v>3.6</v>
      </c>
      <c r="I17" s="474">
        <f t="shared" si="4"/>
        <v>17.990000000000002</v>
      </c>
      <c r="K17" s="381"/>
    </row>
    <row r="18" spans="1:11" ht="15" customHeight="1">
      <c r="A18" s="470" t="s">
        <v>108</v>
      </c>
      <c r="B18" s="474" t="s">
        <v>446</v>
      </c>
      <c r="C18" s="472">
        <v>8</v>
      </c>
      <c r="D18" s="473">
        <f t="shared" si="0"/>
        <v>23.48</v>
      </c>
      <c r="E18" s="390">
        <f t="shared" si="1"/>
        <v>5.87</v>
      </c>
      <c r="F18" s="390">
        <f t="shared" si="2"/>
        <v>29.35</v>
      </c>
      <c r="G18" s="473">
        <v>15.15</v>
      </c>
      <c r="H18" s="390">
        <f t="shared" si="3"/>
        <v>3.79</v>
      </c>
      <c r="I18" s="474">
        <f t="shared" si="4"/>
        <v>18.940000000000001</v>
      </c>
      <c r="K18" s="381"/>
    </row>
    <row r="19" spans="1:11" ht="15" customHeight="1">
      <c r="A19" s="470" t="s">
        <v>112</v>
      </c>
      <c r="B19" s="474" t="s">
        <v>446</v>
      </c>
      <c r="C19" s="472">
        <v>9</v>
      </c>
      <c r="D19" s="473">
        <f t="shared" si="0"/>
        <v>25.59</v>
      </c>
      <c r="E19" s="390">
        <f t="shared" si="1"/>
        <v>6.4</v>
      </c>
      <c r="F19" s="390">
        <f t="shared" si="2"/>
        <v>31.990000000000002</v>
      </c>
      <c r="G19" s="473">
        <v>16.510000000000002</v>
      </c>
      <c r="H19" s="390">
        <f t="shared" si="3"/>
        <v>4.13</v>
      </c>
      <c r="I19" s="474">
        <f t="shared" si="4"/>
        <v>20.64</v>
      </c>
      <c r="K19" s="381"/>
    </row>
    <row r="20" spans="1:11" ht="15" customHeight="1">
      <c r="A20" s="470" t="s">
        <v>117</v>
      </c>
      <c r="B20" s="474" t="s">
        <v>446</v>
      </c>
      <c r="C20" s="472">
        <v>10</v>
      </c>
      <c r="D20" s="473">
        <f t="shared" si="0"/>
        <v>26.88</v>
      </c>
      <c r="E20" s="390">
        <f t="shared" si="1"/>
        <v>6.72</v>
      </c>
      <c r="F20" s="390">
        <f t="shared" si="2"/>
        <v>33.6</v>
      </c>
      <c r="G20" s="473">
        <v>17.34</v>
      </c>
      <c r="H20" s="390">
        <f t="shared" si="3"/>
        <v>4.34</v>
      </c>
      <c r="I20" s="474">
        <f t="shared" si="4"/>
        <v>21.68</v>
      </c>
      <c r="K20" s="381"/>
    </row>
    <row r="21" spans="1:11" ht="15" customHeight="1">
      <c r="A21" s="470" t="s">
        <v>279</v>
      </c>
      <c r="B21" s="474" t="s">
        <v>446</v>
      </c>
      <c r="C21" s="472">
        <v>11</v>
      </c>
      <c r="D21" s="473">
        <f t="shared" si="0"/>
        <v>27.9</v>
      </c>
      <c r="E21" s="390">
        <f t="shared" si="1"/>
        <v>6.98</v>
      </c>
      <c r="F21" s="390">
        <f t="shared" si="2"/>
        <v>34.879999999999995</v>
      </c>
      <c r="G21" s="473">
        <v>18</v>
      </c>
      <c r="H21" s="390">
        <f t="shared" si="3"/>
        <v>4.5</v>
      </c>
      <c r="I21" s="474">
        <f t="shared" si="4"/>
        <v>22.5</v>
      </c>
      <c r="K21" s="381"/>
    </row>
    <row r="22" spans="1:11" ht="15" customHeight="1">
      <c r="A22" s="470" t="s">
        <v>281</v>
      </c>
      <c r="B22" s="474" t="s">
        <v>446</v>
      </c>
      <c r="C22" s="472">
        <v>12</v>
      </c>
      <c r="D22" s="473">
        <f t="shared" si="0"/>
        <v>29.19</v>
      </c>
      <c r="E22" s="390">
        <f t="shared" si="1"/>
        <v>7.3</v>
      </c>
      <c r="F22" s="390">
        <f t="shared" si="2"/>
        <v>36.49</v>
      </c>
      <c r="G22" s="473">
        <v>18.829999999999998</v>
      </c>
      <c r="H22" s="390">
        <f t="shared" si="3"/>
        <v>4.71</v>
      </c>
      <c r="I22" s="474">
        <f t="shared" si="4"/>
        <v>23.54</v>
      </c>
      <c r="K22" s="381"/>
    </row>
    <row r="23" spans="1:11" ht="15" customHeight="1">
      <c r="A23" s="470" t="s">
        <v>283</v>
      </c>
      <c r="B23" s="474" t="s">
        <v>446</v>
      </c>
      <c r="C23" s="472">
        <v>13</v>
      </c>
      <c r="D23" s="473">
        <f t="shared" si="0"/>
        <v>30.26</v>
      </c>
      <c r="E23" s="390">
        <f t="shared" si="1"/>
        <v>7.57</v>
      </c>
      <c r="F23" s="390">
        <f t="shared" si="2"/>
        <v>37.83</v>
      </c>
      <c r="G23" s="473">
        <v>19.52</v>
      </c>
      <c r="H23" s="390">
        <f t="shared" si="3"/>
        <v>4.88</v>
      </c>
      <c r="I23" s="474">
        <f t="shared" si="4"/>
        <v>24.4</v>
      </c>
      <c r="K23" s="381"/>
    </row>
    <row r="24" spans="1:11" ht="15" customHeight="1">
      <c r="A24" s="470" t="s">
        <v>290</v>
      </c>
      <c r="B24" s="474" t="s">
        <v>446</v>
      </c>
      <c r="C24" s="472">
        <v>14</v>
      </c>
      <c r="D24" s="473">
        <f t="shared" si="0"/>
        <v>31.47</v>
      </c>
      <c r="E24" s="390">
        <f t="shared" si="1"/>
        <v>7.87</v>
      </c>
      <c r="F24" s="390">
        <f t="shared" si="2"/>
        <v>39.339999999999996</v>
      </c>
      <c r="G24" s="473">
        <v>20.3</v>
      </c>
      <c r="H24" s="390">
        <f t="shared" si="3"/>
        <v>5.08</v>
      </c>
      <c r="I24" s="474">
        <f t="shared" si="4"/>
        <v>25.380000000000003</v>
      </c>
      <c r="K24" s="381"/>
    </row>
    <row r="25" spans="1:11" ht="15" customHeight="1">
      <c r="A25" s="470" t="s">
        <v>292</v>
      </c>
      <c r="B25" s="474" t="s">
        <v>446</v>
      </c>
      <c r="C25" s="472">
        <v>15</v>
      </c>
      <c r="D25" s="473">
        <f t="shared" si="0"/>
        <v>32.94</v>
      </c>
      <c r="E25" s="390">
        <f t="shared" si="1"/>
        <v>8.24</v>
      </c>
      <c r="F25" s="390">
        <f t="shared" si="2"/>
        <v>41.18</v>
      </c>
      <c r="G25" s="473">
        <v>21.25</v>
      </c>
      <c r="H25" s="390">
        <f t="shared" si="3"/>
        <v>5.31</v>
      </c>
      <c r="I25" s="474">
        <f t="shared" si="4"/>
        <v>26.56</v>
      </c>
      <c r="K25" s="381"/>
    </row>
    <row r="26" spans="1:11" ht="15" customHeight="1">
      <c r="A26" s="470" t="s">
        <v>293</v>
      </c>
      <c r="B26" s="474" t="s">
        <v>446</v>
      </c>
      <c r="C26" s="472">
        <v>16</v>
      </c>
      <c r="D26" s="473">
        <f t="shared" si="0"/>
        <v>34.01</v>
      </c>
      <c r="E26" s="390">
        <f t="shared" si="1"/>
        <v>8.5</v>
      </c>
      <c r="F26" s="390">
        <f t="shared" si="2"/>
        <v>42.51</v>
      </c>
      <c r="G26" s="473">
        <v>21.94</v>
      </c>
      <c r="H26" s="390">
        <f t="shared" si="3"/>
        <v>5.49</v>
      </c>
      <c r="I26" s="474">
        <f t="shared" si="4"/>
        <v>27.43</v>
      </c>
      <c r="K26" s="381"/>
    </row>
    <row r="27" spans="1:11" ht="15" customHeight="1">
      <c r="A27" s="470" t="s">
        <v>294</v>
      </c>
      <c r="B27" s="474" t="s">
        <v>446</v>
      </c>
      <c r="C27" s="472">
        <v>17</v>
      </c>
      <c r="D27" s="473">
        <f t="shared" si="0"/>
        <v>35.76</v>
      </c>
      <c r="E27" s="390">
        <f t="shared" si="1"/>
        <v>8.94</v>
      </c>
      <c r="F27" s="390">
        <f t="shared" si="2"/>
        <v>44.699999999999996</v>
      </c>
      <c r="G27" s="473">
        <v>23.07</v>
      </c>
      <c r="H27" s="390">
        <f t="shared" si="3"/>
        <v>5.77</v>
      </c>
      <c r="I27" s="474">
        <f t="shared" si="4"/>
        <v>28.84</v>
      </c>
      <c r="K27" s="381"/>
    </row>
    <row r="28" spans="1:11" ht="15" customHeight="1">
      <c r="A28" s="470" t="s">
        <v>295</v>
      </c>
      <c r="B28" s="474" t="s">
        <v>446</v>
      </c>
      <c r="C28" s="472">
        <v>18</v>
      </c>
      <c r="D28" s="473">
        <f t="shared" si="0"/>
        <v>37.200000000000003</v>
      </c>
      <c r="E28" s="390">
        <f t="shared" si="1"/>
        <v>9.3000000000000007</v>
      </c>
      <c r="F28" s="390">
        <f t="shared" si="2"/>
        <v>46.5</v>
      </c>
      <c r="G28" s="473">
        <v>24</v>
      </c>
      <c r="H28" s="390">
        <f t="shared" si="3"/>
        <v>6</v>
      </c>
      <c r="I28" s="474">
        <f t="shared" si="4"/>
        <v>30</v>
      </c>
      <c r="K28" s="381"/>
    </row>
    <row r="29" spans="1:11" ht="15" customHeight="1">
      <c r="A29" s="470" t="s">
        <v>296</v>
      </c>
      <c r="B29" s="474" t="s">
        <v>446</v>
      </c>
      <c r="C29" s="472">
        <v>19</v>
      </c>
      <c r="D29" s="473">
        <f t="shared" si="0"/>
        <v>38.729999999999997</v>
      </c>
      <c r="E29" s="390">
        <f t="shared" si="1"/>
        <v>9.68</v>
      </c>
      <c r="F29" s="390">
        <f t="shared" si="2"/>
        <v>48.41</v>
      </c>
      <c r="G29" s="473">
        <v>24.99</v>
      </c>
      <c r="H29" s="390">
        <f t="shared" si="3"/>
        <v>6.25</v>
      </c>
      <c r="I29" s="474">
        <f t="shared" si="4"/>
        <v>31.24</v>
      </c>
      <c r="K29" s="381"/>
    </row>
    <row r="30" spans="1:11" ht="15" customHeight="1">
      <c r="A30" s="470" t="s">
        <v>297</v>
      </c>
      <c r="B30" s="474" t="s">
        <v>446</v>
      </c>
      <c r="C30" s="472">
        <v>20</v>
      </c>
      <c r="D30" s="473">
        <f t="shared" si="0"/>
        <v>40.11</v>
      </c>
      <c r="E30" s="390">
        <f t="shared" si="1"/>
        <v>10.029999999999999</v>
      </c>
      <c r="F30" s="390">
        <f t="shared" si="2"/>
        <v>50.14</v>
      </c>
      <c r="G30" s="473">
        <v>25.88</v>
      </c>
      <c r="H30" s="390">
        <f t="shared" si="3"/>
        <v>6.47</v>
      </c>
      <c r="I30" s="474">
        <f t="shared" si="4"/>
        <v>32.35</v>
      </c>
      <c r="K30" s="381"/>
    </row>
    <row r="31" spans="1:11" ht="15" customHeight="1">
      <c r="A31" s="470" t="s">
        <v>299</v>
      </c>
      <c r="B31" s="474" t="s">
        <v>446</v>
      </c>
      <c r="C31" s="472">
        <v>21</v>
      </c>
      <c r="D31" s="473">
        <f t="shared" si="0"/>
        <v>41.54</v>
      </c>
      <c r="E31" s="390">
        <f t="shared" si="1"/>
        <v>10.39</v>
      </c>
      <c r="F31" s="390">
        <f t="shared" si="2"/>
        <v>51.93</v>
      </c>
      <c r="G31" s="473">
        <v>26.8</v>
      </c>
      <c r="H31" s="390">
        <f t="shared" si="3"/>
        <v>6.7</v>
      </c>
      <c r="I31" s="474">
        <f t="shared" si="4"/>
        <v>33.5</v>
      </c>
      <c r="K31" s="381"/>
    </row>
    <row r="32" spans="1:11" ht="15" customHeight="1">
      <c r="A32" s="470" t="s">
        <v>301</v>
      </c>
      <c r="B32" s="474" t="s">
        <v>446</v>
      </c>
      <c r="C32" s="472">
        <v>22</v>
      </c>
      <c r="D32" s="473">
        <f t="shared" si="0"/>
        <v>42.98</v>
      </c>
      <c r="E32" s="390">
        <f t="shared" si="1"/>
        <v>10.75</v>
      </c>
      <c r="F32" s="390">
        <f t="shared" si="2"/>
        <v>53.73</v>
      </c>
      <c r="G32" s="473">
        <v>27.73</v>
      </c>
      <c r="H32" s="390">
        <f t="shared" si="3"/>
        <v>6.93</v>
      </c>
      <c r="I32" s="474">
        <f t="shared" si="4"/>
        <v>34.659999999999997</v>
      </c>
      <c r="K32" s="381"/>
    </row>
    <row r="33" spans="1:11" ht="15" customHeight="1">
      <c r="A33" s="470" t="s">
        <v>303</v>
      </c>
      <c r="B33" s="474" t="s">
        <v>446</v>
      </c>
      <c r="C33" s="472">
        <v>23</v>
      </c>
      <c r="D33" s="473">
        <f t="shared" si="0"/>
        <v>44.28</v>
      </c>
      <c r="E33" s="390">
        <f t="shared" si="1"/>
        <v>11.07</v>
      </c>
      <c r="F33" s="390">
        <f t="shared" si="2"/>
        <v>55.35</v>
      </c>
      <c r="G33" s="473">
        <v>28.57</v>
      </c>
      <c r="H33" s="390">
        <f t="shared" si="3"/>
        <v>7.14</v>
      </c>
      <c r="I33" s="474">
        <f t="shared" si="4"/>
        <v>35.71</v>
      </c>
      <c r="K33" s="381"/>
    </row>
    <row r="34" spans="1:11" ht="15" customHeight="1">
      <c r="A34" s="470" t="s">
        <v>305</v>
      </c>
      <c r="B34" s="474" t="s">
        <v>446</v>
      </c>
      <c r="C34" s="472">
        <v>24</v>
      </c>
      <c r="D34" s="473">
        <f t="shared" si="0"/>
        <v>45.59</v>
      </c>
      <c r="E34" s="390">
        <f t="shared" si="1"/>
        <v>11.4</v>
      </c>
      <c r="F34" s="390">
        <f t="shared" si="2"/>
        <v>56.99</v>
      </c>
      <c r="G34" s="473">
        <v>29.41</v>
      </c>
      <c r="H34" s="390">
        <f t="shared" si="3"/>
        <v>7.35</v>
      </c>
      <c r="I34" s="474">
        <f t="shared" si="4"/>
        <v>36.76</v>
      </c>
      <c r="K34" s="381"/>
    </row>
    <row r="35" spans="1:11" ht="15" customHeight="1">
      <c r="A35" s="470" t="s">
        <v>307</v>
      </c>
      <c r="B35" s="474" t="s">
        <v>446</v>
      </c>
      <c r="C35" s="472">
        <v>25</v>
      </c>
      <c r="D35" s="473">
        <f t="shared" si="0"/>
        <v>46.79</v>
      </c>
      <c r="E35" s="390">
        <f t="shared" si="1"/>
        <v>11.7</v>
      </c>
      <c r="F35" s="390">
        <f t="shared" si="2"/>
        <v>58.489999999999995</v>
      </c>
      <c r="G35" s="473">
        <v>30.19</v>
      </c>
      <c r="H35" s="390">
        <f t="shared" si="3"/>
        <v>7.55</v>
      </c>
      <c r="I35" s="474">
        <f t="shared" si="4"/>
        <v>37.74</v>
      </c>
      <c r="K35" s="381"/>
    </row>
    <row r="36" spans="1:11" ht="15" customHeight="1">
      <c r="A36" s="470" t="s">
        <v>309</v>
      </c>
      <c r="B36" s="474" t="s">
        <v>446</v>
      </c>
      <c r="C36" s="472">
        <v>26</v>
      </c>
      <c r="D36" s="473">
        <f t="shared" si="0"/>
        <v>48.55</v>
      </c>
      <c r="E36" s="390">
        <f t="shared" si="1"/>
        <v>12.14</v>
      </c>
      <c r="F36" s="390">
        <f t="shared" si="2"/>
        <v>60.69</v>
      </c>
      <c r="G36" s="473">
        <v>31.32</v>
      </c>
      <c r="H36" s="390">
        <f t="shared" si="3"/>
        <v>7.83</v>
      </c>
      <c r="I36" s="474">
        <f t="shared" si="4"/>
        <v>39.15</v>
      </c>
      <c r="K36" s="381"/>
    </row>
    <row r="37" spans="1:11" ht="15" customHeight="1">
      <c r="A37" s="470" t="s">
        <v>311</v>
      </c>
      <c r="B37" s="474" t="s">
        <v>446</v>
      </c>
      <c r="C37" s="472">
        <v>27</v>
      </c>
      <c r="D37" s="473">
        <f t="shared" si="0"/>
        <v>50.08</v>
      </c>
      <c r="E37" s="390">
        <f t="shared" si="1"/>
        <v>12.52</v>
      </c>
      <c r="F37" s="390">
        <f t="shared" si="2"/>
        <v>62.599999999999994</v>
      </c>
      <c r="G37" s="473">
        <v>32.31</v>
      </c>
      <c r="H37" s="390">
        <f t="shared" si="3"/>
        <v>8.08</v>
      </c>
      <c r="I37" s="474">
        <f t="shared" si="4"/>
        <v>40.39</v>
      </c>
      <c r="K37" s="381"/>
    </row>
    <row r="38" spans="1:11" ht="15" customHeight="1">
      <c r="A38" s="470" t="s">
        <v>313</v>
      </c>
      <c r="B38" s="474" t="s">
        <v>446</v>
      </c>
      <c r="C38" s="472">
        <v>28</v>
      </c>
      <c r="D38" s="473">
        <f t="shared" si="0"/>
        <v>51.8</v>
      </c>
      <c r="E38" s="390">
        <f t="shared" si="1"/>
        <v>12.95</v>
      </c>
      <c r="F38" s="390">
        <f t="shared" si="2"/>
        <v>64.75</v>
      </c>
      <c r="G38" s="473">
        <v>33.42</v>
      </c>
      <c r="H38" s="390">
        <f t="shared" si="3"/>
        <v>8.36</v>
      </c>
      <c r="I38" s="474">
        <f t="shared" si="4"/>
        <v>41.78</v>
      </c>
      <c r="K38" s="381"/>
    </row>
    <row r="39" spans="1:11" ht="15" customHeight="1">
      <c r="A39" s="470" t="s">
        <v>315</v>
      </c>
      <c r="B39" s="474" t="s">
        <v>446</v>
      </c>
      <c r="C39" s="472">
        <v>29</v>
      </c>
      <c r="D39" s="473">
        <f t="shared" si="0"/>
        <v>53.35</v>
      </c>
      <c r="E39" s="390">
        <f t="shared" si="1"/>
        <v>13.34</v>
      </c>
      <c r="F39" s="390">
        <f t="shared" si="2"/>
        <v>66.69</v>
      </c>
      <c r="G39" s="473">
        <v>34.42</v>
      </c>
      <c r="H39" s="390">
        <f t="shared" si="3"/>
        <v>8.61</v>
      </c>
      <c r="I39" s="474">
        <f t="shared" si="4"/>
        <v>43.03</v>
      </c>
      <c r="K39" s="381"/>
    </row>
    <row r="40" spans="1:11" ht="15" customHeight="1">
      <c r="A40" s="470" t="s">
        <v>317</v>
      </c>
      <c r="B40" s="474" t="s">
        <v>446</v>
      </c>
      <c r="C40" s="472">
        <v>30</v>
      </c>
      <c r="D40" s="473">
        <f t="shared" si="0"/>
        <v>55.01</v>
      </c>
      <c r="E40" s="390">
        <f t="shared" si="1"/>
        <v>13.75</v>
      </c>
      <c r="F40" s="390">
        <f t="shared" si="2"/>
        <v>68.759999999999991</v>
      </c>
      <c r="G40" s="473">
        <v>35.49</v>
      </c>
      <c r="H40" s="390">
        <f t="shared" si="3"/>
        <v>8.8699999999999992</v>
      </c>
      <c r="I40" s="474">
        <f t="shared" si="4"/>
        <v>44.36</v>
      </c>
      <c r="K40" s="381"/>
    </row>
    <row r="41" spans="1:11" ht="15" customHeight="1">
      <c r="A41" s="470" t="s">
        <v>319</v>
      </c>
      <c r="B41" s="474" t="s">
        <v>446</v>
      </c>
      <c r="C41" s="472">
        <v>31</v>
      </c>
      <c r="D41" s="473">
        <f t="shared" si="0"/>
        <v>56.31</v>
      </c>
      <c r="E41" s="390">
        <f t="shared" si="1"/>
        <v>14.08</v>
      </c>
      <c r="F41" s="390">
        <f t="shared" si="2"/>
        <v>70.39</v>
      </c>
      <c r="G41" s="473">
        <v>36.33</v>
      </c>
      <c r="H41" s="390">
        <f t="shared" si="3"/>
        <v>9.08</v>
      </c>
      <c r="I41" s="474">
        <f t="shared" si="4"/>
        <v>45.41</v>
      </c>
      <c r="K41" s="381"/>
    </row>
    <row r="42" spans="1:11" ht="15" customHeight="1">
      <c r="A42" s="470" t="s">
        <v>321</v>
      </c>
      <c r="B42" s="474" t="s">
        <v>446</v>
      </c>
      <c r="C42" s="472">
        <v>32</v>
      </c>
      <c r="D42" s="473">
        <f t="shared" si="0"/>
        <v>57.64</v>
      </c>
      <c r="E42" s="390">
        <f t="shared" si="1"/>
        <v>14.41</v>
      </c>
      <c r="F42" s="390">
        <f t="shared" si="2"/>
        <v>72.05</v>
      </c>
      <c r="G42" s="473">
        <v>37.19</v>
      </c>
      <c r="H42" s="390">
        <f t="shared" si="3"/>
        <v>9.3000000000000007</v>
      </c>
      <c r="I42" s="474">
        <f t="shared" si="4"/>
        <v>46.489999999999995</v>
      </c>
      <c r="K42" s="381"/>
    </row>
    <row r="43" spans="1:11" ht="15" customHeight="1">
      <c r="A43" s="470" t="s">
        <v>323</v>
      </c>
      <c r="B43" s="474" t="s">
        <v>446</v>
      </c>
      <c r="C43" s="472">
        <v>33</v>
      </c>
      <c r="D43" s="473">
        <f t="shared" si="0"/>
        <v>59.06</v>
      </c>
      <c r="E43" s="390">
        <f t="shared" si="1"/>
        <v>14.77</v>
      </c>
      <c r="F43" s="390">
        <f t="shared" si="2"/>
        <v>73.83</v>
      </c>
      <c r="G43" s="473">
        <v>38.1</v>
      </c>
      <c r="H43" s="390">
        <f t="shared" si="3"/>
        <v>9.5299999999999994</v>
      </c>
      <c r="I43" s="474">
        <f t="shared" si="4"/>
        <v>47.63</v>
      </c>
      <c r="K43" s="381"/>
    </row>
    <row r="44" spans="1:11" ht="15" customHeight="1">
      <c r="A44" s="470" t="s">
        <v>325</v>
      </c>
      <c r="B44" s="474" t="s">
        <v>446</v>
      </c>
      <c r="C44" s="472">
        <v>34</v>
      </c>
      <c r="D44" s="473">
        <f t="shared" si="0"/>
        <v>60.23</v>
      </c>
      <c r="E44" s="390">
        <f t="shared" si="1"/>
        <v>15.06</v>
      </c>
      <c r="F44" s="390">
        <f t="shared" si="2"/>
        <v>75.289999999999992</v>
      </c>
      <c r="G44" s="473">
        <v>38.86</v>
      </c>
      <c r="H44" s="390">
        <f t="shared" si="3"/>
        <v>9.7200000000000006</v>
      </c>
      <c r="I44" s="474">
        <f t="shared" si="4"/>
        <v>48.58</v>
      </c>
      <c r="K44" s="381"/>
    </row>
    <row r="45" spans="1:11" ht="15" customHeight="1">
      <c r="A45" s="470" t="s">
        <v>327</v>
      </c>
      <c r="B45" s="474" t="s">
        <v>446</v>
      </c>
      <c r="C45" s="472">
        <v>35</v>
      </c>
      <c r="D45" s="473">
        <f t="shared" si="0"/>
        <v>61.57</v>
      </c>
      <c r="E45" s="390">
        <f t="shared" si="1"/>
        <v>15.39</v>
      </c>
      <c r="F45" s="390">
        <f t="shared" si="2"/>
        <v>76.960000000000008</v>
      </c>
      <c r="G45" s="473">
        <v>39.72</v>
      </c>
      <c r="H45" s="390">
        <f t="shared" si="3"/>
        <v>9.93</v>
      </c>
      <c r="I45" s="474">
        <f t="shared" si="4"/>
        <v>49.65</v>
      </c>
      <c r="K45" s="381"/>
    </row>
    <row r="46" spans="1:11" ht="15" customHeight="1">
      <c r="A46" s="470" t="s">
        <v>329</v>
      </c>
      <c r="B46" s="474" t="s">
        <v>446</v>
      </c>
      <c r="C46" s="472">
        <v>36</v>
      </c>
      <c r="D46" s="473">
        <f t="shared" si="0"/>
        <v>62.64</v>
      </c>
      <c r="E46" s="390">
        <f t="shared" si="1"/>
        <v>15.66</v>
      </c>
      <c r="F46" s="390">
        <f t="shared" si="2"/>
        <v>78.3</v>
      </c>
      <c r="G46" s="473">
        <v>40.409999999999997</v>
      </c>
      <c r="H46" s="390">
        <f t="shared" si="3"/>
        <v>10.1</v>
      </c>
      <c r="I46" s="474">
        <f t="shared" si="4"/>
        <v>50.51</v>
      </c>
      <c r="K46" s="381"/>
    </row>
    <row r="47" spans="1:11" ht="15" customHeight="1">
      <c r="A47" s="470" t="s">
        <v>331</v>
      </c>
      <c r="B47" s="474" t="s">
        <v>446</v>
      </c>
      <c r="C47" s="472">
        <v>37</v>
      </c>
      <c r="D47" s="473">
        <f t="shared" si="0"/>
        <v>63.86</v>
      </c>
      <c r="E47" s="390">
        <f t="shared" si="1"/>
        <v>15.97</v>
      </c>
      <c r="F47" s="390">
        <f t="shared" si="2"/>
        <v>79.83</v>
      </c>
      <c r="G47" s="473">
        <v>41.2</v>
      </c>
      <c r="H47" s="390">
        <f t="shared" si="3"/>
        <v>10.3</v>
      </c>
      <c r="I47" s="474">
        <f t="shared" si="4"/>
        <v>51.5</v>
      </c>
      <c r="K47" s="381"/>
    </row>
    <row r="48" spans="1:11" ht="15" customHeight="1">
      <c r="A48" s="470" t="s">
        <v>333</v>
      </c>
      <c r="B48" s="474" t="s">
        <v>446</v>
      </c>
      <c r="C48" s="472">
        <v>38</v>
      </c>
      <c r="D48" s="473">
        <f t="shared" si="0"/>
        <v>64.959999999999994</v>
      </c>
      <c r="E48" s="390">
        <f t="shared" si="1"/>
        <v>16.239999999999998</v>
      </c>
      <c r="F48" s="390">
        <f t="shared" si="2"/>
        <v>81.199999999999989</v>
      </c>
      <c r="G48" s="473">
        <v>41.91</v>
      </c>
      <c r="H48" s="390">
        <f t="shared" si="3"/>
        <v>10.48</v>
      </c>
      <c r="I48" s="474">
        <f t="shared" si="4"/>
        <v>52.39</v>
      </c>
      <c r="K48" s="381"/>
    </row>
    <row r="49" spans="1:11" ht="15" customHeight="1">
      <c r="A49" s="470" t="s">
        <v>335</v>
      </c>
      <c r="B49" s="474" t="s">
        <v>446</v>
      </c>
      <c r="C49" s="472">
        <v>39</v>
      </c>
      <c r="D49" s="473">
        <f t="shared" si="0"/>
        <v>66</v>
      </c>
      <c r="E49" s="390">
        <f t="shared" si="1"/>
        <v>16.5</v>
      </c>
      <c r="F49" s="390">
        <f t="shared" si="2"/>
        <v>82.5</v>
      </c>
      <c r="G49" s="473">
        <v>42.58</v>
      </c>
      <c r="H49" s="390">
        <f t="shared" si="3"/>
        <v>10.65</v>
      </c>
      <c r="I49" s="474">
        <f t="shared" si="4"/>
        <v>53.23</v>
      </c>
      <c r="K49" s="381"/>
    </row>
    <row r="50" spans="1:11" ht="15" customHeight="1">
      <c r="A50" s="470" t="s">
        <v>337</v>
      </c>
      <c r="B50" s="474" t="s">
        <v>446</v>
      </c>
      <c r="C50" s="472">
        <v>40</v>
      </c>
      <c r="D50" s="473">
        <f t="shared" si="0"/>
        <v>66.989999999999995</v>
      </c>
      <c r="E50" s="390">
        <f t="shared" si="1"/>
        <v>16.75</v>
      </c>
      <c r="F50" s="390">
        <f t="shared" si="2"/>
        <v>83.74</v>
      </c>
      <c r="G50" s="473">
        <v>43.22</v>
      </c>
      <c r="H50" s="390">
        <f t="shared" si="3"/>
        <v>10.81</v>
      </c>
      <c r="I50" s="474">
        <f t="shared" si="4"/>
        <v>54.03</v>
      </c>
      <c r="K50" s="381"/>
    </row>
    <row r="51" spans="1:11" ht="15" customHeight="1">
      <c r="A51" s="470" t="s">
        <v>339</v>
      </c>
      <c r="B51" s="474" t="s">
        <v>446</v>
      </c>
      <c r="C51" s="472">
        <v>41</v>
      </c>
      <c r="D51" s="473">
        <f t="shared" si="0"/>
        <v>67.739999999999995</v>
      </c>
      <c r="E51" s="390">
        <f t="shared" si="1"/>
        <v>16.940000000000001</v>
      </c>
      <c r="F51" s="390">
        <f t="shared" si="2"/>
        <v>84.679999999999993</v>
      </c>
      <c r="G51" s="473">
        <v>43.7</v>
      </c>
      <c r="H51" s="390">
        <f t="shared" si="3"/>
        <v>10.93</v>
      </c>
      <c r="I51" s="474">
        <f t="shared" si="4"/>
        <v>54.63</v>
      </c>
      <c r="K51" s="381"/>
    </row>
    <row r="52" spans="1:11" ht="15" customHeight="1">
      <c r="A52" s="470" t="s">
        <v>341</v>
      </c>
      <c r="B52" s="474" t="s">
        <v>446</v>
      </c>
      <c r="C52" s="472">
        <v>42</v>
      </c>
      <c r="D52" s="473">
        <f t="shared" si="0"/>
        <v>69.3</v>
      </c>
      <c r="E52" s="390">
        <f t="shared" si="1"/>
        <v>17.329999999999998</v>
      </c>
      <c r="F52" s="390">
        <f t="shared" si="2"/>
        <v>86.63</v>
      </c>
      <c r="G52" s="473">
        <v>44.71</v>
      </c>
      <c r="H52" s="390">
        <f t="shared" si="3"/>
        <v>11.18</v>
      </c>
      <c r="I52" s="390">
        <f t="shared" si="4"/>
        <v>55.89</v>
      </c>
      <c r="K52" s="381"/>
    </row>
    <row r="53" spans="1:11" ht="15" customHeight="1">
      <c r="A53" s="470" t="s">
        <v>343</v>
      </c>
      <c r="B53" s="474" t="s">
        <v>446</v>
      </c>
      <c r="C53" s="472">
        <v>43</v>
      </c>
      <c r="D53" s="473">
        <f t="shared" si="0"/>
        <v>70.42</v>
      </c>
      <c r="E53" s="390">
        <f t="shared" si="1"/>
        <v>17.61</v>
      </c>
      <c r="F53" s="390">
        <f t="shared" si="2"/>
        <v>88.03</v>
      </c>
      <c r="G53" s="473">
        <v>45.43</v>
      </c>
      <c r="H53" s="390">
        <f t="shared" si="3"/>
        <v>11.36</v>
      </c>
      <c r="I53" s="390">
        <f t="shared" si="4"/>
        <v>56.79</v>
      </c>
      <c r="K53" s="381"/>
    </row>
    <row r="54" spans="1:11" ht="15" customHeight="1">
      <c r="A54" s="470" t="s">
        <v>345</v>
      </c>
      <c r="B54" s="474" t="s">
        <v>446</v>
      </c>
      <c r="C54" s="472">
        <v>44</v>
      </c>
      <c r="D54" s="473">
        <f t="shared" si="0"/>
        <v>71.489999999999995</v>
      </c>
      <c r="E54" s="390">
        <f t="shared" si="1"/>
        <v>17.87</v>
      </c>
      <c r="F54" s="390">
        <f t="shared" si="2"/>
        <v>89.36</v>
      </c>
      <c r="G54" s="473">
        <v>46.12</v>
      </c>
      <c r="H54" s="390">
        <f t="shared" si="3"/>
        <v>11.53</v>
      </c>
      <c r="I54" s="390">
        <f t="shared" si="4"/>
        <v>57.65</v>
      </c>
      <c r="K54" s="381"/>
    </row>
    <row r="55" spans="1:11" ht="15" customHeight="1">
      <c r="A55" s="470" t="s">
        <v>347</v>
      </c>
      <c r="B55" s="474" t="s">
        <v>446</v>
      </c>
      <c r="C55" s="472">
        <v>45</v>
      </c>
      <c r="D55" s="473">
        <f t="shared" si="0"/>
        <v>72.8</v>
      </c>
      <c r="E55" s="390">
        <f t="shared" si="1"/>
        <v>18.2</v>
      </c>
      <c r="F55" s="390">
        <f t="shared" si="2"/>
        <v>91</v>
      </c>
      <c r="G55" s="473">
        <v>46.97</v>
      </c>
      <c r="H55" s="390">
        <f t="shared" si="3"/>
        <v>11.74</v>
      </c>
      <c r="I55" s="390">
        <f t="shared" si="4"/>
        <v>58.71</v>
      </c>
      <c r="K55" s="381"/>
    </row>
    <row r="56" spans="1:11" ht="15" customHeight="1">
      <c r="A56" s="470" t="s">
        <v>349</v>
      </c>
      <c r="B56" s="474" t="s">
        <v>446</v>
      </c>
      <c r="C56" s="472">
        <v>46</v>
      </c>
      <c r="D56" s="473">
        <f t="shared" si="0"/>
        <v>73.92</v>
      </c>
      <c r="E56" s="390">
        <f t="shared" si="1"/>
        <v>18.48</v>
      </c>
      <c r="F56" s="390">
        <f t="shared" si="2"/>
        <v>92.4</v>
      </c>
      <c r="G56" s="473">
        <v>47.69</v>
      </c>
      <c r="H56" s="390">
        <f t="shared" si="3"/>
        <v>11.92</v>
      </c>
      <c r="I56" s="390">
        <f t="shared" si="4"/>
        <v>59.61</v>
      </c>
      <c r="K56" s="381"/>
    </row>
    <row r="57" spans="1:11" ht="15" customHeight="1">
      <c r="A57" s="470" t="s">
        <v>351</v>
      </c>
      <c r="B57" s="474" t="s">
        <v>446</v>
      </c>
      <c r="C57" s="472">
        <v>47</v>
      </c>
      <c r="D57" s="473">
        <f t="shared" si="0"/>
        <v>75.22</v>
      </c>
      <c r="E57" s="390">
        <f t="shared" si="1"/>
        <v>18.809999999999999</v>
      </c>
      <c r="F57" s="390">
        <f t="shared" si="2"/>
        <v>94.03</v>
      </c>
      <c r="G57" s="473">
        <v>48.53</v>
      </c>
      <c r="H57" s="390">
        <f t="shared" si="3"/>
        <v>12.13</v>
      </c>
      <c r="I57" s="390">
        <f t="shared" si="4"/>
        <v>60.660000000000004</v>
      </c>
      <c r="K57" s="381"/>
    </row>
    <row r="58" spans="1:11" ht="15" customHeight="1">
      <c r="A58" s="470" t="s">
        <v>353</v>
      </c>
      <c r="B58" s="474" t="s">
        <v>446</v>
      </c>
      <c r="C58" s="472">
        <v>48</v>
      </c>
      <c r="D58" s="473">
        <f t="shared" si="0"/>
        <v>76.290000000000006</v>
      </c>
      <c r="E58" s="390">
        <f t="shared" si="1"/>
        <v>19.07</v>
      </c>
      <c r="F58" s="390">
        <f t="shared" si="2"/>
        <v>95.360000000000014</v>
      </c>
      <c r="G58" s="473">
        <v>49.22</v>
      </c>
      <c r="H58" s="390">
        <f t="shared" si="3"/>
        <v>12.31</v>
      </c>
      <c r="I58" s="390">
        <f t="shared" si="4"/>
        <v>61.53</v>
      </c>
      <c r="K58" s="381"/>
    </row>
    <row r="59" spans="1:11" ht="15" customHeight="1">
      <c r="A59" s="470" t="s">
        <v>354</v>
      </c>
      <c r="B59" s="474" t="s">
        <v>446</v>
      </c>
      <c r="C59" s="472">
        <v>49</v>
      </c>
      <c r="D59" s="473">
        <f t="shared" si="0"/>
        <v>77.3</v>
      </c>
      <c r="E59" s="390">
        <f t="shared" si="1"/>
        <v>19.329999999999998</v>
      </c>
      <c r="F59" s="390">
        <f t="shared" si="2"/>
        <v>96.63</v>
      </c>
      <c r="G59" s="473">
        <v>49.87</v>
      </c>
      <c r="H59" s="390">
        <f t="shared" si="3"/>
        <v>12.47</v>
      </c>
      <c r="I59" s="390">
        <f t="shared" si="4"/>
        <v>62.339999999999996</v>
      </c>
      <c r="K59" s="381"/>
    </row>
    <row r="60" spans="1:11" ht="15" customHeight="1">
      <c r="A60" s="470" t="s">
        <v>355</v>
      </c>
      <c r="B60" s="474" t="s">
        <v>446</v>
      </c>
      <c r="C60" s="472">
        <v>50</v>
      </c>
      <c r="D60" s="473">
        <f t="shared" si="0"/>
        <v>78.41</v>
      </c>
      <c r="E60" s="390">
        <f t="shared" si="1"/>
        <v>19.600000000000001</v>
      </c>
      <c r="F60" s="390">
        <f t="shared" si="2"/>
        <v>98.009999999999991</v>
      </c>
      <c r="G60" s="473">
        <v>50.59</v>
      </c>
      <c r="H60" s="390">
        <f t="shared" si="3"/>
        <v>12.65</v>
      </c>
      <c r="I60" s="390">
        <f t="shared" si="4"/>
        <v>63.24</v>
      </c>
      <c r="K60" s="381"/>
    </row>
    <row r="61" spans="1:11" ht="15" customHeight="1">
      <c r="A61" s="470" t="s">
        <v>357</v>
      </c>
      <c r="B61" s="474" t="s">
        <v>446</v>
      </c>
      <c r="C61" s="472">
        <v>55</v>
      </c>
      <c r="D61" s="473">
        <f t="shared" si="0"/>
        <v>83.84</v>
      </c>
      <c r="E61" s="390">
        <f t="shared" si="1"/>
        <v>20.96</v>
      </c>
      <c r="F61" s="390">
        <f t="shared" si="2"/>
        <v>104.80000000000001</v>
      </c>
      <c r="G61" s="473">
        <v>54.09</v>
      </c>
      <c r="H61" s="390">
        <f t="shared" si="3"/>
        <v>13.52</v>
      </c>
      <c r="I61" s="390">
        <f t="shared" si="4"/>
        <v>67.61</v>
      </c>
      <c r="K61" s="381"/>
    </row>
    <row r="62" spans="1:11" ht="15" customHeight="1">
      <c r="A62" s="470" t="s">
        <v>359</v>
      </c>
      <c r="B62" s="474" t="s">
        <v>446</v>
      </c>
      <c r="C62" s="472">
        <v>60</v>
      </c>
      <c r="D62" s="473">
        <f t="shared" si="0"/>
        <v>89.31</v>
      </c>
      <c r="E62" s="390">
        <f t="shared" si="1"/>
        <v>22.33</v>
      </c>
      <c r="F62" s="390">
        <f t="shared" si="2"/>
        <v>111.64</v>
      </c>
      <c r="G62" s="473">
        <v>57.62</v>
      </c>
      <c r="H62" s="390">
        <f t="shared" si="3"/>
        <v>14.41</v>
      </c>
      <c r="I62" s="474">
        <f t="shared" si="4"/>
        <v>72.03</v>
      </c>
      <c r="K62" s="381"/>
    </row>
    <row r="63" spans="1:11" ht="15" customHeight="1">
      <c r="A63" s="470" t="s">
        <v>361</v>
      </c>
      <c r="B63" s="474" t="s">
        <v>446</v>
      </c>
      <c r="C63" s="472">
        <v>65</v>
      </c>
      <c r="D63" s="473">
        <f t="shared" si="0"/>
        <v>94.27</v>
      </c>
      <c r="E63" s="390">
        <f t="shared" si="1"/>
        <v>23.57</v>
      </c>
      <c r="F63" s="390">
        <f t="shared" si="2"/>
        <v>117.84</v>
      </c>
      <c r="G63" s="473">
        <v>60.82</v>
      </c>
      <c r="H63" s="390">
        <f t="shared" si="3"/>
        <v>15.21</v>
      </c>
      <c r="I63" s="390">
        <f t="shared" si="4"/>
        <v>76.03</v>
      </c>
      <c r="K63" s="381"/>
    </row>
    <row r="64" spans="1:11" ht="15" customHeight="1">
      <c r="A64" s="470" t="s">
        <v>362</v>
      </c>
      <c r="B64" s="474" t="s">
        <v>446</v>
      </c>
      <c r="C64" s="472">
        <v>70</v>
      </c>
      <c r="D64" s="473">
        <f t="shared" si="0"/>
        <v>99.06</v>
      </c>
      <c r="E64" s="390">
        <f t="shared" si="1"/>
        <v>24.77</v>
      </c>
      <c r="F64" s="390">
        <f t="shared" si="2"/>
        <v>123.83</v>
      </c>
      <c r="G64" s="473">
        <v>63.91</v>
      </c>
      <c r="H64" s="390">
        <f t="shared" si="3"/>
        <v>15.98</v>
      </c>
      <c r="I64" s="474">
        <f t="shared" si="4"/>
        <v>79.89</v>
      </c>
      <c r="K64" s="381"/>
    </row>
    <row r="65" spans="1:11" ht="15" customHeight="1">
      <c r="A65" s="470" t="s">
        <v>363</v>
      </c>
      <c r="B65" s="474" t="s">
        <v>446</v>
      </c>
      <c r="C65" s="472">
        <v>75</v>
      </c>
      <c r="D65" s="473">
        <f t="shared" si="0"/>
        <v>103.88</v>
      </c>
      <c r="E65" s="390">
        <f t="shared" si="1"/>
        <v>25.97</v>
      </c>
      <c r="F65" s="390">
        <f t="shared" si="2"/>
        <v>129.85</v>
      </c>
      <c r="G65" s="473">
        <v>67.02</v>
      </c>
      <c r="H65" s="390">
        <f t="shared" si="3"/>
        <v>16.760000000000002</v>
      </c>
      <c r="I65" s="390">
        <f t="shared" si="4"/>
        <v>83.78</v>
      </c>
      <c r="K65" s="381"/>
    </row>
    <row r="66" spans="1:11" ht="15" customHeight="1">
      <c r="A66" s="470" t="s">
        <v>365</v>
      </c>
      <c r="B66" s="474" t="s">
        <v>446</v>
      </c>
      <c r="C66" s="472">
        <v>80</v>
      </c>
      <c r="D66" s="473">
        <f t="shared" si="0"/>
        <v>108.89</v>
      </c>
      <c r="E66" s="390">
        <f t="shared" si="1"/>
        <v>27.22</v>
      </c>
      <c r="F66" s="390">
        <f t="shared" si="2"/>
        <v>136.11000000000001</v>
      </c>
      <c r="G66" s="473">
        <v>70.25</v>
      </c>
      <c r="H66" s="390">
        <f t="shared" si="3"/>
        <v>17.559999999999999</v>
      </c>
      <c r="I66" s="390">
        <f t="shared" si="4"/>
        <v>87.81</v>
      </c>
      <c r="K66" s="381"/>
    </row>
    <row r="67" spans="1:11" ht="15" customHeight="1">
      <c r="A67" s="470" t="s">
        <v>367</v>
      </c>
      <c r="B67" s="474" t="s">
        <v>446</v>
      </c>
      <c r="C67" s="472">
        <v>85</v>
      </c>
      <c r="D67" s="473">
        <f t="shared" si="0"/>
        <v>113.69</v>
      </c>
      <c r="E67" s="390">
        <f t="shared" si="1"/>
        <v>28.42</v>
      </c>
      <c r="F67" s="390">
        <f t="shared" si="2"/>
        <v>142.11000000000001</v>
      </c>
      <c r="G67" s="473">
        <v>73.349999999999994</v>
      </c>
      <c r="H67" s="390">
        <f t="shared" si="3"/>
        <v>18.34</v>
      </c>
      <c r="I67" s="390">
        <f t="shared" si="4"/>
        <v>91.69</v>
      </c>
      <c r="K67" s="381"/>
    </row>
    <row r="68" spans="1:11" ht="15" customHeight="1">
      <c r="A68" s="470" t="s">
        <v>369</v>
      </c>
      <c r="B68" s="474" t="s">
        <v>446</v>
      </c>
      <c r="C68" s="472">
        <v>90</v>
      </c>
      <c r="D68" s="473">
        <f t="shared" si="0"/>
        <v>118.84</v>
      </c>
      <c r="E68" s="390">
        <f t="shared" si="1"/>
        <v>29.71</v>
      </c>
      <c r="F68" s="390">
        <f t="shared" si="2"/>
        <v>148.55000000000001</v>
      </c>
      <c r="G68" s="473">
        <v>76.67</v>
      </c>
      <c r="H68" s="390">
        <f t="shared" si="3"/>
        <v>19.170000000000002</v>
      </c>
      <c r="I68" s="390">
        <f t="shared" si="4"/>
        <v>95.84</v>
      </c>
      <c r="K68" s="381"/>
    </row>
    <row r="69" spans="1:11" ht="15" customHeight="1">
      <c r="A69" s="470" t="s">
        <v>371</v>
      </c>
      <c r="B69" s="474" t="s">
        <v>446</v>
      </c>
      <c r="C69" s="472">
        <v>95</v>
      </c>
      <c r="D69" s="473">
        <f t="shared" si="0"/>
        <v>123.77</v>
      </c>
      <c r="E69" s="390">
        <f t="shared" si="1"/>
        <v>30.94</v>
      </c>
      <c r="F69" s="390">
        <f t="shared" si="2"/>
        <v>154.71</v>
      </c>
      <c r="G69" s="473">
        <v>79.849999999999994</v>
      </c>
      <c r="H69" s="390">
        <f t="shared" si="3"/>
        <v>19.96</v>
      </c>
      <c r="I69" s="390">
        <f t="shared" si="4"/>
        <v>99.81</v>
      </c>
      <c r="K69" s="381"/>
    </row>
    <row r="70" spans="1:11" ht="15" customHeight="1">
      <c r="A70" s="470" t="s">
        <v>373</v>
      </c>
      <c r="B70" s="474" t="s">
        <v>446</v>
      </c>
      <c r="C70" s="472">
        <v>100</v>
      </c>
      <c r="D70" s="473">
        <f t="shared" si="0"/>
        <v>128.56</v>
      </c>
      <c r="E70" s="390">
        <f t="shared" si="1"/>
        <v>32.14</v>
      </c>
      <c r="F70" s="390">
        <f t="shared" si="2"/>
        <v>160.69999999999999</v>
      </c>
      <c r="G70" s="473">
        <v>82.94</v>
      </c>
      <c r="H70" s="390">
        <f t="shared" si="3"/>
        <v>20.74</v>
      </c>
      <c r="I70" s="390">
        <f t="shared" si="4"/>
        <v>103.67999999999999</v>
      </c>
      <c r="K70" s="381"/>
    </row>
    <row r="71" spans="1:11" ht="15" customHeight="1">
      <c r="A71" s="470" t="s">
        <v>375</v>
      </c>
      <c r="B71" s="474" t="s">
        <v>446</v>
      </c>
      <c r="C71" s="472">
        <v>105</v>
      </c>
      <c r="D71" s="473">
        <f t="shared" si="0"/>
        <v>133.72999999999999</v>
      </c>
      <c r="E71" s="390">
        <f t="shared" si="1"/>
        <v>33.43</v>
      </c>
      <c r="F71" s="390">
        <f t="shared" si="2"/>
        <v>167.16</v>
      </c>
      <c r="G71" s="473">
        <v>86.28</v>
      </c>
      <c r="H71" s="390">
        <f t="shared" si="3"/>
        <v>21.57</v>
      </c>
      <c r="I71" s="390">
        <f t="shared" si="4"/>
        <v>107.85</v>
      </c>
      <c r="K71" s="381"/>
    </row>
    <row r="72" spans="1:11" ht="15" customHeight="1">
      <c r="A72" s="470" t="s">
        <v>377</v>
      </c>
      <c r="B72" s="474" t="s">
        <v>446</v>
      </c>
      <c r="C72" s="472">
        <v>110</v>
      </c>
      <c r="D72" s="473">
        <f t="shared" si="0"/>
        <v>138.82</v>
      </c>
      <c r="E72" s="390">
        <f t="shared" si="1"/>
        <v>34.71</v>
      </c>
      <c r="F72" s="390">
        <f t="shared" si="2"/>
        <v>173.53</v>
      </c>
      <c r="G72" s="473">
        <v>89.56</v>
      </c>
      <c r="H72" s="390">
        <f t="shared" si="3"/>
        <v>22.39</v>
      </c>
      <c r="I72" s="390">
        <f t="shared" si="4"/>
        <v>111.95</v>
      </c>
      <c r="K72" s="381"/>
    </row>
    <row r="73" spans="1:11" ht="15" customHeight="1">
      <c r="A73" s="470" t="s">
        <v>380</v>
      </c>
      <c r="B73" s="474" t="s">
        <v>446</v>
      </c>
      <c r="C73" s="472">
        <v>115</v>
      </c>
      <c r="D73" s="473">
        <f t="shared" si="0"/>
        <v>143.79</v>
      </c>
      <c r="E73" s="390">
        <f t="shared" si="1"/>
        <v>35.950000000000003</v>
      </c>
      <c r="F73" s="390">
        <f t="shared" si="2"/>
        <v>179.74</v>
      </c>
      <c r="G73" s="473">
        <v>92.77</v>
      </c>
      <c r="H73" s="390">
        <f t="shared" si="3"/>
        <v>23.19</v>
      </c>
      <c r="I73" s="390">
        <f t="shared" si="4"/>
        <v>115.96</v>
      </c>
      <c r="K73" s="381"/>
    </row>
    <row r="74" spans="1:11" ht="15" customHeight="1">
      <c r="A74" s="470" t="s">
        <v>381</v>
      </c>
      <c r="B74" s="474" t="s">
        <v>446</v>
      </c>
      <c r="C74" s="472">
        <v>120</v>
      </c>
      <c r="D74" s="473">
        <f t="shared" si="0"/>
        <v>148.68</v>
      </c>
      <c r="E74" s="390">
        <f t="shared" si="1"/>
        <v>37.17</v>
      </c>
      <c r="F74" s="390">
        <f t="shared" si="2"/>
        <v>185.85000000000002</v>
      </c>
      <c r="G74" s="473">
        <v>95.92</v>
      </c>
      <c r="H74" s="390">
        <f t="shared" si="3"/>
        <v>23.98</v>
      </c>
      <c r="I74" s="390">
        <f t="shared" si="4"/>
        <v>119.9</v>
      </c>
      <c r="K74" s="381"/>
    </row>
    <row r="75" spans="1:11" ht="15" customHeight="1">
      <c r="A75" s="470" t="s">
        <v>383</v>
      </c>
      <c r="B75" s="474" t="s">
        <v>446</v>
      </c>
      <c r="C75" s="472">
        <v>125</v>
      </c>
      <c r="D75" s="473">
        <f t="shared" ref="D75:D90" si="5">ROUND(G75*1.55,2)</f>
        <v>153.44999999999999</v>
      </c>
      <c r="E75" s="390">
        <f t="shared" si="1"/>
        <v>38.36</v>
      </c>
      <c r="F75" s="390">
        <f t="shared" si="2"/>
        <v>191.81</v>
      </c>
      <c r="G75" s="473">
        <v>99</v>
      </c>
      <c r="H75" s="390">
        <f t="shared" si="3"/>
        <v>24.75</v>
      </c>
      <c r="I75" s="390">
        <f t="shared" si="4"/>
        <v>123.75</v>
      </c>
      <c r="K75" s="381"/>
    </row>
    <row r="76" spans="1:11" ht="15" customHeight="1">
      <c r="A76" s="470" t="s">
        <v>385</v>
      </c>
      <c r="B76" s="474" t="s">
        <v>446</v>
      </c>
      <c r="C76" s="472">
        <v>130</v>
      </c>
      <c r="D76" s="473">
        <f t="shared" si="5"/>
        <v>158.07</v>
      </c>
      <c r="E76" s="390">
        <f t="shared" ref="E76:E90" si="6">ROUND(D76*$F$6,2)</f>
        <v>39.520000000000003</v>
      </c>
      <c r="F76" s="390">
        <f t="shared" ref="F76:F90" si="7">D76+E76</f>
        <v>197.59</v>
      </c>
      <c r="G76" s="473">
        <v>101.98</v>
      </c>
      <c r="H76" s="390">
        <f t="shared" ref="H76:H90" si="8">ROUND(G76*$F$6,2)</f>
        <v>25.5</v>
      </c>
      <c r="I76" s="390">
        <f t="shared" ref="I76:I90" si="9">G76+H76</f>
        <v>127.48</v>
      </c>
      <c r="K76" s="381"/>
    </row>
    <row r="77" spans="1:11" ht="15" customHeight="1">
      <c r="A77" s="470" t="s">
        <v>387</v>
      </c>
      <c r="B77" s="474" t="s">
        <v>446</v>
      </c>
      <c r="C77" s="472">
        <v>135</v>
      </c>
      <c r="D77" s="473">
        <f t="shared" si="5"/>
        <v>162.56</v>
      </c>
      <c r="E77" s="390">
        <f t="shared" si="6"/>
        <v>40.64</v>
      </c>
      <c r="F77" s="390">
        <f t="shared" si="7"/>
        <v>203.2</v>
      </c>
      <c r="G77" s="473">
        <v>104.88</v>
      </c>
      <c r="H77" s="390">
        <f t="shared" si="8"/>
        <v>26.22</v>
      </c>
      <c r="I77" s="390">
        <f t="shared" si="9"/>
        <v>131.1</v>
      </c>
      <c r="K77" s="381"/>
    </row>
    <row r="78" spans="1:11" ht="15" customHeight="1">
      <c r="A78" s="470" t="s">
        <v>389</v>
      </c>
      <c r="B78" s="474" t="s">
        <v>446</v>
      </c>
      <c r="C78" s="472">
        <v>140</v>
      </c>
      <c r="D78" s="473">
        <f t="shared" si="5"/>
        <v>166.92</v>
      </c>
      <c r="E78" s="390">
        <f t="shared" si="6"/>
        <v>41.73</v>
      </c>
      <c r="F78" s="390">
        <f t="shared" si="7"/>
        <v>208.64999999999998</v>
      </c>
      <c r="G78" s="473">
        <v>107.69</v>
      </c>
      <c r="H78" s="390">
        <f t="shared" si="8"/>
        <v>26.92</v>
      </c>
      <c r="I78" s="390">
        <f t="shared" si="9"/>
        <v>134.61000000000001</v>
      </c>
      <c r="K78" s="381"/>
    </row>
    <row r="79" spans="1:11" ht="15" customHeight="1">
      <c r="A79" s="470" t="s">
        <v>391</v>
      </c>
      <c r="B79" s="474" t="s">
        <v>446</v>
      </c>
      <c r="C79" s="472">
        <v>145</v>
      </c>
      <c r="D79" s="473">
        <f t="shared" si="5"/>
        <v>171.14</v>
      </c>
      <c r="E79" s="390">
        <f t="shared" si="6"/>
        <v>42.79</v>
      </c>
      <c r="F79" s="390">
        <f t="shared" si="7"/>
        <v>213.92999999999998</v>
      </c>
      <c r="G79" s="473">
        <v>110.41</v>
      </c>
      <c r="H79" s="390">
        <f t="shared" si="8"/>
        <v>27.6</v>
      </c>
      <c r="I79" s="390">
        <f t="shared" si="9"/>
        <v>138.01</v>
      </c>
      <c r="K79" s="381"/>
    </row>
    <row r="80" spans="1:11" ht="15" customHeight="1">
      <c r="A80" s="470" t="s">
        <v>393</v>
      </c>
      <c r="B80" s="474" t="s">
        <v>446</v>
      </c>
      <c r="C80" s="472">
        <v>150</v>
      </c>
      <c r="D80" s="473">
        <f t="shared" si="5"/>
        <v>175.21</v>
      </c>
      <c r="E80" s="390">
        <f t="shared" si="6"/>
        <v>43.8</v>
      </c>
      <c r="F80" s="390">
        <f t="shared" si="7"/>
        <v>219.01</v>
      </c>
      <c r="G80" s="473">
        <v>113.04</v>
      </c>
      <c r="H80" s="390">
        <f t="shared" si="8"/>
        <v>28.26</v>
      </c>
      <c r="I80" s="390">
        <f t="shared" si="9"/>
        <v>141.30000000000001</v>
      </c>
      <c r="K80" s="381"/>
    </row>
    <row r="81" spans="1:11" ht="15" customHeight="1">
      <c r="A81" s="470" t="s">
        <v>395</v>
      </c>
      <c r="B81" s="474" t="s">
        <v>446</v>
      </c>
      <c r="C81" s="472">
        <v>155</v>
      </c>
      <c r="D81" s="473">
        <f t="shared" si="5"/>
        <v>179.16</v>
      </c>
      <c r="E81" s="390">
        <f t="shared" si="6"/>
        <v>44.79</v>
      </c>
      <c r="F81" s="390">
        <f t="shared" si="7"/>
        <v>223.95</v>
      </c>
      <c r="G81" s="473">
        <v>115.59</v>
      </c>
      <c r="H81" s="390">
        <f t="shared" si="8"/>
        <v>28.9</v>
      </c>
      <c r="I81" s="390">
        <f t="shared" si="9"/>
        <v>144.49</v>
      </c>
      <c r="K81" s="381"/>
    </row>
    <row r="82" spans="1:11" ht="15" customHeight="1">
      <c r="A82" s="470" t="s">
        <v>397</v>
      </c>
      <c r="B82" s="474" t="s">
        <v>446</v>
      </c>
      <c r="C82" s="472">
        <v>160</v>
      </c>
      <c r="D82" s="473">
        <f t="shared" si="5"/>
        <v>183.01</v>
      </c>
      <c r="E82" s="390">
        <f t="shared" si="6"/>
        <v>45.75</v>
      </c>
      <c r="F82" s="390">
        <f t="shared" si="7"/>
        <v>228.76</v>
      </c>
      <c r="G82" s="473">
        <v>118.07</v>
      </c>
      <c r="H82" s="390">
        <f t="shared" si="8"/>
        <v>29.52</v>
      </c>
      <c r="I82" s="390">
        <f t="shared" si="9"/>
        <v>147.59</v>
      </c>
      <c r="K82" s="381"/>
    </row>
    <row r="83" spans="1:11" ht="15" customHeight="1">
      <c r="A83" s="470" t="s">
        <v>399</v>
      </c>
      <c r="B83" s="474" t="s">
        <v>446</v>
      </c>
      <c r="C83" s="472">
        <v>165</v>
      </c>
      <c r="D83" s="473">
        <f t="shared" si="5"/>
        <v>186.67</v>
      </c>
      <c r="E83" s="390">
        <f t="shared" si="6"/>
        <v>46.67</v>
      </c>
      <c r="F83" s="390">
        <f t="shared" si="7"/>
        <v>233.33999999999997</v>
      </c>
      <c r="G83" s="473">
        <v>120.43</v>
      </c>
      <c r="H83" s="390">
        <f t="shared" si="8"/>
        <v>30.11</v>
      </c>
      <c r="I83" s="390">
        <f t="shared" si="9"/>
        <v>150.54000000000002</v>
      </c>
      <c r="K83" s="381"/>
    </row>
    <row r="84" spans="1:11" ht="15" customHeight="1">
      <c r="A84" s="470" t="s">
        <v>401</v>
      </c>
      <c r="B84" s="474" t="s">
        <v>446</v>
      </c>
      <c r="C84" s="472">
        <v>170</v>
      </c>
      <c r="D84" s="473">
        <f t="shared" si="5"/>
        <v>190.2</v>
      </c>
      <c r="E84" s="390">
        <f t="shared" si="6"/>
        <v>47.55</v>
      </c>
      <c r="F84" s="390">
        <f t="shared" si="7"/>
        <v>237.75</v>
      </c>
      <c r="G84" s="473">
        <v>122.71</v>
      </c>
      <c r="H84" s="390">
        <f t="shared" si="8"/>
        <v>30.68</v>
      </c>
      <c r="I84" s="390">
        <f t="shared" si="9"/>
        <v>153.38999999999999</v>
      </c>
      <c r="K84" s="381"/>
    </row>
    <row r="85" spans="1:11" ht="15" customHeight="1">
      <c r="A85" s="470" t="s">
        <v>403</v>
      </c>
      <c r="B85" s="474" t="s">
        <v>446</v>
      </c>
      <c r="C85" s="472">
        <v>175</v>
      </c>
      <c r="D85" s="473">
        <f t="shared" si="5"/>
        <v>193.64</v>
      </c>
      <c r="E85" s="390">
        <f t="shared" si="6"/>
        <v>48.41</v>
      </c>
      <c r="F85" s="390">
        <f t="shared" si="7"/>
        <v>242.04999999999998</v>
      </c>
      <c r="G85" s="473">
        <v>124.93</v>
      </c>
      <c r="H85" s="390">
        <f t="shared" si="8"/>
        <v>31.23</v>
      </c>
      <c r="I85" s="390">
        <f t="shared" si="9"/>
        <v>156.16</v>
      </c>
      <c r="K85" s="381"/>
    </row>
    <row r="86" spans="1:11" ht="15" customHeight="1">
      <c r="A86" s="470" t="s">
        <v>405</v>
      </c>
      <c r="B86" s="474" t="s">
        <v>446</v>
      </c>
      <c r="C86" s="472">
        <v>180</v>
      </c>
      <c r="D86" s="473">
        <f t="shared" si="5"/>
        <v>196.91</v>
      </c>
      <c r="E86" s="390">
        <f t="shared" si="6"/>
        <v>49.23</v>
      </c>
      <c r="F86" s="390">
        <f t="shared" si="7"/>
        <v>246.14</v>
      </c>
      <c r="G86" s="473">
        <v>127.04</v>
      </c>
      <c r="H86" s="390">
        <f t="shared" si="8"/>
        <v>31.76</v>
      </c>
      <c r="I86" s="390">
        <f t="shared" si="9"/>
        <v>158.80000000000001</v>
      </c>
      <c r="K86" s="381"/>
    </row>
    <row r="87" spans="1:11" ht="15" customHeight="1">
      <c r="A87" s="470" t="s">
        <v>406</v>
      </c>
      <c r="B87" s="474" t="s">
        <v>446</v>
      </c>
      <c r="C87" s="472">
        <v>185</v>
      </c>
      <c r="D87" s="473">
        <f t="shared" si="5"/>
        <v>200.06</v>
      </c>
      <c r="E87" s="390">
        <f t="shared" si="6"/>
        <v>50.02</v>
      </c>
      <c r="F87" s="390">
        <f t="shared" si="7"/>
        <v>250.08</v>
      </c>
      <c r="G87" s="473">
        <v>129.07</v>
      </c>
      <c r="H87" s="390">
        <f t="shared" si="8"/>
        <v>32.270000000000003</v>
      </c>
      <c r="I87" s="390">
        <f t="shared" si="9"/>
        <v>161.34</v>
      </c>
      <c r="K87" s="381"/>
    </row>
    <row r="88" spans="1:11" ht="15" customHeight="1">
      <c r="A88" s="470" t="s">
        <v>407</v>
      </c>
      <c r="B88" s="474" t="s">
        <v>446</v>
      </c>
      <c r="C88" s="472">
        <v>190</v>
      </c>
      <c r="D88" s="473">
        <f t="shared" si="5"/>
        <v>203.07</v>
      </c>
      <c r="E88" s="390">
        <f t="shared" si="6"/>
        <v>50.77</v>
      </c>
      <c r="F88" s="390">
        <f t="shared" si="7"/>
        <v>253.84</v>
      </c>
      <c r="G88" s="473">
        <v>131.01</v>
      </c>
      <c r="H88" s="390">
        <f t="shared" si="8"/>
        <v>32.75</v>
      </c>
      <c r="I88" s="390">
        <f t="shared" si="9"/>
        <v>163.76</v>
      </c>
      <c r="K88" s="381"/>
    </row>
    <row r="89" spans="1:11" ht="15" customHeight="1">
      <c r="A89" s="470" t="s">
        <v>409</v>
      </c>
      <c r="B89" s="474" t="s">
        <v>446</v>
      </c>
      <c r="C89" s="472">
        <v>195</v>
      </c>
      <c r="D89" s="473">
        <f t="shared" si="5"/>
        <v>205.93</v>
      </c>
      <c r="E89" s="390">
        <f t="shared" si="6"/>
        <v>51.48</v>
      </c>
      <c r="F89" s="390">
        <f t="shared" si="7"/>
        <v>257.41000000000003</v>
      </c>
      <c r="G89" s="473">
        <v>132.86000000000001</v>
      </c>
      <c r="H89" s="390">
        <f t="shared" si="8"/>
        <v>33.22</v>
      </c>
      <c r="I89" s="390">
        <f t="shared" si="9"/>
        <v>166.08</v>
      </c>
      <c r="K89" s="381"/>
    </row>
    <row r="90" spans="1:11" ht="15" customHeight="1">
      <c r="A90" s="470" t="s">
        <v>411</v>
      </c>
      <c r="B90" s="474" t="s">
        <v>446</v>
      </c>
      <c r="C90" s="472">
        <v>200</v>
      </c>
      <c r="D90" s="473">
        <f t="shared" si="5"/>
        <v>208.68</v>
      </c>
      <c r="E90" s="390">
        <f t="shared" si="6"/>
        <v>52.17</v>
      </c>
      <c r="F90" s="390">
        <f t="shared" si="7"/>
        <v>260.85000000000002</v>
      </c>
      <c r="G90" s="473">
        <v>134.63</v>
      </c>
      <c r="H90" s="390">
        <f t="shared" si="8"/>
        <v>33.659999999999997</v>
      </c>
      <c r="I90" s="390">
        <f t="shared" si="9"/>
        <v>168.29</v>
      </c>
      <c r="K90" s="381"/>
    </row>
  </sheetData>
  <sheetProtection selectLockedCells="1"/>
  <mergeCells count="6">
    <mergeCell ref="A4:I4"/>
    <mergeCell ref="A3:I3"/>
    <mergeCell ref="D8:F8"/>
    <mergeCell ref="G8:I8"/>
    <mergeCell ref="A8:A9"/>
    <mergeCell ref="B8:C9"/>
  </mergeCells>
  <phoneticPr fontId="44" type="noConversion"/>
  <pageMargins left="0.98425196850393704" right="0.39370078740157483" top="0.39370078740157483" bottom="0.39370078740157483" header="0.19685039370078741" footer="0.19685039370078741"/>
  <pageSetup paperSize="9" orientation="portrait" cellComments="asDisplayed" horizontalDpi="300" verticalDpi="300" r:id="rId1"/>
  <headerFooter alignWithMargins="0">
    <oddHeader>&amp;L&amp;8PERUŠIĆ d.o.o.&amp;C&amp;8CIJENIK PRIJEVOZA MATERIJALA 2021./.2022</oddHeader>
    <oddFooter>&amp;L&amp;8&amp;F</oddFooter>
  </headerFooter>
  <rowBreaks count="1" manualBreakCount="1">
    <brk id="90" max="8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4"/>
  </sheetPr>
  <dimension ref="A1:E50"/>
  <sheetViews>
    <sheetView view="pageLayout" zoomScaleNormal="70" workbookViewId="0">
      <selection activeCell="A27" sqref="A27"/>
    </sheetView>
  </sheetViews>
  <sheetFormatPr defaultColWidth="8.85546875" defaultRowHeight="15.75"/>
  <cols>
    <col min="1" max="1" width="19.28515625" style="156" customWidth="1"/>
    <col min="2" max="3" width="20.7109375" style="229" customWidth="1"/>
    <col min="4" max="4" width="4.7109375" style="229" customWidth="1"/>
    <col min="5" max="16384" width="8.85546875" style="223"/>
  </cols>
  <sheetData>
    <row r="1" spans="1:5" ht="15" customHeight="1">
      <c r="A1" s="221"/>
      <c r="B1" s="222"/>
      <c r="C1" s="222"/>
      <c r="D1" s="222"/>
    </row>
    <row r="2" spans="1:5" ht="15" customHeight="1">
      <c r="A2" s="221"/>
      <c r="B2" s="222"/>
      <c r="C2" s="222"/>
      <c r="D2" s="222"/>
    </row>
    <row r="3" spans="1:5" ht="15" customHeight="1">
      <c r="A3" s="832" t="s">
        <v>447</v>
      </c>
      <c r="B3" s="832"/>
      <c r="C3" s="832"/>
      <c r="D3" s="832"/>
    </row>
    <row r="4" spans="1:5" ht="15" customHeight="1">
      <c r="A4" s="221"/>
      <c r="B4" s="222"/>
      <c r="C4" s="222"/>
      <c r="D4" s="222"/>
    </row>
    <row r="5" spans="1:5" ht="15" customHeight="1" thickBot="1">
      <c r="A5" s="221"/>
      <c r="B5" s="222"/>
      <c r="C5" s="222"/>
      <c r="D5" s="222"/>
    </row>
    <row r="6" spans="1:5" ht="15" customHeight="1" thickBot="1">
      <c r="A6" s="224" t="s">
        <v>448</v>
      </c>
      <c r="B6" s="225">
        <v>7.5078139999999998</v>
      </c>
      <c r="C6" s="226" t="s">
        <v>449</v>
      </c>
      <c r="D6" s="227"/>
    </row>
    <row r="7" spans="1:5" ht="15" customHeight="1">
      <c r="A7" s="221"/>
      <c r="B7" s="222"/>
      <c r="C7" s="222"/>
      <c r="D7" s="222"/>
    </row>
    <row r="8" spans="1:5" ht="15" customHeight="1">
      <c r="A8" s="221"/>
      <c r="B8" s="228"/>
      <c r="C8" s="222"/>
      <c r="D8" s="222"/>
    </row>
    <row r="9" spans="1:5" ht="15" customHeight="1">
      <c r="A9" s="221" t="s">
        <v>450</v>
      </c>
      <c r="B9" s="228"/>
      <c r="C9" s="222"/>
      <c r="D9" s="222"/>
      <c r="E9" s="229"/>
    </row>
    <row r="10" spans="1:5" ht="15" customHeight="1">
      <c r="A10" s="221"/>
      <c r="B10" s="228"/>
      <c r="C10" s="222"/>
      <c r="D10" s="222"/>
    </row>
    <row r="11" spans="1:5" ht="15" customHeight="1" thickBot="1">
      <c r="A11" s="221"/>
      <c r="B11" s="228"/>
      <c r="C11" s="222"/>
      <c r="D11" s="222"/>
    </row>
    <row r="12" spans="1:5" ht="15" customHeight="1" thickBot="1">
      <c r="A12" s="224" t="s">
        <v>269</v>
      </c>
      <c r="B12" s="230">
        <v>0.25</v>
      </c>
      <c r="C12" s="231"/>
      <c r="D12" s="232"/>
    </row>
    <row r="13" spans="1:5" ht="15" customHeight="1">
      <c r="A13" s="221"/>
      <c r="B13" s="228"/>
      <c r="C13" s="222"/>
      <c r="D13" s="222"/>
    </row>
    <row r="14" spans="1:5" ht="15" customHeight="1">
      <c r="A14" s="221"/>
      <c r="B14" s="228"/>
      <c r="C14" s="222"/>
      <c r="D14" s="222"/>
    </row>
    <row r="15" spans="1:5" ht="15" customHeight="1">
      <c r="A15" s="221" t="s">
        <v>451</v>
      </c>
      <c r="B15" s="228"/>
      <c r="C15" s="222"/>
      <c r="D15" s="222"/>
    </row>
    <row r="16" spans="1:5" ht="15" customHeight="1">
      <c r="A16" s="221"/>
      <c r="B16" s="228"/>
      <c r="C16" s="222"/>
      <c r="D16" s="222"/>
    </row>
    <row r="17" spans="1:4" ht="15" customHeight="1" thickBot="1">
      <c r="A17" s="221"/>
      <c r="B17" s="228"/>
      <c r="C17" s="222"/>
      <c r="D17" s="222"/>
    </row>
    <row r="18" spans="1:4" ht="30" customHeight="1" thickBot="1">
      <c r="A18" s="233"/>
      <c r="B18" s="234" t="s">
        <v>445</v>
      </c>
      <c r="C18" s="235" t="s">
        <v>443</v>
      </c>
      <c r="D18" s="231"/>
    </row>
    <row r="19" spans="1:4" ht="15" customHeight="1">
      <c r="A19" s="236" t="s">
        <v>452</v>
      </c>
      <c r="B19" s="237">
        <v>11.2</v>
      </c>
      <c r="C19" s="238">
        <f>B19/1.25</f>
        <v>8.9599999999999991</v>
      </c>
      <c r="D19" s="231"/>
    </row>
    <row r="20" spans="1:4" ht="15" customHeight="1" thickBot="1">
      <c r="A20" s="239" t="s">
        <v>453</v>
      </c>
      <c r="B20" s="240">
        <v>11.2</v>
      </c>
      <c r="C20" s="241">
        <f>B20/1.25</f>
        <v>8.9599999999999991</v>
      </c>
      <c r="D20" s="231"/>
    </row>
    <row r="21" spans="1:4" ht="15" customHeight="1">
      <c r="A21" s="221"/>
      <c r="B21" s="231"/>
      <c r="C21" s="242"/>
      <c r="D21" s="242"/>
    </row>
    <row r="22" spans="1:4">
      <c r="A22" s="223"/>
      <c r="B22" s="223"/>
      <c r="C22" s="223"/>
      <c r="D22" s="243"/>
    </row>
    <row r="23" spans="1:4" ht="15">
      <c r="A23" s="223"/>
      <c r="B23" s="223"/>
      <c r="C23" s="223"/>
    </row>
    <row r="24" spans="1:4" ht="15">
      <c r="A24" s="223"/>
      <c r="B24" s="223"/>
      <c r="C24" s="223"/>
    </row>
    <row r="25" spans="1:4" ht="15">
      <c r="A25" s="223"/>
      <c r="B25" s="223"/>
      <c r="C25" s="223"/>
    </row>
    <row r="26" spans="1:4" ht="15">
      <c r="A26" s="223"/>
      <c r="B26" s="223"/>
      <c r="C26" s="223"/>
    </row>
    <row r="27" spans="1:4" ht="15">
      <c r="A27" s="223"/>
      <c r="B27" s="223"/>
      <c r="C27" s="223"/>
    </row>
    <row r="28" spans="1:4" ht="15">
      <c r="A28" s="223"/>
      <c r="B28" s="223"/>
      <c r="C28" s="223"/>
    </row>
    <row r="29" spans="1:4" ht="15">
      <c r="A29" s="223"/>
      <c r="B29" s="223"/>
      <c r="C29" s="223"/>
    </row>
    <row r="30" spans="1:4" ht="15">
      <c r="A30" s="223"/>
      <c r="B30" s="223"/>
      <c r="C30" s="223"/>
    </row>
    <row r="31" spans="1:4" ht="15">
      <c r="A31" s="223"/>
      <c r="B31" s="223"/>
      <c r="C31" s="223"/>
    </row>
    <row r="32" spans="1:4" ht="15">
      <c r="A32" s="223"/>
      <c r="B32" s="223"/>
      <c r="C32" s="223"/>
    </row>
    <row r="33" spans="1:4" ht="15">
      <c r="A33" s="223"/>
      <c r="B33" s="223"/>
      <c r="C33" s="223"/>
    </row>
    <row r="34" spans="1:4" ht="15">
      <c r="A34" s="223"/>
      <c r="B34" s="223"/>
      <c r="C34" s="223"/>
    </row>
    <row r="35" spans="1:4" ht="15">
      <c r="A35" s="223"/>
      <c r="B35" s="223"/>
      <c r="C35" s="223"/>
    </row>
    <row r="36" spans="1:4" ht="15">
      <c r="A36" s="223"/>
      <c r="B36" s="223"/>
      <c r="C36" s="223"/>
    </row>
    <row r="37" spans="1:4" ht="15">
      <c r="A37" s="223"/>
      <c r="B37" s="223"/>
      <c r="C37" s="223"/>
    </row>
    <row r="38" spans="1:4" ht="12.75">
      <c r="A38" s="223"/>
      <c r="B38" s="223"/>
      <c r="C38" s="223"/>
      <c r="D38" s="244"/>
    </row>
    <row r="39" spans="1:4" ht="12.75">
      <c r="A39" s="244"/>
      <c r="B39" s="223"/>
      <c r="C39" s="244"/>
      <c r="D39" s="244"/>
    </row>
    <row r="40" spans="1:4" ht="12.75">
      <c r="A40" s="245"/>
      <c r="B40" s="223"/>
      <c r="C40" s="246"/>
      <c r="D40" s="246"/>
    </row>
    <row r="41" spans="1:4">
      <c r="B41" s="223"/>
    </row>
    <row r="42" spans="1:4">
      <c r="B42" s="223"/>
    </row>
    <row r="43" spans="1:4">
      <c r="B43" s="223"/>
    </row>
    <row r="44" spans="1:4">
      <c r="B44" s="223"/>
    </row>
    <row r="45" spans="1:4">
      <c r="B45" s="223"/>
    </row>
    <row r="46" spans="1:4">
      <c r="B46" s="223"/>
    </row>
    <row r="47" spans="1:4">
      <c r="B47" s="223"/>
    </row>
    <row r="48" spans="1:4">
      <c r="B48" s="223"/>
    </row>
    <row r="49" spans="2:2">
      <c r="B49" s="223"/>
    </row>
    <row r="50" spans="2:2">
      <c r="B50" s="223"/>
    </row>
  </sheetData>
  <sheetProtection selectLockedCells="1"/>
  <mergeCells count="1">
    <mergeCell ref="A3:D3"/>
  </mergeCells>
  <phoneticPr fontId="44" type="noConversion"/>
  <pageMargins left="0.98425196850393704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Header>&amp;L&amp;8PERUŠIĆ d.o..o.&amp;C&amp;8STANDARD REDOVNOG ODRŽAVANJA OBJEKATA
 U VLASNIŠTVU I SUVLASNIŠTVU OPĆINE PERUŠIĆ</oddHeader>
    <oddFooter>&amp;L&amp;8&amp;F&amp;R&amp;8&amp;P /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4"/>
  </sheetPr>
  <dimension ref="A1:J85"/>
  <sheetViews>
    <sheetView topLeftCell="A66" zoomScale="85" zoomScaleNormal="70" workbookViewId="0">
      <selection activeCell="B81" sqref="B81"/>
    </sheetView>
  </sheetViews>
  <sheetFormatPr defaultRowHeight="15.75"/>
  <cols>
    <col min="1" max="1" width="6.7109375" style="247" customWidth="1"/>
    <col min="2" max="2" width="60.7109375" style="247" customWidth="1"/>
    <col min="3" max="8" width="15.7109375" style="247" customWidth="1"/>
    <col min="9" max="10" width="14.7109375" style="248" customWidth="1"/>
    <col min="11" max="16384" width="9.140625" style="247"/>
  </cols>
  <sheetData>
    <row r="1" spans="1:10" ht="4.9000000000000004" customHeight="1"/>
    <row r="2" spans="1:10" ht="4.9000000000000004" customHeight="1"/>
    <row r="3" spans="1:10" ht="15">
      <c r="A3" s="837" t="s">
        <v>454</v>
      </c>
      <c r="B3" s="837"/>
      <c r="C3" s="837"/>
      <c r="D3" s="837"/>
      <c r="E3" s="837"/>
      <c r="F3" s="837"/>
      <c r="G3" s="837"/>
      <c r="H3" s="837"/>
      <c r="I3" s="837"/>
      <c r="J3" s="837"/>
    </row>
    <row r="4" spans="1:10" thickBot="1">
      <c r="I4" s="249"/>
      <c r="J4" s="249"/>
    </row>
    <row r="5" spans="1:10" s="250" customFormat="1" ht="19.899999999999999" customHeight="1">
      <c r="A5" s="845" t="s">
        <v>272</v>
      </c>
      <c r="B5" s="838" t="s">
        <v>455</v>
      </c>
      <c r="C5" s="842" t="s">
        <v>456</v>
      </c>
      <c r="D5" s="843"/>
      <c r="E5" s="843"/>
      <c r="F5" s="843"/>
      <c r="G5" s="843"/>
      <c r="H5" s="844"/>
      <c r="I5" s="840" t="s">
        <v>457</v>
      </c>
      <c r="J5" s="840" t="s">
        <v>458</v>
      </c>
    </row>
    <row r="6" spans="1:10" s="254" customFormat="1" ht="30" customHeight="1" thickBot="1">
      <c r="A6" s="846"/>
      <c r="B6" s="839"/>
      <c r="C6" s="251" t="s">
        <v>459</v>
      </c>
      <c r="D6" s="252" t="s">
        <v>460</v>
      </c>
      <c r="E6" s="252" t="s">
        <v>461</v>
      </c>
      <c r="F6" s="252" t="s">
        <v>462</v>
      </c>
      <c r="G6" s="252" t="s">
        <v>463</v>
      </c>
      <c r="H6" s="253" t="s">
        <v>464</v>
      </c>
      <c r="I6" s="841"/>
      <c r="J6" s="841"/>
    </row>
    <row r="7" spans="1:10" ht="15">
      <c r="A7" s="255" t="s">
        <v>13</v>
      </c>
      <c r="B7" s="256" t="s">
        <v>127</v>
      </c>
      <c r="C7" s="257">
        <v>65000</v>
      </c>
      <c r="D7" s="258">
        <v>110000</v>
      </c>
      <c r="E7" s="258">
        <v>131884.78</v>
      </c>
      <c r="F7" s="258">
        <v>165000</v>
      </c>
      <c r="G7" s="258">
        <v>116239.2</v>
      </c>
      <c r="H7" s="259">
        <v>79000</v>
      </c>
      <c r="I7" s="260">
        <f>ROUND(((SUM(C7:H7)-MIN(C7:H7)-MAX(C7:H7))/(COUNT(C7:H7)-2)),2)</f>
        <v>109281</v>
      </c>
      <c r="J7" s="260">
        <f>ROUND(((SUM(C7:H7)-MIN(C7:H7)-MAX(C7:H7))/(COUNT(C7:H7)-2))/'Devizni tecaj, porez i gorivo'!$B$6,2)</f>
        <v>14555.63</v>
      </c>
    </row>
    <row r="8" spans="1:10" ht="15">
      <c r="A8" s="261" t="s">
        <v>17</v>
      </c>
      <c r="B8" s="262" t="s">
        <v>465</v>
      </c>
      <c r="C8" s="263"/>
      <c r="D8" s="264">
        <v>89000</v>
      </c>
      <c r="E8" s="264">
        <v>160000</v>
      </c>
      <c r="F8" s="264">
        <v>165000</v>
      </c>
      <c r="G8" s="264">
        <v>94350</v>
      </c>
      <c r="H8" s="265"/>
      <c r="I8" s="266">
        <f t="shared" ref="I8:I65" si="0">ROUND(((SUM(C8:H8)-MIN(C8:H8)-MAX(C8:H8))/(COUNT(C8:H8)-2)),2)</f>
        <v>127175</v>
      </c>
      <c r="J8" s="266">
        <f>ROUND(((SUM(C8:H8)-MIN(C8:H8)-MAX(C8:H8))/(COUNT(C8:H8)-2))/'Devizni tecaj, porez i gorivo'!$B$6,2)</f>
        <v>16939.02</v>
      </c>
    </row>
    <row r="9" spans="1:10" ht="15">
      <c r="A9" s="261" t="s">
        <v>68</v>
      </c>
      <c r="B9" s="262" t="s">
        <v>466</v>
      </c>
      <c r="C9" s="263"/>
      <c r="D9" s="264">
        <v>189000</v>
      </c>
      <c r="E9" s="264"/>
      <c r="F9" s="264">
        <v>175000</v>
      </c>
      <c r="G9" s="264">
        <v>200022</v>
      </c>
      <c r="H9" s="265"/>
      <c r="I9" s="266">
        <f t="shared" si="0"/>
        <v>189000</v>
      </c>
      <c r="J9" s="266">
        <f>ROUND(((SUM(C9:H9)-MIN(C9:H9)-MAX(C9:H9))/(COUNT(C9:H9)-2))/'Devizni tecaj, porez i gorivo'!$B$6,2)</f>
        <v>25173.77</v>
      </c>
    </row>
    <row r="10" spans="1:10" ht="15">
      <c r="A10" s="261" t="s">
        <v>77</v>
      </c>
      <c r="B10" s="262" t="s">
        <v>467</v>
      </c>
      <c r="C10" s="267">
        <v>905000</v>
      </c>
      <c r="D10" s="264">
        <v>1147500</v>
      </c>
      <c r="E10" s="264">
        <v>943238</v>
      </c>
      <c r="F10" s="264">
        <v>900000</v>
      </c>
      <c r="G10" s="264">
        <v>596292</v>
      </c>
      <c r="H10" s="265"/>
      <c r="I10" s="266">
        <f t="shared" si="0"/>
        <v>916079.33</v>
      </c>
      <c r="J10" s="266">
        <f>ROUND(((SUM(C10:H10)-MIN(C10:H10)-MAX(C10:H10))/(COUNT(C10:H10)-2))/'Devizni tecaj, porez i gorivo'!$B$6,2)</f>
        <v>122016.79</v>
      </c>
    </row>
    <row r="11" spans="1:10" ht="15">
      <c r="A11" s="261" t="s">
        <v>87</v>
      </c>
      <c r="B11" s="262" t="s">
        <v>131</v>
      </c>
      <c r="C11" s="267"/>
      <c r="D11" s="264">
        <v>650250</v>
      </c>
      <c r="E11" s="264">
        <v>700000</v>
      </c>
      <c r="F11" s="264">
        <v>750000</v>
      </c>
      <c r="G11" s="264">
        <v>576667.19999999995</v>
      </c>
      <c r="H11" s="265"/>
      <c r="I11" s="266">
        <f t="shared" si="0"/>
        <v>675125</v>
      </c>
      <c r="J11" s="266">
        <f>ROUND(((SUM(C11:H11)-MIN(C11:H11)-MAX(C11:H11))/(COUNT(C11:H11)-2))/'Devizni tecaj, porez i gorivo'!$B$6,2)</f>
        <v>89922.98</v>
      </c>
    </row>
    <row r="12" spans="1:10" ht="15">
      <c r="A12" s="261" t="s">
        <v>92</v>
      </c>
      <c r="B12" s="262" t="s">
        <v>468</v>
      </c>
      <c r="C12" s="267">
        <v>1080000</v>
      </c>
      <c r="D12" s="264">
        <v>803250</v>
      </c>
      <c r="E12" s="264">
        <v>1003486.5</v>
      </c>
      <c r="F12" s="264">
        <v>750000</v>
      </c>
      <c r="G12" s="264">
        <v>1000000</v>
      </c>
      <c r="H12" s="265"/>
      <c r="I12" s="266">
        <f t="shared" si="0"/>
        <v>935578.83</v>
      </c>
      <c r="J12" s="266">
        <f>ROUND(((SUM(C12:H12)-MIN(C12:H12)-MAX(C12:H12))/(COUNT(C12:H12)-2))/'Devizni tecaj, porez i gorivo'!$B$6,2)</f>
        <v>124614.01</v>
      </c>
    </row>
    <row r="13" spans="1:10" ht="15">
      <c r="A13" s="261" t="s">
        <v>96</v>
      </c>
      <c r="B13" s="262" t="s">
        <v>129</v>
      </c>
      <c r="C13" s="267">
        <v>560000</v>
      </c>
      <c r="D13" s="264">
        <v>459000</v>
      </c>
      <c r="E13" s="264">
        <v>453115.5</v>
      </c>
      <c r="F13" s="264">
        <v>446000</v>
      </c>
      <c r="G13" s="264">
        <v>343434</v>
      </c>
      <c r="H13" s="265">
        <v>490000</v>
      </c>
      <c r="I13" s="266">
        <f t="shared" si="0"/>
        <v>462028.88</v>
      </c>
      <c r="J13" s="266">
        <f>ROUND(((SUM(C13:H13)-MIN(C13:H13)-MAX(C13:H13))/(COUNT(C13:H13)-2))/'Devizni tecaj, porez i gorivo'!$B$6,2)</f>
        <v>61539.73</v>
      </c>
    </row>
    <row r="14" spans="1:10" ht="15">
      <c r="A14" s="261" t="s">
        <v>104</v>
      </c>
      <c r="B14" s="262" t="s">
        <v>218</v>
      </c>
      <c r="C14" s="267">
        <v>70000</v>
      </c>
      <c r="D14" s="264">
        <v>70000</v>
      </c>
      <c r="E14" s="264">
        <v>75000</v>
      </c>
      <c r="F14" s="264">
        <v>100600</v>
      </c>
      <c r="G14" s="264">
        <v>75480</v>
      </c>
      <c r="H14" s="265"/>
      <c r="I14" s="266">
        <f t="shared" si="0"/>
        <v>73493.33</v>
      </c>
      <c r="J14" s="266">
        <f>ROUND(((SUM(C14:H14)-MIN(C14:H14)-MAX(C14:H14))/(COUNT(C14:H14)-2))/'Devizni tecaj, porez i gorivo'!$B$6,2)</f>
        <v>9788.91</v>
      </c>
    </row>
    <row r="15" spans="1:10" ht="15">
      <c r="A15" s="261" t="s">
        <v>108</v>
      </c>
      <c r="B15" s="262" t="s">
        <v>469</v>
      </c>
      <c r="C15" s="267">
        <v>135000</v>
      </c>
      <c r="D15" s="264">
        <v>160650</v>
      </c>
      <c r="E15" s="264">
        <v>136800</v>
      </c>
      <c r="F15" s="264">
        <v>163000</v>
      </c>
      <c r="G15" s="264">
        <v>124542</v>
      </c>
      <c r="H15" s="265"/>
      <c r="I15" s="266">
        <f t="shared" si="0"/>
        <v>144150</v>
      </c>
      <c r="J15" s="266">
        <f>ROUND(((SUM(C15:H15)-MIN(C15:H15)-MAX(C15:H15))/(COUNT(C15:H15)-2))/'Devizni tecaj, porez i gorivo'!$B$6,2)</f>
        <v>19200</v>
      </c>
    </row>
    <row r="16" spans="1:10" ht="15">
      <c r="A16" s="261" t="s">
        <v>112</v>
      </c>
      <c r="B16" s="262" t="s">
        <v>470</v>
      </c>
      <c r="C16" s="263">
        <v>141000</v>
      </c>
      <c r="D16" s="264">
        <v>237150</v>
      </c>
      <c r="E16" s="264">
        <v>174800</v>
      </c>
      <c r="F16" s="264">
        <v>350000</v>
      </c>
      <c r="G16" s="264">
        <v>184926</v>
      </c>
      <c r="H16" s="265">
        <v>310000</v>
      </c>
      <c r="I16" s="266">
        <f t="shared" si="0"/>
        <v>226719</v>
      </c>
      <c r="J16" s="266">
        <f>ROUND(((SUM(C16:H16)-MIN(C16:H16)-MAX(C16:H16))/(COUNT(C16:H16)-2))/'Devizni tecaj, porez i gorivo'!$B$6,2)</f>
        <v>30197.74</v>
      </c>
    </row>
    <row r="17" spans="1:10" ht="15">
      <c r="A17" s="261" t="s">
        <v>117</v>
      </c>
      <c r="B17" s="262" t="s">
        <v>471</v>
      </c>
      <c r="C17" s="267">
        <v>671000</v>
      </c>
      <c r="D17" s="264">
        <v>428400</v>
      </c>
      <c r="E17" s="264">
        <v>403400</v>
      </c>
      <c r="F17" s="264">
        <v>480000</v>
      </c>
      <c r="G17" s="264">
        <v>531000</v>
      </c>
      <c r="H17" s="265">
        <v>440000</v>
      </c>
      <c r="I17" s="266">
        <f t="shared" si="0"/>
        <v>469850</v>
      </c>
      <c r="J17" s="266">
        <f>ROUND(((SUM(C17:H17)-MIN(C17:H17)-MAX(C17:H17))/(COUNT(C17:H17)-2))/'Devizni tecaj, porez i gorivo'!$B$6,2)</f>
        <v>62581.47</v>
      </c>
    </row>
    <row r="18" spans="1:10" ht="15">
      <c r="A18" s="261" t="s">
        <v>279</v>
      </c>
      <c r="B18" s="262" t="s">
        <v>472</v>
      </c>
      <c r="C18" s="263">
        <v>18200</v>
      </c>
      <c r="D18" s="264">
        <v>26000</v>
      </c>
      <c r="E18" s="264">
        <v>16450</v>
      </c>
      <c r="F18" s="264">
        <v>20000</v>
      </c>
      <c r="G18" s="264">
        <v>25000</v>
      </c>
      <c r="H18" s="265">
        <v>32000</v>
      </c>
      <c r="I18" s="266">
        <f t="shared" si="0"/>
        <v>22300</v>
      </c>
      <c r="J18" s="266">
        <f>ROUND(((SUM(C18:H18)-MIN(C18:H18)-MAX(C18:H18))/(COUNT(C18:H18)-2))/'Devizni tecaj, porez i gorivo'!$B$6,2)</f>
        <v>2970.24</v>
      </c>
    </row>
    <row r="19" spans="1:10" ht="15">
      <c r="A19" s="261" t="s">
        <v>281</v>
      </c>
      <c r="B19" s="262" t="s">
        <v>473</v>
      </c>
      <c r="C19" s="267">
        <v>1165000</v>
      </c>
      <c r="D19" s="264">
        <v>1912500</v>
      </c>
      <c r="E19" s="264">
        <v>953600</v>
      </c>
      <c r="F19" s="264">
        <v>1450000</v>
      </c>
      <c r="G19" s="264">
        <v>1000110</v>
      </c>
      <c r="H19" s="265">
        <v>1450000</v>
      </c>
      <c r="I19" s="266">
        <f t="shared" si="0"/>
        <v>1266277.5</v>
      </c>
      <c r="J19" s="266">
        <f>ROUND(((SUM(C19:H19)-MIN(C19:H19)-MAX(C19:H19))/(COUNT(C19:H19)-2))/'Devizni tecaj, porez i gorivo'!$B$6,2)</f>
        <v>168661.28</v>
      </c>
    </row>
    <row r="20" spans="1:10" ht="15">
      <c r="A20" s="261" t="s">
        <v>283</v>
      </c>
      <c r="B20" s="262" t="s">
        <v>474</v>
      </c>
      <c r="C20" s="263">
        <v>207000</v>
      </c>
      <c r="D20" s="264"/>
      <c r="E20" s="264"/>
      <c r="F20" s="264"/>
      <c r="G20" s="264"/>
      <c r="H20" s="265"/>
      <c r="I20" s="266">
        <f t="shared" si="0"/>
        <v>207000</v>
      </c>
      <c r="J20" s="266">
        <f>ROUND(((SUM(C20:H20)-MIN(C20:H20)-MAX(C20:H20))/(COUNT(C20:H20)-2))/'Devizni tecaj, porez i gorivo'!$B$6,2)</f>
        <v>27571.27</v>
      </c>
    </row>
    <row r="21" spans="1:10" ht="15">
      <c r="A21" s="261" t="s">
        <v>290</v>
      </c>
      <c r="B21" s="262" t="s">
        <v>475</v>
      </c>
      <c r="C21" s="267">
        <v>1900000</v>
      </c>
      <c r="D21" s="264">
        <v>1950000</v>
      </c>
      <c r="E21" s="264">
        <v>1880000</v>
      </c>
      <c r="F21" s="264">
        <v>1990000</v>
      </c>
      <c r="G21" s="264">
        <v>1988000</v>
      </c>
      <c r="H21" s="265">
        <v>1780000</v>
      </c>
      <c r="I21" s="266">
        <f t="shared" si="0"/>
        <v>1929500</v>
      </c>
      <c r="J21" s="266">
        <f>ROUND(((SUM(C21:H21)-MIN(C21:H21)-MAX(C21:H21))/(COUNT(C21:H21)-2))/'Devizni tecaj, porez i gorivo'!$B$6,2)</f>
        <v>256998.91</v>
      </c>
    </row>
    <row r="22" spans="1:10" ht="15">
      <c r="A22" s="261" t="s">
        <v>292</v>
      </c>
      <c r="B22" s="262" t="s">
        <v>476</v>
      </c>
      <c r="C22" s="263">
        <v>684000</v>
      </c>
      <c r="D22" s="268">
        <v>650250</v>
      </c>
      <c r="E22" s="268">
        <v>805985.29</v>
      </c>
      <c r="F22" s="268">
        <v>750000</v>
      </c>
      <c r="G22" s="268">
        <v>537417.6</v>
      </c>
      <c r="H22" s="269">
        <v>610000</v>
      </c>
      <c r="I22" s="266">
        <f>ROUND(((SUM(C22:H22)-MIN(C22:H22)-MAX(C22:H22))/(COUNT(C22:H22)-2)),2)</f>
        <v>673562.5</v>
      </c>
      <c r="J22" s="266">
        <f>ROUND(((SUM(C22:H22)-MIN(C22:H22)-MAX(C22:H22))/(COUNT(C22:H22)-2))/'Devizni tecaj, porez i gorivo'!$B$6,2)</f>
        <v>89714.86</v>
      </c>
    </row>
    <row r="23" spans="1:10" ht="15">
      <c r="A23" s="261" t="s">
        <v>293</v>
      </c>
      <c r="B23" s="262" t="s">
        <v>477</v>
      </c>
      <c r="C23" s="263">
        <v>217000</v>
      </c>
      <c r="D23" s="268">
        <v>135000</v>
      </c>
      <c r="E23" s="268">
        <v>171415.2</v>
      </c>
      <c r="F23" s="268">
        <v>200000</v>
      </c>
      <c r="G23" s="268">
        <v>169830</v>
      </c>
      <c r="H23" s="269">
        <v>200000</v>
      </c>
      <c r="I23" s="266">
        <f t="shared" si="0"/>
        <v>185311.3</v>
      </c>
      <c r="J23" s="266">
        <f>ROUND(((SUM(C23:H23)-MIN(C23:H23)-MAX(C23:H23))/(COUNT(C23:H23)-2))/'Devizni tecaj, porez i gorivo'!$B$6,2)</f>
        <v>24682.46</v>
      </c>
    </row>
    <row r="24" spans="1:10" ht="15">
      <c r="A24" s="261" t="s">
        <v>294</v>
      </c>
      <c r="B24" s="262" t="s">
        <v>128</v>
      </c>
      <c r="C24" s="267">
        <v>437000</v>
      </c>
      <c r="D24" s="264">
        <v>497250</v>
      </c>
      <c r="E24" s="264">
        <v>560000</v>
      </c>
      <c r="F24" s="264">
        <v>474000</v>
      </c>
      <c r="G24" s="264">
        <v>510244.8</v>
      </c>
      <c r="H24" s="265">
        <v>420000</v>
      </c>
      <c r="I24" s="266">
        <f t="shared" si="0"/>
        <v>479623.7</v>
      </c>
      <c r="J24" s="266">
        <f>ROUND(((SUM(C24:H24)-MIN(C24:H24)-MAX(C24:H24))/(COUNT(C24:H24)-2))/'Devizni tecaj, porez i gorivo'!$B$6,2)</f>
        <v>63883.27</v>
      </c>
    </row>
    <row r="25" spans="1:10" ht="15">
      <c r="A25" s="261" t="s">
        <v>295</v>
      </c>
      <c r="B25" s="262" t="s">
        <v>478</v>
      </c>
      <c r="C25" s="267">
        <v>690000</v>
      </c>
      <c r="D25" s="264">
        <v>626750</v>
      </c>
      <c r="E25" s="264">
        <v>674150</v>
      </c>
      <c r="F25" s="264">
        <v>700000</v>
      </c>
      <c r="G25" s="264">
        <v>824996.4</v>
      </c>
      <c r="H25" s="265">
        <v>824000</v>
      </c>
      <c r="I25" s="266">
        <f t="shared" si="0"/>
        <v>722037.5</v>
      </c>
      <c r="J25" s="266">
        <f>ROUND(((SUM(C25:H25)-MIN(C25:H25)-MAX(C25:H25))/(COUNT(C25:H25)-2))/'Devizni tecaj, porez i gorivo'!$B$6,2)</f>
        <v>96171.47</v>
      </c>
    </row>
    <row r="26" spans="1:10" ht="15">
      <c r="A26" s="261" t="s">
        <v>296</v>
      </c>
      <c r="B26" s="262" t="s">
        <v>135</v>
      </c>
      <c r="C26" s="267">
        <v>330000</v>
      </c>
      <c r="D26" s="264">
        <v>719100</v>
      </c>
      <c r="E26" s="264">
        <v>470000</v>
      </c>
      <c r="F26" s="264">
        <v>350000</v>
      </c>
      <c r="G26" s="264">
        <v>551758.80000000005</v>
      </c>
      <c r="H26" s="265"/>
      <c r="I26" s="266">
        <f t="shared" si="0"/>
        <v>457252.93</v>
      </c>
      <c r="J26" s="266">
        <f>ROUND(((SUM(C26:H26)-MIN(C26:H26)-MAX(C26:H26))/(COUNT(C26:H26)-2))/'Devizni tecaj, porez i gorivo'!$B$6,2)</f>
        <v>60903.6</v>
      </c>
    </row>
    <row r="27" spans="1:10" ht="15">
      <c r="A27" s="261" t="s">
        <v>297</v>
      </c>
      <c r="B27" s="262" t="s">
        <v>479</v>
      </c>
      <c r="C27" s="267">
        <v>722000</v>
      </c>
      <c r="D27" s="264">
        <v>750000</v>
      </c>
      <c r="E27" s="264">
        <v>736000</v>
      </c>
      <c r="F27" s="264"/>
      <c r="G27" s="264"/>
      <c r="H27" s="265"/>
      <c r="I27" s="266">
        <f t="shared" si="0"/>
        <v>736000</v>
      </c>
      <c r="J27" s="266">
        <f>ROUND(((SUM(C27:H27)-MIN(C27:H27)-MAX(C27:H27))/(COUNT(C27:H27)-2))/'Devizni tecaj, porez i gorivo'!$B$6,2)</f>
        <v>98031.2</v>
      </c>
    </row>
    <row r="28" spans="1:10" ht="15">
      <c r="A28" s="261" t="s">
        <v>299</v>
      </c>
      <c r="B28" s="262" t="s">
        <v>480</v>
      </c>
      <c r="C28" s="267">
        <v>850000</v>
      </c>
      <c r="D28" s="264">
        <v>1147500</v>
      </c>
      <c r="E28" s="264">
        <v>805000</v>
      </c>
      <c r="F28" s="264">
        <v>550000</v>
      </c>
      <c r="G28" s="264">
        <v>407592</v>
      </c>
      <c r="H28" s="265"/>
      <c r="I28" s="266">
        <f t="shared" si="0"/>
        <v>735000</v>
      </c>
      <c r="J28" s="266">
        <f>ROUND(((SUM(C28:H28)-MIN(C28:H28)-MAX(C28:H28))/(COUNT(C28:H28)-2))/'Devizni tecaj, porez i gorivo'!$B$6,2)</f>
        <v>97898</v>
      </c>
    </row>
    <row r="29" spans="1:10" ht="15">
      <c r="A29" s="261" t="s">
        <v>301</v>
      </c>
      <c r="B29" s="262" t="s">
        <v>150</v>
      </c>
      <c r="C29" s="267">
        <v>203000</v>
      </c>
      <c r="D29" s="264">
        <v>191250</v>
      </c>
      <c r="E29" s="264">
        <v>222300</v>
      </c>
      <c r="F29" s="264">
        <v>400000</v>
      </c>
      <c r="G29" s="264">
        <v>202286.4</v>
      </c>
      <c r="H29" s="265">
        <v>330000</v>
      </c>
      <c r="I29" s="266">
        <f t="shared" si="0"/>
        <v>239396.6</v>
      </c>
      <c r="J29" s="266">
        <f>ROUND(((SUM(C29:H29)-MIN(C29:H29)-MAX(C29:H29))/(COUNT(C29:H29)-2))/'Devizni tecaj, porez i gorivo'!$B$6,2)</f>
        <v>31886.33</v>
      </c>
    </row>
    <row r="30" spans="1:10" ht="15">
      <c r="A30" s="261" t="s">
        <v>303</v>
      </c>
      <c r="B30" s="262" t="s">
        <v>149</v>
      </c>
      <c r="C30" s="267">
        <v>158000</v>
      </c>
      <c r="D30" s="264">
        <v>168300</v>
      </c>
      <c r="E30" s="264">
        <v>66303.42</v>
      </c>
      <c r="F30" s="264">
        <v>132000</v>
      </c>
      <c r="G30" s="264">
        <v>153224.4</v>
      </c>
      <c r="H30" s="265">
        <v>150000</v>
      </c>
      <c r="I30" s="266">
        <f t="shared" si="0"/>
        <v>148306.1</v>
      </c>
      <c r="J30" s="266">
        <f>ROUND(((SUM(C30:H30)-MIN(C30:H30)-MAX(C30:H30))/(COUNT(C30:H30)-2))/'Devizni tecaj, porez i gorivo'!$B$6,2)</f>
        <v>19753.57</v>
      </c>
    </row>
    <row r="31" spans="1:10" ht="15">
      <c r="A31" s="261" t="s">
        <v>305</v>
      </c>
      <c r="B31" s="262" t="s">
        <v>209</v>
      </c>
      <c r="C31" s="263">
        <v>47000</v>
      </c>
      <c r="D31" s="264">
        <v>56000</v>
      </c>
      <c r="E31" s="264">
        <v>55000</v>
      </c>
      <c r="F31" s="264">
        <v>50000</v>
      </c>
      <c r="G31" s="264">
        <v>52836</v>
      </c>
      <c r="H31" s="265">
        <v>80000</v>
      </c>
      <c r="I31" s="266">
        <f t="shared" si="0"/>
        <v>53459</v>
      </c>
      <c r="J31" s="266">
        <f>ROUND(((SUM(C31:H31)-MIN(C31:H31)-MAX(C31:H31))/(COUNT(C31:H31)-2))/'Devizni tecaj, porez i gorivo'!$B$6,2)</f>
        <v>7120.45</v>
      </c>
    </row>
    <row r="32" spans="1:10" ht="15">
      <c r="A32" s="261" t="s">
        <v>307</v>
      </c>
      <c r="B32" s="262" t="s">
        <v>481</v>
      </c>
      <c r="C32" s="267">
        <v>3500000</v>
      </c>
      <c r="D32" s="264"/>
      <c r="E32" s="264"/>
      <c r="F32" s="264"/>
      <c r="G32" s="264"/>
      <c r="H32" s="265"/>
      <c r="I32" s="266">
        <f t="shared" si="0"/>
        <v>3500000</v>
      </c>
      <c r="J32" s="266">
        <f>ROUND(((SUM(C32:H32)-MIN(C32:H32)-MAX(C32:H32))/(COUNT(C32:H32)-2))/'Devizni tecaj, porez i gorivo'!$B$6,2)</f>
        <v>466180.97</v>
      </c>
    </row>
    <row r="33" spans="1:10" ht="15">
      <c r="A33" s="261" t="s">
        <v>309</v>
      </c>
      <c r="B33" s="262" t="s">
        <v>254</v>
      </c>
      <c r="C33" s="267">
        <v>1400000</v>
      </c>
      <c r="D33" s="264">
        <v>1683000</v>
      </c>
      <c r="E33" s="264">
        <v>856750</v>
      </c>
      <c r="F33" s="264">
        <v>1800000</v>
      </c>
      <c r="G33" s="264">
        <v>1071816</v>
      </c>
      <c r="H33" s="265">
        <v>1780000</v>
      </c>
      <c r="I33" s="266">
        <f>ROUND(((SUM(C33:H33)-MIN(C33:H33)-MAX(C33:H33))/(COUNT(C33:H33)-2)),2)</f>
        <v>1483704</v>
      </c>
      <c r="J33" s="266">
        <f>ROUND(((SUM(C33:H33)-MIN(C33:H33)-MAX(C33:H33))/(COUNT(C33:H33)-2))/'Devizni tecaj, porez i gorivo'!$B$6,2)</f>
        <v>197621.3</v>
      </c>
    </row>
    <row r="34" spans="1:10" ht="15">
      <c r="A34" s="261" t="s">
        <v>311</v>
      </c>
      <c r="B34" s="262" t="s">
        <v>252</v>
      </c>
      <c r="C34" s="263"/>
      <c r="D34" s="264">
        <v>176000</v>
      </c>
      <c r="E34" s="264">
        <v>170000</v>
      </c>
      <c r="F34" s="264">
        <v>180000</v>
      </c>
      <c r="G34" s="264">
        <v>185680.8</v>
      </c>
      <c r="H34" s="265">
        <v>266000</v>
      </c>
      <c r="I34" s="266">
        <f t="shared" si="0"/>
        <v>180560.27</v>
      </c>
      <c r="J34" s="266">
        <f>ROUND(((SUM(C34:H34)-MIN(C34:H34)-MAX(C34:H34))/(COUNT(C34:H34)-2))/'Devizni tecaj, porez i gorivo'!$B$6,2)</f>
        <v>24049.65</v>
      </c>
    </row>
    <row r="35" spans="1:10" ht="15">
      <c r="A35" s="261" t="s">
        <v>313</v>
      </c>
      <c r="B35" s="262" t="s">
        <v>256</v>
      </c>
      <c r="C35" s="263">
        <v>76000</v>
      </c>
      <c r="D35" s="264">
        <v>72000</v>
      </c>
      <c r="E35" s="264">
        <v>74583.710000000006</v>
      </c>
      <c r="F35" s="264">
        <v>78000</v>
      </c>
      <c r="G35" s="264">
        <v>75480</v>
      </c>
      <c r="H35" s="265">
        <v>90000</v>
      </c>
      <c r="I35" s="266">
        <f t="shared" si="0"/>
        <v>76015.929999999993</v>
      </c>
      <c r="J35" s="266">
        <f>ROUND(((SUM(C35:H35)-MIN(C35:H35)-MAX(C35:H35))/(COUNT(C35:H35)-2))/'Devizni tecaj, porez i gorivo'!$B$6,2)</f>
        <v>10124.91</v>
      </c>
    </row>
    <row r="36" spans="1:10" ht="15">
      <c r="A36" s="261" t="s">
        <v>315</v>
      </c>
      <c r="B36" s="262" t="s">
        <v>251</v>
      </c>
      <c r="C36" s="263">
        <v>68000</v>
      </c>
      <c r="D36" s="264">
        <v>60000</v>
      </c>
      <c r="E36" s="264">
        <v>54900</v>
      </c>
      <c r="F36" s="264">
        <v>71250</v>
      </c>
      <c r="G36" s="264">
        <v>64158</v>
      </c>
      <c r="H36" s="265">
        <v>45000</v>
      </c>
      <c r="I36" s="266">
        <f t="shared" si="0"/>
        <v>61764.5</v>
      </c>
      <c r="J36" s="266">
        <f>ROUND(((SUM(C36:H36)-MIN(C36:H36)-MAX(C36:H36))/(COUNT(C36:H36)-2))/'Devizni tecaj, porez i gorivo'!$B$6,2)</f>
        <v>8226.7000000000007</v>
      </c>
    </row>
    <row r="37" spans="1:10" ht="15">
      <c r="A37" s="261" t="s">
        <v>317</v>
      </c>
      <c r="B37" s="262" t="s">
        <v>247</v>
      </c>
      <c r="C37" s="263">
        <v>91500</v>
      </c>
      <c r="D37" s="264">
        <v>75000</v>
      </c>
      <c r="E37" s="264">
        <v>88400</v>
      </c>
      <c r="F37" s="264">
        <v>90000</v>
      </c>
      <c r="G37" s="264">
        <v>85292.4</v>
      </c>
      <c r="H37" s="265"/>
      <c r="I37" s="266">
        <f t="shared" si="0"/>
        <v>87897.47</v>
      </c>
      <c r="J37" s="266">
        <f>ROUND(((SUM(C37:H37)-MIN(C37:H37)-MAX(C37:H37))/(COUNT(C37:H37)-2))/'Devizni tecaj, porez i gorivo'!$B$6,2)</f>
        <v>11707.46</v>
      </c>
    </row>
    <row r="38" spans="1:10" ht="15">
      <c r="A38" s="261" t="s">
        <v>319</v>
      </c>
      <c r="B38" s="262" t="s">
        <v>248</v>
      </c>
      <c r="C38" s="267">
        <v>200000</v>
      </c>
      <c r="D38" s="264">
        <v>225000</v>
      </c>
      <c r="E38" s="264">
        <v>210000</v>
      </c>
      <c r="F38" s="264">
        <v>210000</v>
      </c>
      <c r="G38" s="264">
        <v>225000</v>
      </c>
      <c r="H38" s="265">
        <v>220000</v>
      </c>
      <c r="I38" s="266">
        <f t="shared" si="0"/>
        <v>216250</v>
      </c>
      <c r="J38" s="266">
        <f>ROUND(((SUM(C38:H38)-MIN(C38:H38)-MAX(C38:H38))/(COUNT(C38:H38)-2))/'Devizni tecaj, porez i gorivo'!$B$6,2)</f>
        <v>28803.32</v>
      </c>
    </row>
    <row r="39" spans="1:10" ht="15">
      <c r="A39" s="261" t="s">
        <v>321</v>
      </c>
      <c r="B39" s="262" t="s">
        <v>482</v>
      </c>
      <c r="C39" s="267">
        <v>42000</v>
      </c>
      <c r="D39" s="264">
        <v>35000</v>
      </c>
      <c r="E39" s="264">
        <v>48750</v>
      </c>
      <c r="F39" s="264">
        <v>50000</v>
      </c>
      <c r="G39" s="264">
        <v>32456.400000000001</v>
      </c>
      <c r="H39" s="265">
        <v>43000</v>
      </c>
      <c r="I39" s="266">
        <f t="shared" si="0"/>
        <v>42187.5</v>
      </c>
      <c r="J39" s="266">
        <f>ROUND(((SUM(C39:H39)-MIN(C39:H39)-MAX(C39:H39))/(COUNT(C39:H39)-2))/'Devizni tecaj, porez i gorivo'!$B$6,2)</f>
        <v>5619.15</v>
      </c>
    </row>
    <row r="40" spans="1:10" ht="15">
      <c r="A40" s="261" t="s">
        <v>323</v>
      </c>
      <c r="B40" s="262" t="s">
        <v>246</v>
      </c>
      <c r="C40" s="267">
        <v>62000</v>
      </c>
      <c r="D40" s="264"/>
      <c r="E40" s="264"/>
      <c r="F40" s="264"/>
      <c r="G40" s="264"/>
      <c r="H40" s="265"/>
      <c r="I40" s="266">
        <f t="shared" si="0"/>
        <v>62000</v>
      </c>
      <c r="J40" s="266">
        <f>ROUND(((SUM(C40:H40)-MIN(C40:H40)-MAX(C40:H40))/(COUNT(C40:H40)-2))/'Devizni tecaj, porez i gorivo'!$B$6,2)</f>
        <v>8258.06</v>
      </c>
    </row>
    <row r="41" spans="1:10" ht="15">
      <c r="A41" s="261" t="s">
        <v>325</v>
      </c>
      <c r="B41" s="262" t="s">
        <v>132</v>
      </c>
      <c r="C41" s="267">
        <v>1200000</v>
      </c>
      <c r="D41" s="264">
        <v>1071000</v>
      </c>
      <c r="E41" s="264">
        <v>1200000</v>
      </c>
      <c r="F41" s="264">
        <v>1200000</v>
      </c>
      <c r="G41" s="264">
        <v>1200000</v>
      </c>
      <c r="H41" s="265">
        <v>1500000</v>
      </c>
      <c r="I41" s="266">
        <f t="shared" si="0"/>
        <v>1200000</v>
      </c>
      <c r="J41" s="266">
        <f>ROUND(((SUM(C41:H41)-MIN(C41:H41)-MAX(C41:H41))/(COUNT(C41:H41)-2))/'Devizni tecaj, porez i gorivo'!$B$6,2)</f>
        <v>159833.47</v>
      </c>
    </row>
    <row r="42" spans="1:10" ht="15">
      <c r="A42" s="261" t="s">
        <v>327</v>
      </c>
      <c r="B42" s="262" t="s">
        <v>250</v>
      </c>
      <c r="C42" s="267">
        <v>260000</v>
      </c>
      <c r="D42" s="264">
        <v>428400</v>
      </c>
      <c r="E42" s="264">
        <v>333631.15999999997</v>
      </c>
      <c r="F42" s="264">
        <v>300000</v>
      </c>
      <c r="G42" s="264">
        <v>280030.8</v>
      </c>
      <c r="H42" s="265">
        <v>350000</v>
      </c>
      <c r="I42" s="266">
        <f t="shared" si="0"/>
        <v>315915.49</v>
      </c>
      <c r="J42" s="266">
        <f>ROUND(((SUM(C42:H42)-MIN(C42:H42)-MAX(C42:H42))/(COUNT(C42:H42)-2))/'Devizni tecaj, porez i gorivo'!$B$6,2)</f>
        <v>42078.23</v>
      </c>
    </row>
    <row r="43" spans="1:10" ht="15">
      <c r="A43" s="261" t="s">
        <v>329</v>
      </c>
      <c r="B43" s="262" t="s">
        <v>483</v>
      </c>
      <c r="C43" s="267">
        <v>56500</v>
      </c>
      <c r="D43" s="264">
        <v>151000</v>
      </c>
      <c r="E43" s="264">
        <v>169952</v>
      </c>
      <c r="F43" s="264">
        <v>202500</v>
      </c>
      <c r="G43" s="264">
        <v>94350</v>
      </c>
      <c r="H43" s="265"/>
      <c r="I43" s="266">
        <f t="shared" si="0"/>
        <v>138434</v>
      </c>
      <c r="J43" s="266">
        <f>ROUND(((SUM(C43:H43)-MIN(C43:H43)-MAX(C43:H43))/(COUNT(C43:H43)-2))/'Devizni tecaj, porez i gorivo'!$B$6,2)</f>
        <v>18438.66</v>
      </c>
    </row>
    <row r="44" spans="1:10" ht="15">
      <c r="A44" s="261" t="s">
        <v>331</v>
      </c>
      <c r="B44" s="262" t="s">
        <v>484</v>
      </c>
      <c r="C44" s="263">
        <v>55000</v>
      </c>
      <c r="D44" s="264">
        <v>75000</v>
      </c>
      <c r="E44" s="264">
        <v>84400</v>
      </c>
      <c r="F44" s="264">
        <v>71250</v>
      </c>
      <c r="G44" s="264">
        <v>70951.199999999997</v>
      </c>
      <c r="H44" s="265"/>
      <c r="I44" s="266">
        <f t="shared" si="0"/>
        <v>72400.399999999994</v>
      </c>
      <c r="J44" s="266">
        <f>ROUND(((SUM(C44:H44)-MIN(C44:H44)-MAX(C44:H44))/(COUNT(C44:H44)-2))/'Devizni tecaj, porez i gorivo'!$B$6,2)</f>
        <v>9643.34</v>
      </c>
    </row>
    <row r="45" spans="1:10" ht="15">
      <c r="A45" s="261" t="s">
        <v>333</v>
      </c>
      <c r="B45" s="262" t="s">
        <v>485</v>
      </c>
      <c r="C45" s="267">
        <v>190000</v>
      </c>
      <c r="D45" s="264"/>
      <c r="E45" s="264"/>
      <c r="F45" s="264"/>
      <c r="G45" s="264"/>
      <c r="H45" s="265"/>
      <c r="I45" s="266">
        <f t="shared" si="0"/>
        <v>190000</v>
      </c>
      <c r="J45" s="266">
        <f>ROUND(((SUM(C45:H45)-MIN(C45:H45)-MAX(C45:H45))/(COUNT(C45:H45)-2))/'Devizni tecaj, porez i gorivo'!$B$6,2)</f>
        <v>25306.97</v>
      </c>
    </row>
    <row r="46" spans="1:10" ht="15">
      <c r="A46" s="261" t="s">
        <v>335</v>
      </c>
      <c r="B46" s="262" t="s">
        <v>486</v>
      </c>
      <c r="C46" s="267">
        <v>178000</v>
      </c>
      <c r="D46" s="264"/>
      <c r="E46" s="264"/>
      <c r="F46" s="264"/>
      <c r="G46" s="264"/>
      <c r="H46" s="265"/>
      <c r="I46" s="266">
        <f t="shared" si="0"/>
        <v>178000</v>
      </c>
      <c r="J46" s="266">
        <f>ROUND(((SUM(C46:H46)-MIN(C46:H46)-MAX(C46:H46))/(COUNT(C46:H46)-2))/'Devizni tecaj, porez i gorivo'!$B$6,2)</f>
        <v>23708.63</v>
      </c>
    </row>
    <row r="47" spans="1:10" ht="15">
      <c r="A47" s="261" t="s">
        <v>337</v>
      </c>
      <c r="B47" s="262" t="s">
        <v>487</v>
      </c>
      <c r="C47" s="267">
        <v>86000</v>
      </c>
      <c r="D47" s="264">
        <v>68000</v>
      </c>
      <c r="E47" s="264">
        <v>50900</v>
      </c>
      <c r="F47" s="264">
        <v>118000</v>
      </c>
      <c r="G47" s="264">
        <v>72460.800000000003</v>
      </c>
      <c r="H47" s="265"/>
      <c r="I47" s="266">
        <f t="shared" si="0"/>
        <v>75486.929999999993</v>
      </c>
      <c r="J47" s="266">
        <f>ROUND(((SUM(C47:H47)-MIN(C47:H47)-MAX(C47:H47))/(COUNT(C47:H47)-2))/'Devizni tecaj, porez i gorivo'!$B$6,2)</f>
        <v>10054.450000000001</v>
      </c>
    </row>
    <row r="48" spans="1:10" ht="28.5">
      <c r="A48" s="261" t="s">
        <v>339</v>
      </c>
      <c r="B48" s="262" t="s">
        <v>488</v>
      </c>
      <c r="C48" s="267">
        <v>146000</v>
      </c>
      <c r="D48" s="264">
        <v>176000</v>
      </c>
      <c r="E48" s="264">
        <v>190000</v>
      </c>
      <c r="F48" s="264">
        <v>160000</v>
      </c>
      <c r="G48" s="264">
        <v>185680.8</v>
      </c>
      <c r="H48" s="265"/>
      <c r="I48" s="266">
        <f t="shared" si="0"/>
        <v>173893.6</v>
      </c>
      <c r="J48" s="266">
        <f>ROUND(((SUM(C48:H48)-MIN(C48:H48)-MAX(C48:H48))/(COUNT(C48:H48)-2))/'Devizni tecaj, porez i gorivo'!$B$6,2)</f>
        <v>23161.68</v>
      </c>
    </row>
    <row r="49" spans="1:10" ht="15">
      <c r="A49" s="261" t="s">
        <v>341</v>
      </c>
      <c r="B49" s="262" t="s">
        <v>236</v>
      </c>
      <c r="C49" s="267">
        <v>104000</v>
      </c>
      <c r="D49" s="264">
        <v>113000</v>
      </c>
      <c r="E49" s="264">
        <v>128600</v>
      </c>
      <c r="F49" s="264">
        <v>138600</v>
      </c>
      <c r="G49" s="264">
        <v>208324.8</v>
      </c>
      <c r="H49" s="265"/>
      <c r="I49" s="266">
        <f t="shared" si="0"/>
        <v>126733.33</v>
      </c>
      <c r="J49" s="266">
        <f>ROUND(((SUM(C49:H49)-MIN(C49:H49)-MAX(C49:H49))/(COUNT(C49:H49)-2))/'Devizni tecaj, porez i gorivo'!$B$6,2)</f>
        <v>16880.189999999999</v>
      </c>
    </row>
    <row r="50" spans="1:10" ht="15">
      <c r="A50" s="261" t="s">
        <v>343</v>
      </c>
      <c r="B50" s="262" t="s">
        <v>489</v>
      </c>
      <c r="C50" s="267">
        <v>1300</v>
      </c>
      <c r="D50" s="264">
        <v>5000</v>
      </c>
      <c r="E50" s="264">
        <v>2000</v>
      </c>
      <c r="F50" s="264">
        <v>3000</v>
      </c>
      <c r="G50" s="264">
        <v>5000</v>
      </c>
      <c r="H50" s="265">
        <v>4000</v>
      </c>
      <c r="I50" s="266">
        <f>ROUND(((SUM(C50:H50)-MIN(C50:H50)-MAX(C50:H50))/(COUNT(C50:H50)-2)),2)</f>
        <v>3500</v>
      </c>
      <c r="J50" s="266">
        <f>ROUND(((SUM(C50:H50)-MIN(C50:H50)-MAX(C50:H50))/(COUNT(C50:H50)-2))/'Devizni tecaj, porez i gorivo'!$B$6,2)</f>
        <v>466.18</v>
      </c>
    </row>
    <row r="51" spans="1:10" ht="15">
      <c r="A51" s="261" t="s">
        <v>345</v>
      </c>
      <c r="B51" s="262" t="s">
        <v>490</v>
      </c>
      <c r="C51" s="267">
        <v>158000</v>
      </c>
      <c r="D51" s="264">
        <v>168300</v>
      </c>
      <c r="E51" s="264">
        <v>66303.42</v>
      </c>
      <c r="F51" s="264">
        <v>132000</v>
      </c>
      <c r="G51" s="264">
        <v>153224.4</v>
      </c>
      <c r="H51" s="265">
        <v>150000</v>
      </c>
      <c r="I51" s="266">
        <f>ROUND(((SUM(C51:H51)-MIN(C51:H51)-MAX(C51:H51))/(COUNT(C51:H51)-2)),2)</f>
        <v>148306.1</v>
      </c>
      <c r="J51" s="266">
        <f>ROUND(((SUM(C51:H51)-MIN(C51:H51)-MAX(C51:H51))/(COUNT(C51:H51)-2))/'Devizni tecaj, porez i gorivo'!$B$6,2)</f>
        <v>19753.57</v>
      </c>
    </row>
    <row r="52" spans="1:10" ht="15">
      <c r="A52" s="261" t="s">
        <v>347</v>
      </c>
      <c r="B52" s="262" t="s">
        <v>491</v>
      </c>
      <c r="C52" s="267">
        <v>48000</v>
      </c>
      <c r="D52" s="264">
        <v>19800</v>
      </c>
      <c r="E52" s="264">
        <v>42800</v>
      </c>
      <c r="F52" s="264">
        <v>25000</v>
      </c>
      <c r="G52" s="264">
        <v>41134.400000000001</v>
      </c>
      <c r="H52" s="265">
        <v>95000</v>
      </c>
      <c r="I52" s="266">
        <f t="shared" si="0"/>
        <v>39233.599999999999</v>
      </c>
      <c r="J52" s="266">
        <f>ROUND(((SUM(C52:H52)-MIN(C52:H52)-MAX(C52:H52))/(COUNT(C52:H52)-2))/'Devizni tecaj, porez i gorivo'!$B$6,2)</f>
        <v>5225.7</v>
      </c>
    </row>
    <row r="53" spans="1:10" ht="15">
      <c r="A53" s="261" t="s">
        <v>349</v>
      </c>
      <c r="B53" s="262" t="s">
        <v>210</v>
      </c>
      <c r="C53" s="263">
        <v>407000</v>
      </c>
      <c r="D53" s="264">
        <v>220000</v>
      </c>
      <c r="E53" s="264">
        <v>570000</v>
      </c>
      <c r="F53" s="264">
        <v>240000</v>
      </c>
      <c r="G53" s="264">
        <v>351736.8</v>
      </c>
      <c r="H53" s="265"/>
      <c r="I53" s="266">
        <f t="shared" si="0"/>
        <v>332912.27</v>
      </c>
      <c r="J53" s="266">
        <f>ROUND(((SUM(C53:H53)-MIN(C53:H53)-MAX(C53:H53))/(COUNT(C53:H53)-2))/'Devizni tecaj, porez i gorivo'!$B$6,2)</f>
        <v>44342.1</v>
      </c>
    </row>
    <row r="54" spans="1:10" ht="15">
      <c r="A54" s="261" t="s">
        <v>351</v>
      </c>
      <c r="B54" s="262" t="s">
        <v>160</v>
      </c>
      <c r="C54" s="263"/>
      <c r="D54" s="264">
        <v>160000</v>
      </c>
      <c r="E54" s="264"/>
      <c r="F54" s="264">
        <v>172000</v>
      </c>
      <c r="G54" s="264">
        <v>187190.39999999999</v>
      </c>
      <c r="H54" s="265"/>
      <c r="I54" s="266">
        <f t="shared" si="0"/>
        <v>172000</v>
      </c>
      <c r="J54" s="266">
        <f>ROUND(((SUM(C54:H54)-MIN(C54:H54)-MAX(C54:H54))/(COUNT(C54:H54)-2))/'Devizni tecaj, porez i gorivo'!$B$6,2)</f>
        <v>22909.46</v>
      </c>
    </row>
    <row r="55" spans="1:10" ht="15">
      <c r="A55" s="261" t="s">
        <v>353</v>
      </c>
      <c r="B55" s="262" t="s">
        <v>161</v>
      </c>
      <c r="C55" s="263"/>
      <c r="D55" s="264">
        <v>256000</v>
      </c>
      <c r="E55" s="264"/>
      <c r="F55" s="264">
        <v>250000</v>
      </c>
      <c r="G55" s="264">
        <v>285314.40000000002</v>
      </c>
      <c r="H55" s="265"/>
      <c r="I55" s="266">
        <f t="shared" si="0"/>
        <v>256000</v>
      </c>
      <c r="J55" s="266">
        <f>ROUND(((SUM(C55:H55)-MIN(C55:H55)-MAX(C55:H55))/(COUNT(C55:H55)-2))/'Devizni tecaj, porez i gorivo'!$B$6,2)</f>
        <v>34097.81</v>
      </c>
    </row>
    <row r="56" spans="1:10" ht="15">
      <c r="A56" s="261" t="s">
        <v>354</v>
      </c>
      <c r="B56" s="262" t="s">
        <v>492</v>
      </c>
      <c r="C56" s="267">
        <v>5000</v>
      </c>
      <c r="D56" s="264">
        <v>7500</v>
      </c>
      <c r="E56" s="264">
        <v>5000</v>
      </c>
      <c r="F56" s="264">
        <v>8000</v>
      </c>
      <c r="G56" s="264">
        <v>4200</v>
      </c>
      <c r="H56" s="265">
        <v>8500</v>
      </c>
      <c r="I56" s="266">
        <f t="shared" si="0"/>
        <v>6375</v>
      </c>
      <c r="J56" s="266">
        <f>ROUND(((SUM(C56:H56)-MIN(C56:H56)-MAX(C56:H56))/(COUNT(C56:H56)-2))/'Devizni tecaj, porez i gorivo'!$B$6,2)</f>
        <v>849.12</v>
      </c>
    </row>
    <row r="57" spans="1:10" ht="15">
      <c r="A57" s="261" t="s">
        <v>355</v>
      </c>
      <c r="B57" s="262" t="s">
        <v>493</v>
      </c>
      <c r="C57" s="267">
        <v>9000</v>
      </c>
      <c r="D57" s="264">
        <v>8200</v>
      </c>
      <c r="E57" s="264">
        <v>3990</v>
      </c>
      <c r="F57" s="264">
        <v>8500</v>
      </c>
      <c r="G57" s="264">
        <v>9057.6</v>
      </c>
      <c r="H57" s="265">
        <v>6000</v>
      </c>
      <c r="I57" s="266">
        <f t="shared" si="0"/>
        <v>7925</v>
      </c>
      <c r="J57" s="266">
        <f>ROUND(((SUM(C57:H57)-MIN(C57:H57)-MAX(C57:H57))/(COUNT(C57:H57)-2))/'Devizni tecaj, porez i gorivo'!$B$6,2)</f>
        <v>1055.57</v>
      </c>
    </row>
    <row r="58" spans="1:10" ht="15">
      <c r="A58" s="261" t="s">
        <v>357</v>
      </c>
      <c r="B58" s="262" t="s">
        <v>494</v>
      </c>
      <c r="C58" s="267">
        <v>22000</v>
      </c>
      <c r="D58" s="264">
        <v>35000</v>
      </c>
      <c r="E58" s="264">
        <v>16000</v>
      </c>
      <c r="F58" s="264">
        <v>16000</v>
      </c>
      <c r="G58" s="264">
        <v>14000</v>
      </c>
      <c r="H58" s="265">
        <v>28000</v>
      </c>
      <c r="I58" s="266">
        <f t="shared" si="0"/>
        <v>20500</v>
      </c>
      <c r="J58" s="266">
        <f>ROUND(((SUM(C58:H58)-MIN(C58:H58)-MAX(C58:H58))/(COUNT(C58:H58)-2))/'Devizni tecaj, porez i gorivo'!$B$6,2)</f>
        <v>2730.49</v>
      </c>
    </row>
    <row r="59" spans="1:10" ht="15">
      <c r="A59" s="261" t="s">
        <v>359</v>
      </c>
      <c r="B59" s="262" t="s">
        <v>495</v>
      </c>
      <c r="C59" s="267">
        <v>108000</v>
      </c>
      <c r="D59" s="264"/>
      <c r="E59" s="264"/>
      <c r="F59" s="264"/>
      <c r="G59" s="264"/>
      <c r="H59" s="265"/>
      <c r="I59" s="266">
        <f t="shared" si="0"/>
        <v>108000</v>
      </c>
      <c r="J59" s="266">
        <f>ROUND(((SUM(C59:H59)-MIN(C59:H59)-MAX(C59:H59))/(COUNT(C59:H59)-2))/'Devizni tecaj, porez i gorivo'!$B$6,2)</f>
        <v>14385.01</v>
      </c>
    </row>
    <row r="60" spans="1:10" ht="28.5">
      <c r="A60" s="261" t="s">
        <v>361</v>
      </c>
      <c r="B60" s="262" t="s">
        <v>221</v>
      </c>
      <c r="C60" s="267">
        <v>180000</v>
      </c>
      <c r="D60" s="264"/>
      <c r="E60" s="264"/>
      <c r="F60" s="264"/>
      <c r="G60" s="264"/>
      <c r="H60" s="265"/>
      <c r="I60" s="266">
        <f t="shared" si="0"/>
        <v>180000</v>
      </c>
      <c r="J60" s="266">
        <f>ROUND(((SUM(C60:H60)-MIN(C60:H60)-MAX(C60:H60))/(COUNT(C60:H60)-2))/'Devizni tecaj, porez i gorivo'!$B$6,2)</f>
        <v>23975.02</v>
      </c>
    </row>
    <row r="61" spans="1:10" ht="15">
      <c r="A61" s="261" t="s">
        <v>362</v>
      </c>
      <c r="B61" s="262" t="s">
        <v>220</v>
      </c>
      <c r="C61" s="263">
        <v>65000</v>
      </c>
      <c r="D61" s="264">
        <v>80000</v>
      </c>
      <c r="E61" s="264">
        <v>91884.78</v>
      </c>
      <c r="F61" s="264">
        <v>75000</v>
      </c>
      <c r="G61" s="264">
        <v>76239.199999999997</v>
      </c>
      <c r="H61" s="265">
        <v>79000</v>
      </c>
      <c r="I61" s="266">
        <f>ROUND(((SUM(C61:H61)-MIN(C61:H61)-MAX(C61:H61))/(COUNT(C61:H61)-2)),2)</f>
        <v>77559.8</v>
      </c>
      <c r="J61" s="266">
        <f>ROUND(((SUM(C61:H61)-MIN(C61:H61)-MAX(C61:H61))/(COUNT(C61:H61)-2))/'Devizni tecaj, porez i gorivo'!$B$6,2)</f>
        <v>10330.540000000001</v>
      </c>
    </row>
    <row r="62" spans="1:10" ht="15">
      <c r="A62" s="261" t="s">
        <v>363</v>
      </c>
      <c r="B62" s="262" t="s">
        <v>496</v>
      </c>
      <c r="C62" s="267">
        <v>94000</v>
      </c>
      <c r="D62" s="264">
        <v>125000</v>
      </c>
      <c r="E62" s="264">
        <v>130000</v>
      </c>
      <c r="F62" s="264">
        <v>150000</v>
      </c>
      <c r="G62" s="264">
        <v>144921.60000000001</v>
      </c>
      <c r="H62" s="265"/>
      <c r="I62" s="266">
        <f t="shared" si="0"/>
        <v>133307.20000000001</v>
      </c>
      <c r="J62" s="266">
        <f>ROUND(((SUM(C62:H62)-MIN(C62:H62)-MAX(C62:H62))/(COUNT(C62:H62)-2))/'Devizni tecaj, porez i gorivo'!$B$6,2)</f>
        <v>17755.79</v>
      </c>
    </row>
    <row r="63" spans="1:10" ht="15">
      <c r="A63" s="261" t="s">
        <v>365</v>
      </c>
      <c r="B63" s="262" t="s">
        <v>245</v>
      </c>
      <c r="C63" s="263">
        <v>260000</v>
      </c>
      <c r="D63" s="264">
        <v>428400</v>
      </c>
      <c r="E63" s="264">
        <v>333631.15999999997</v>
      </c>
      <c r="F63" s="264">
        <v>300000</v>
      </c>
      <c r="G63" s="264">
        <v>280030.8</v>
      </c>
      <c r="H63" s="265">
        <v>250000</v>
      </c>
      <c r="I63" s="266">
        <f>ROUND(((SUM(C63:H63)-MIN(C63:H63)-MAX(C63:H63))/(COUNT(C63:H63)-2)),2)</f>
        <v>293415.49</v>
      </c>
      <c r="J63" s="266">
        <f>ROUND(((SUM(C63:H63)-MIN(C63:H63)-MAX(C63:H63))/(COUNT(C63:H63)-2))/'Devizni tecaj, porez i gorivo'!$B$6,2)</f>
        <v>39081.35</v>
      </c>
    </row>
    <row r="64" spans="1:10" ht="15">
      <c r="A64" s="261" t="s">
        <v>367</v>
      </c>
      <c r="B64" s="262" t="s">
        <v>497</v>
      </c>
      <c r="C64" s="267">
        <v>20000</v>
      </c>
      <c r="D64" s="264">
        <v>23000</v>
      </c>
      <c r="E64" s="264">
        <v>17974</v>
      </c>
      <c r="F64" s="264">
        <v>25000</v>
      </c>
      <c r="G64" s="264">
        <v>23398.799999999999</v>
      </c>
      <c r="H64" s="265">
        <v>21000</v>
      </c>
      <c r="I64" s="266">
        <f t="shared" si="0"/>
        <v>21849.7</v>
      </c>
      <c r="J64" s="266">
        <f>ROUND(((SUM(C64:H64)-MIN(C64:H64)-MAX(C64:H64))/(COUNT(C64:H64)-2))/'Devizni tecaj, porez i gorivo'!$B$6,2)</f>
        <v>2910.26</v>
      </c>
    </row>
    <row r="65" spans="1:10" ht="15">
      <c r="A65" s="261" t="s">
        <v>369</v>
      </c>
      <c r="B65" s="262" t="s">
        <v>498</v>
      </c>
      <c r="C65" s="267">
        <v>115000</v>
      </c>
      <c r="D65" s="264">
        <v>28000</v>
      </c>
      <c r="E65" s="264">
        <v>15006.41</v>
      </c>
      <c r="F65" s="264">
        <v>8000</v>
      </c>
      <c r="G65" s="264">
        <v>27927.599999999999</v>
      </c>
      <c r="H65" s="265">
        <v>26000</v>
      </c>
      <c r="I65" s="266">
        <f t="shared" si="0"/>
        <v>24233.5</v>
      </c>
      <c r="J65" s="266">
        <f>ROUND(((SUM(C65:H65)-MIN(C65:H65)-MAX(C65:H65))/(COUNT(C65:H65)-2))/'Devizni tecaj, porez i gorivo'!$B$6,2)</f>
        <v>3227.77</v>
      </c>
    </row>
    <row r="66" spans="1:10" ht="15">
      <c r="A66" s="261" t="s">
        <v>371</v>
      </c>
      <c r="B66" s="262" t="s">
        <v>499</v>
      </c>
      <c r="C66" s="263">
        <v>600000</v>
      </c>
      <c r="D66" s="264">
        <v>600000</v>
      </c>
      <c r="E66" s="264">
        <v>600000</v>
      </c>
      <c r="F66" s="264">
        <v>600000</v>
      </c>
      <c r="G66" s="264">
        <v>600000</v>
      </c>
      <c r="H66" s="265">
        <v>600000</v>
      </c>
      <c r="I66" s="266">
        <f>ROUND(((SUM(C66:H66)-MIN(C66:H66)-MAX(C66:H66))/(COUNT(C66:H66)-2)),2)</f>
        <v>600000</v>
      </c>
      <c r="J66" s="266">
        <f>ROUND(((SUM(C66:H66)-MIN(C66:H66)-MAX(C66:H66))/(COUNT(C66:H66)-2))/'Devizni tecaj, porez i gorivo'!$B$6,2)</f>
        <v>79916.740000000005</v>
      </c>
    </row>
    <row r="67" spans="1:10" ht="15">
      <c r="A67" s="261" t="s">
        <v>373</v>
      </c>
      <c r="B67" s="262" t="s">
        <v>500</v>
      </c>
      <c r="C67" s="263">
        <v>300000</v>
      </c>
      <c r="D67" s="264">
        <v>300000</v>
      </c>
      <c r="E67" s="264">
        <v>300000</v>
      </c>
      <c r="F67" s="264">
        <v>300000</v>
      </c>
      <c r="G67" s="264">
        <v>300000</v>
      </c>
      <c r="H67" s="265">
        <v>300000</v>
      </c>
      <c r="I67" s="266">
        <f>ROUND(((SUM(C67:H67)-MIN(C67:H67)-MAX(C67:H67))/(COUNT(C67:H67)-2)),2)</f>
        <v>300000</v>
      </c>
      <c r="J67" s="266">
        <f>ROUND(((SUM(C67:H67)-MIN(C67:H67)-MAX(C67:H67))/(COUNT(C67:H67)-2))/'Devizni tecaj, porez i gorivo'!$B$6,2)</f>
        <v>39958.370000000003</v>
      </c>
    </row>
    <row r="68" spans="1:10" ht="15">
      <c r="A68" s="261" t="s">
        <v>375</v>
      </c>
      <c r="B68" s="262" t="s">
        <v>501</v>
      </c>
      <c r="C68" s="267">
        <v>190000</v>
      </c>
      <c r="D68" s="264">
        <v>220000</v>
      </c>
      <c r="E68" s="264">
        <v>198000</v>
      </c>
      <c r="F68" s="264"/>
      <c r="G68" s="264"/>
      <c r="H68" s="265"/>
      <c r="I68" s="266">
        <f t="shared" ref="I68:I74" si="1">ROUND(((SUM(C68:H68)-MIN(C68:H68)-MAX(C68:H68))/(COUNT(C68:H68)-2)),2)</f>
        <v>198000</v>
      </c>
      <c r="J68" s="266">
        <f>ROUND(((SUM(C68:H68)-MIN(C68:H68)-MAX(C68:H68))/(COUNT(C68:H68)-2))/'Devizni tecaj, porez i gorivo'!$B$6,2)</f>
        <v>26372.52</v>
      </c>
    </row>
    <row r="69" spans="1:10" ht="15">
      <c r="A69" s="261" t="s">
        <v>377</v>
      </c>
      <c r="B69" s="262" t="s">
        <v>502</v>
      </c>
      <c r="C69" s="267">
        <v>960000</v>
      </c>
      <c r="D69" s="264">
        <v>560000</v>
      </c>
      <c r="E69" s="264">
        <v>727000</v>
      </c>
      <c r="F69" s="264">
        <v>749000</v>
      </c>
      <c r="G69" s="264"/>
      <c r="H69" s="265"/>
      <c r="I69" s="266">
        <f t="shared" si="1"/>
        <v>738000</v>
      </c>
      <c r="J69" s="266">
        <f>ROUND(((SUM(C69:H69)-MIN(C69:H69)-MAX(C69:H69))/(COUNT(C69:H69)-2))/'Devizni tecaj, porez i gorivo'!$B$6,2)</f>
        <v>98297.59</v>
      </c>
    </row>
    <row r="70" spans="1:10" ht="15">
      <c r="A70" s="261" t="s">
        <v>380</v>
      </c>
      <c r="B70" s="262" t="s">
        <v>503</v>
      </c>
      <c r="C70" s="267">
        <v>136000</v>
      </c>
      <c r="D70" s="264"/>
      <c r="E70" s="264"/>
      <c r="F70" s="264"/>
      <c r="G70" s="264"/>
      <c r="H70" s="265"/>
      <c r="I70" s="266">
        <f t="shared" si="1"/>
        <v>136000</v>
      </c>
      <c r="J70" s="266">
        <f>ROUND(((SUM(C70:H70)-MIN(C70:H70)-MAX(C70:H70))/(COUNT(C70:H70)-2))/'Devizni tecaj, porez i gorivo'!$B$6,2)</f>
        <v>18114.46</v>
      </c>
    </row>
    <row r="71" spans="1:10" ht="15">
      <c r="A71" s="261" t="s">
        <v>381</v>
      </c>
      <c r="B71" s="262" t="s">
        <v>504</v>
      </c>
      <c r="C71" s="267">
        <v>174000</v>
      </c>
      <c r="D71" s="264">
        <v>270000</v>
      </c>
      <c r="E71" s="264">
        <v>222000</v>
      </c>
      <c r="F71" s="264"/>
      <c r="G71" s="264"/>
      <c r="H71" s="265"/>
      <c r="I71" s="266">
        <f t="shared" si="1"/>
        <v>222000</v>
      </c>
      <c r="J71" s="266">
        <f>ROUND(((SUM(C71:H71)-MIN(C71:H71)-MAX(C71:H71))/(COUNT(C71:H71)-2))/'Devizni tecaj, porez i gorivo'!$B$6,2)</f>
        <v>29569.19</v>
      </c>
    </row>
    <row r="72" spans="1:10" ht="15">
      <c r="A72" s="261" t="s">
        <v>383</v>
      </c>
      <c r="B72" s="262" t="s">
        <v>505</v>
      </c>
      <c r="C72" s="267">
        <v>222000</v>
      </c>
      <c r="D72" s="264"/>
      <c r="E72" s="264"/>
      <c r="F72" s="264"/>
      <c r="G72" s="264"/>
      <c r="H72" s="265"/>
      <c r="I72" s="266">
        <f t="shared" si="1"/>
        <v>222000</v>
      </c>
      <c r="J72" s="266">
        <f>ROUND(((SUM(C72:H72)-MIN(C72:H72)-MAX(C72:H72))/(COUNT(C72:H72)-2))/'Devizni tecaj, porez i gorivo'!$B$6,2)</f>
        <v>29569.19</v>
      </c>
    </row>
    <row r="73" spans="1:10" ht="15">
      <c r="A73" s="261" t="s">
        <v>385</v>
      </c>
      <c r="B73" s="262" t="s">
        <v>213</v>
      </c>
      <c r="C73" s="270">
        <v>290000</v>
      </c>
      <c r="D73" s="271"/>
      <c r="E73" s="271"/>
      <c r="F73" s="271"/>
      <c r="G73" s="271"/>
      <c r="H73" s="272"/>
      <c r="I73" s="266">
        <f t="shared" si="1"/>
        <v>290000</v>
      </c>
      <c r="J73" s="266">
        <f>ROUND(((SUM(C73:H73)-MIN(C73:H73)-MAX(C73:H73))/(COUNT(C73:H73)-2))/'Devizni tecaj, porez i gorivo'!$B$6,2)</f>
        <v>38626.42</v>
      </c>
    </row>
    <row r="74" spans="1:10" ht="15">
      <c r="A74" s="261" t="s">
        <v>387</v>
      </c>
      <c r="B74" s="262" t="s">
        <v>884</v>
      </c>
      <c r="C74" s="270">
        <v>227000</v>
      </c>
      <c r="D74" s="271"/>
      <c r="E74" s="271"/>
      <c r="F74" s="271"/>
      <c r="G74" s="271"/>
      <c r="H74" s="272"/>
      <c r="I74" s="266">
        <f t="shared" si="1"/>
        <v>227000</v>
      </c>
      <c r="J74" s="266">
        <f>ROUND(((SUM(C74:H74)-MIN(C74:H74)-MAX(C74:H74))/(COUNT(C74:H74)-2))/'Devizni tecaj, porez i gorivo'!$B$6,2)</f>
        <v>30235.17</v>
      </c>
    </row>
    <row r="75" spans="1:10" ht="15">
      <c r="A75" s="261" t="s">
        <v>389</v>
      </c>
      <c r="B75" s="262" t="s">
        <v>225</v>
      </c>
      <c r="C75" s="273">
        <v>7500</v>
      </c>
      <c r="D75" s="274"/>
      <c r="E75" s="274"/>
      <c r="F75" s="274"/>
      <c r="G75" s="274"/>
      <c r="H75" s="275"/>
      <c r="I75" s="276">
        <f t="shared" ref="I75:I80" si="2">ROUND(((SUM(C75:H75)-MIN(C75:H75)-MAX(C75:H75))/(COUNT(C75:H75)-2)),2)</f>
        <v>7500</v>
      </c>
      <c r="J75" s="276">
        <f>ROUND(((SUM(C75:H75)-MIN(C75:H75)-MAX(C75:H75))/(COUNT(C75:H75)-2))/'Devizni tecaj, porez i gorivo'!$B$6,2)</f>
        <v>998.96</v>
      </c>
    </row>
    <row r="76" spans="1:10" ht="15">
      <c r="A76" s="261" t="s">
        <v>391</v>
      </c>
      <c r="B76" s="262" t="s">
        <v>506</v>
      </c>
      <c r="C76" s="273">
        <v>500000</v>
      </c>
      <c r="D76" s="274"/>
      <c r="E76" s="274"/>
      <c r="F76" s="274"/>
      <c r="G76" s="274"/>
      <c r="H76" s="275"/>
      <c r="I76" s="276">
        <f t="shared" si="2"/>
        <v>500000</v>
      </c>
      <c r="J76" s="276">
        <f>ROUND(((SUM(C76:H76)-MIN(C76:H76)-MAX(C76:H76))/(COUNT(C76:H76)-2))/'Devizni tecaj, porez i gorivo'!$B$6,2)</f>
        <v>66597.279999999999</v>
      </c>
    </row>
    <row r="77" spans="1:10" ht="15">
      <c r="A77" s="261" t="s">
        <v>393</v>
      </c>
      <c r="B77" s="262" t="s">
        <v>232</v>
      </c>
      <c r="C77" s="273">
        <v>500000</v>
      </c>
      <c r="D77" s="274"/>
      <c r="E77" s="274"/>
      <c r="F77" s="274"/>
      <c r="G77" s="274"/>
      <c r="H77" s="275"/>
      <c r="I77" s="276">
        <f t="shared" si="2"/>
        <v>500000</v>
      </c>
      <c r="J77" s="276">
        <f>ROUND(((SUM(C77:H77)-MIN(C77:H77)-MAX(C77:H77))/(COUNT(C77:H77)-2))/'Devizni tecaj, porez i gorivo'!$B$6,2)</f>
        <v>66597.279999999999</v>
      </c>
    </row>
    <row r="78" spans="1:10" ht="28.5">
      <c r="A78" s="261" t="s">
        <v>395</v>
      </c>
      <c r="B78" s="262" t="s">
        <v>507</v>
      </c>
      <c r="C78" s="273">
        <v>280000</v>
      </c>
      <c r="D78" s="274"/>
      <c r="E78" s="274"/>
      <c r="F78" s="274"/>
      <c r="G78" s="274"/>
      <c r="H78" s="275"/>
      <c r="I78" s="276">
        <f t="shared" si="2"/>
        <v>280000</v>
      </c>
      <c r="J78" s="276">
        <f>ROUND(((SUM(C78:H78)-MIN(C78:H78)-MAX(C78:H78))/(COUNT(C78:H78)-2))/'Devizni tecaj, porez i gorivo'!$B$6,2)</f>
        <v>37294.480000000003</v>
      </c>
    </row>
    <row r="79" spans="1:10" ht="15">
      <c r="A79" s="261" t="s">
        <v>397</v>
      </c>
      <c r="B79" s="262" t="s">
        <v>508</v>
      </c>
      <c r="C79" s="273">
        <v>280000</v>
      </c>
      <c r="D79" s="274"/>
      <c r="E79" s="274"/>
      <c r="F79" s="274"/>
      <c r="G79" s="274"/>
      <c r="H79" s="275"/>
      <c r="I79" s="276">
        <f t="shared" si="2"/>
        <v>280000</v>
      </c>
      <c r="J79" s="276">
        <f>ROUND(((SUM(C79:H79)-MIN(C79:H79)-MAX(C79:H79))/(COUNT(C79:H79)-2))/'Devizni tecaj, porez i gorivo'!$B$6,2)</f>
        <v>37294.480000000003</v>
      </c>
    </row>
    <row r="80" spans="1:10" ht="15">
      <c r="A80" s="261" t="s">
        <v>399</v>
      </c>
      <c r="B80" s="262" t="s">
        <v>509</v>
      </c>
      <c r="C80" s="273">
        <v>1184000</v>
      </c>
      <c r="D80" s="274">
        <v>800625</v>
      </c>
      <c r="E80" s="274">
        <v>800625</v>
      </c>
      <c r="F80" s="274">
        <v>800625</v>
      </c>
      <c r="G80" s="274">
        <v>800625</v>
      </c>
      <c r="H80" s="274">
        <v>800625</v>
      </c>
      <c r="I80" s="276">
        <f t="shared" si="2"/>
        <v>800625</v>
      </c>
      <c r="J80" s="276">
        <f>ROUND(((SUM(C80:H80)-MIN(C80:H80)-MAX(C80:H80))/(COUNT(C80:H80)-2))/'Devizni tecaj, porez i gorivo'!$B$6,2)</f>
        <v>106638.9</v>
      </c>
    </row>
    <row r="81" spans="1:10" ht="15">
      <c r="A81" s="277" t="s">
        <v>401</v>
      </c>
      <c r="B81" s="278" t="s">
        <v>510</v>
      </c>
      <c r="C81" s="279">
        <v>15000</v>
      </c>
      <c r="D81" s="280"/>
      <c r="E81" s="280"/>
      <c r="F81" s="280"/>
      <c r="G81" s="280"/>
      <c r="H81" s="281"/>
      <c r="I81" s="282">
        <f>ROUND(((SUM(C81:H81)-MIN(C81:H81)-MAX(C81:H81))/(COUNT(C81:H81)-2)),2)</f>
        <v>15000</v>
      </c>
      <c r="J81" s="282">
        <f>ROUND(((SUM(C81:H81)-MIN(C81:H81)-MAX(C81:H81))/(COUNT(C81:H81)-2))/'Devizni tecaj, porez i gorivo'!$B$6,2)</f>
        <v>1997.92</v>
      </c>
    </row>
    <row r="82" spans="1:10" ht="15">
      <c r="A82" s="261" t="s">
        <v>403</v>
      </c>
      <c r="B82" s="262" t="s">
        <v>511</v>
      </c>
      <c r="C82" s="273">
        <v>70000</v>
      </c>
      <c r="D82" s="274"/>
      <c r="E82" s="274"/>
      <c r="F82" s="274"/>
      <c r="G82" s="274"/>
      <c r="H82" s="275"/>
      <c r="I82" s="276">
        <f>ROUND(((SUM(C82:H82)-MIN(C82:H82)-MAX(C82:H82))/(COUNT(C82:H82)-2)),2)</f>
        <v>70000</v>
      </c>
      <c r="J82" s="276">
        <f>ROUND(((SUM(C82:H82)-MIN(C82:H82)-MAX(C82:H82))/(COUNT(C82:H82)-2))/'Devizni tecaj, porez i gorivo'!$B$6,2)</f>
        <v>9323.6200000000008</v>
      </c>
    </row>
    <row r="83" spans="1:10" ht="15">
      <c r="A83" s="283" t="s">
        <v>405</v>
      </c>
      <c r="B83" s="284" t="s">
        <v>147</v>
      </c>
      <c r="C83" s="285">
        <v>29500</v>
      </c>
      <c r="D83" s="286">
        <v>114750</v>
      </c>
      <c r="E83" s="286">
        <v>28750</v>
      </c>
      <c r="F83" s="286">
        <v>30000</v>
      </c>
      <c r="G83" s="286">
        <v>83028</v>
      </c>
      <c r="H83" s="287"/>
      <c r="I83" s="288">
        <f>ROUND(((SUM(C83:H83)-MIN(C83:H83)-MAX(C83:H83))/(COUNT(C83:H83)-2)),2)</f>
        <v>47509.33</v>
      </c>
      <c r="J83" s="288">
        <f>ROUND(((SUM(C83:H83)-MIN(C83:H83)-MAX(C83:H83))/(COUNT(C83:H83)-2))/'Devizni tecaj, porez i gorivo'!$B$6,2)</f>
        <v>6327.98</v>
      </c>
    </row>
    <row r="84" spans="1:10" ht="15">
      <c r="A84" s="283">
        <v>78</v>
      </c>
      <c r="B84" s="284" t="s">
        <v>512</v>
      </c>
      <c r="C84" s="285">
        <v>58000</v>
      </c>
      <c r="D84" s="286">
        <v>56500</v>
      </c>
      <c r="E84" s="286">
        <v>63000</v>
      </c>
      <c r="F84" s="286">
        <v>61000</v>
      </c>
      <c r="G84" s="286">
        <v>59000</v>
      </c>
      <c r="H84" s="287">
        <v>63000</v>
      </c>
      <c r="I84" s="288">
        <f>ROUND(((SUM(C84:H84)-MIN(C84:H84)-MAX(C84:H84))/(COUNT(C84:H84)-2)),2)</f>
        <v>60250</v>
      </c>
      <c r="J84" s="288">
        <f>ROUND(((SUM(C84:H84)-MIN(C84:H84)-MAX(C84:H84))/(COUNT(C84:H84)-2))/'Devizni tecaj, porez i gorivo'!$B$6,2)</f>
        <v>8024.97</v>
      </c>
    </row>
    <row r="85" spans="1:10" ht="15">
      <c r="A85" s="283">
        <v>79</v>
      </c>
      <c r="B85" s="284" t="s">
        <v>253</v>
      </c>
      <c r="C85" s="285">
        <v>30000</v>
      </c>
      <c r="D85" s="286">
        <v>32000</v>
      </c>
      <c r="E85" s="286">
        <v>31500</v>
      </c>
      <c r="F85" s="286">
        <v>36000</v>
      </c>
      <c r="G85" s="286">
        <v>33000</v>
      </c>
      <c r="H85" s="287">
        <v>33500</v>
      </c>
      <c r="I85" s="288">
        <f>ROUND(((SUM(C85:H85)-MIN(C85:H85)-MAX(C85:H85))/(COUNT(C85:H85)-2)),2)</f>
        <v>32500</v>
      </c>
      <c r="J85" s="288">
        <f>ROUND(((SUM(C85:H85)-MIN(C85:H85)-MAX(C85:H85))/(COUNT(C85:H85)-2))/'Devizni tecaj, porez i gorivo'!$B$6,2)</f>
        <v>4328.82</v>
      </c>
    </row>
  </sheetData>
  <sheetProtection selectLockedCells="1"/>
  <mergeCells count="6">
    <mergeCell ref="A3:J3"/>
    <mergeCell ref="B5:B6"/>
    <mergeCell ref="J5:J6"/>
    <mergeCell ref="C5:H5"/>
    <mergeCell ref="A5:A6"/>
    <mergeCell ref="I5:I6"/>
  </mergeCells>
  <phoneticPr fontId="44" type="noConversion"/>
  <pageMargins left="0.98425196850393704" right="0.39370078740157483" top="0.39370078740157483" bottom="0.39370078740157483" header="0.19685039370078741" footer="0.19685039370078741"/>
  <pageSetup paperSize="9" scale="55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4"/>
  </sheetPr>
  <dimension ref="A1:CB58"/>
  <sheetViews>
    <sheetView zoomScale="115" zoomScaleNormal="115" zoomScaleSheetLayoutView="75" workbookViewId="0">
      <pane xSplit="1" ySplit="4" topLeftCell="D76" activePane="bottomRight" state="frozen"/>
      <selection pane="topRight" activeCell="B21" sqref="B21"/>
      <selection pane="bottomLeft" activeCell="B21" sqref="B21"/>
      <selection pane="bottomRight" activeCell="D76" sqref="D76"/>
    </sheetView>
  </sheetViews>
  <sheetFormatPr defaultColWidth="9.28515625" defaultRowHeight="12.75"/>
  <cols>
    <col min="1" max="1" width="55.140625" style="289" customWidth="1"/>
    <col min="2" max="2" width="28.7109375" style="290" customWidth="1"/>
    <col min="3" max="55" width="28.7109375" style="245" customWidth="1"/>
    <col min="56" max="56" width="28.7109375" style="290" customWidth="1"/>
    <col min="57" max="62" width="28.7109375" style="245" customWidth="1"/>
    <col min="63" max="70" width="28.7109375" style="223" customWidth="1"/>
    <col min="71" max="74" width="28.7109375" style="291" customWidth="1"/>
    <col min="75" max="78" width="28.7109375" style="223" customWidth="1"/>
    <col min="79" max="79" width="26" style="223" customWidth="1"/>
    <col min="80" max="80" width="29.7109375" style="223" customWidth="1"/>
    <col min="81" max="16384" width="9.28515625" style="223"/>
  </cols>
  <sheetData>
    <row r="1" spans="1:80" ht="13.5" customHeight="1">
      <c r="BS1" s="495"/>
      <c r="BT1" s="495"/>
      <c r="BU1" s="495"/>
      <c r="BV1" s="495"/>
      <c r="CB1" s="245"/>
    </row>
    <row r="2" spans="1:80">
      <c r="A2" s="292" t="s">
        <v>513</v>
      </c>
      <c r="S2" s="293"/>
      <c r="BS2" s="495"/>
      <c r="BT2" s="495"/>
      <c r="BU2" s="495"/>
      <c r="BV2" s="495"/>
      <c r="CB2" s="245"/>
    </row>
    <row r="3" spans="1:80" s="296" customFormat="1" ht="12" customHeight="1">
      <c r="A3" s="294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S3" s="297"/>
      <c r="BT3" s="297"/>
      <c r="BU3" s="297"/>
      <c r="BV3" s="297"/>
      <c r="CB3" s="295"/>
    </row>
    <row r="4" spans="1:80" s="302" customFormat="1" ht="60" customHeight="1">
      <c r="A4" s="145"/>
      <c r="B4" s="298" t="str">
        <f>'Nabavna cijena'!$B7</f>
        <v>Ophodarsko vozilo</v>
      </c>
      <c r="C4" s="298" t="str">
        <f>'Nabavna cijena'!$B8</f>
        <v>Vozilo za vage (citroen jumper)</v>
      </c>
      <c r="D4" s="298" t="str">
        <f>'Nabavna cijena'!$B9</f>
        <v>Vage</v>
      </c>
      <c r="E4" s="298" t="str">
        <f>'Nabavna cijena'!$B10</f>
        <v>Grejder</v>
      </c>
      <c r="F4" s="298" t="str">
        <f>'Nabavna cijena'!$B11</f>
        <v>Utovarivač</v>
      </c>
      <c r="G4" s="298" t="str">
        <f>'Nabavna cijena'!$B12</f>
        <v>Rovokopač (bager) na kotačima</v>
      </c>
      <c r="H4" s="298" t="str">
        <f>'Nabavna cijena'!$B13</f>
        <v>Rovokopač - utovarivač</v>
      </c>
      <c r="I4" s="298" t="str">
        <f>'Nabavna cijena'!$B14</f>
        <v>Pneumatski čekić</v>
      </c>
      <c r="J4" s="298" t="str">
        <f>'Nabavna cijena'!$B15</f>
        <v>Valjak do 2 t</v>
      </c>
      <c r="K4" s="298" t="str">
        <f>'Nabavna cijena'!$B16</f>
        <v>Valjak 2-6 t</v>
      </c>
      <c r="L4" s="298" t="str">
        <f>'Nabavna cijena'!$B17</f>
        <v>Valjak &gt; 6 t</v>
      </c>
      <c r="M4" s="298" t="str">
        <f>'Nabavna cijena'!$B18</f>
        <v>Rezač asfalta</v>
      </c>
      <c r="N4" s="298" t="str">
        <f>'Nabavna cijena'!$B19</f>
        <v>Freza za asfalt</v>
      </c>
      <c r="O4" s="298" t="str">
        <f>'Nabavna cijena'!$B20</f>
        <v>Cisterna za bitumensku emulziju s rampom za prskanje</v>
      </c>
      <c r="P4" s="298" t="str">
        <f>'Nabavna cijena'!$B21</f>
        <v xml:space="preserve">Finišer širine polaganja asfalta 5,0-7,0 m </v>
      </c>
      <c r="Q4" s="298" t="str">
        <f>'Nabavna cijena'!B22</f>
        <v>Finišer za remiks</v>
      </c>
      <c r="R4" s="298" t="str">
        <f>'Nabavna cijena'!$B23</f>
        <v>Kamion do 2 t</v>
      </c>
      <c r="S4" s="298" t="str">
        <f>'Nabavna cijena'!$B24</f>
        <v>Teretni automobil nosivosti 3,5 - 12 t</v>
      </c>
      <c r="T4" s="298" t="str">
        <f>'Nabavna cijena'!$B25</f>
        <v>Teretni automobil nosivosti &gt; 12 t</v>
      </c>
      <c r="U4" s="298" t="str">
        <f>'Nabavna cijena'!$B26</f>
        <v>Teretni automobil cisterna</v>
      </c>
      <c r="V4" s="298" t="str">
        <f>'Nabavna cijena'!$B27</f>
        <v>Teretni automobil nosivosti 3,5-12 t sa dizalicom</v>
      </c>
      <c r="W4" s="298" t="str">
        <f>'Nabavna cijena'!$B28</f>
        <v>Autodizalica 28 t</v>
      </c>
      <c r="X4" s="298" t="str">
        <f>'Nabavna cijena'!$B29</f>
        <v>Prikolica za prijevoz stroja nosivosti 24 t</v>
      </c>
      <c r="Y4" s="298" t="str">
        <f>'Nabavna cijena'!$B30</f>
        <v>Prikolica za prijevoz stroja nosivosti 7 t</v>
      </c>
      <c r="Z4" s="298" t="str">
        <f>'Nabavna cijena'!$B31</f>
        <v>Prikolica za prijevoz stroja nosivosti 3,5 t</v>
      </c>
      <c r="AA4" s="298" t="str">
        <f>'Nabavna cijena'!$B32</f>
        <v>Specijalni stroj (Mulag)</v>
      </c>
      <c r="AB4" s="298" t="str">
        <f>'Nabavna cijena'!B33</f>
        <v>Snježna freza (samohodna)</v>
      </c>
      <c r="AC4" s="298" t="str">
        <f>'Nabavna cijena'!$B34</f>
        <v>Odbacivač snijega</v>
      </c>
      <c r="AD4" s="298" t="str">
        <f>'Nabavna cijena'!$B35</f>
        <v>Uređaj za pripremu sredstva za mokro posipanje</v>
      </c>
      <c r="AE4" s="298" t="str">
        <f>'Nabavna cijena'!$B36</f>
        <v>Manja ralica</v>
      </c>
      <c r="AF4" s="298" t="str">
        <f>'Nabavna cijena'!$B37</f>
        <v>Snježni plug radne širine do 3,5 m</v>
      </c>
      <c r="AG4" s="298" t="str">
        <f>'Nabavna cijena'!$B38</f>
        <v>Silosni posipač zapremine 6,0 m3</v>
      </c>
      <c r="AH4" s="298" t="str">
        <f>'Nabavna cijena'!$B39</f>
        <v>Vučni posipač</v>
      </c>
      <c r="AI4" s="298" t="str">
        <f>'Nabavna cijena'!$B40</f>
        <v>Silosni posipač zapremine 1,0 m3</v>
      </c>
      <c r="AJ4" s="298" t="str">
        <f>'Nabavna cijena'!$B41</f>
        <v>Specijalni stroj (Unimog)</v>
      </c>
      <c r="AK4" s="298" t="str">
        <f>'Nabavna cijena'!$B42</f>
        <v>Traktor</v>
      </c>
      <c r="AL4" s="298" t="str">
        <f>'Nabavna cijena'!$B43</f>
        <v>Silosni posipač za specijalni stroj (Unimog)</v>
      </c>
      <c r="AM4" s="298" t="str">
        <f>'Nabavna cijena'!$B44</f>
        <v>Snježni plug za specijani stroj (Unimog)</v>
      </c>
      <c r="AN4" s="298" t="str">
        <f>'Nabavna cijena'!$B45</f>
        <v>Hidraulička ruka sa kosilicom za specijalni stroj (Unimog)</v>
      </c>
      <c r="AO4" s="298" t="str">
        <f>'Nabavna cijena'!$B46</f>
        <v>Hidraulička ruka sa kosilicom za traktor</v>
      </c>
      <c r="AP4" s="298" t="str">
        <f>'Nabavna cijena'!$B47</f>
        <v>Četka za kolnik za specijalni stroj (Unimog)</v>
      </c>
      <c r="AQ4" s="298" t="str">
        <f>'Nabavna cijena'!$B48</f>
        <v>Hidraulička ruka sa škarama za rezanje granja za specijalni stroj (Unimog)</v>
      </c>
      <c r="AR4" s="298" t="str">
        <f>'Nabavna cijena'!$B49</f>
        <v>Mlin za granje (drobilica)</v>
      </c>
      <c r="AS4" s="298" t="str">
        <f>'Nabavna cijena'!B50</f>
        <v>Motorna pila</v>
      </c>
      <c r="AT4" s="298" t="str">
        <f>'Nabavna cijena'!B51</f>
        <v>Traktorska prikolica</v>
      </c>
      <c r="AU4" s="298" t="str">
        <f>'Nabavna cijena'!$B52</f>
        <v>Traktorska utovarna korpa</v>
      </c>
      <c r="AV4" s="298" t="str">
        <f>'Nabavna cijena'!$B53</f>
        <v>Freza za uklanjanje nadvišenih dijelova bankine</v>
      </c>
      <c r="AW4" s="298" t="str">
        <f>'Nabavna cijena'!$B54</f>
        <v>Freza za fuge SSF 12</v>
      </c>
      <c r="AX4" s="298" t="str">
        <f>'Nabavna cijena'!$B55</f>
        <v>Stroj za fugiranje RWK 190/150</v>
      </c>
      <c r="AY4" s="298" t="str">
        <f>'Nabavna cijena'!$B56</f>
        <v>Betonska miješalica</v>
      </c>
      <c r="AZ4" s="298" t="str">
        <f>'Nabavna cijena'!$B57</f>
        <v>Pumpa za vodu</v>
      </c>
      <c r="BA4" s="298" t="str">
        <f>'Nabavna cijena'!$B58</f>
        <v>Vibroploča</v>
      </c>
      <c r="BB4" s="298" t="str">
        <f>'Nabavna cijena'!$B59</f>
        <v>Skidač oznaka na kolniku</v>
      </c>
      <c r="BC4" s="298" t="str">
        <f>'Nabavna cijena'!$B60</f>
        <v>Ručno vođeni stroj za nanošenje boje sa bezračnim "Airless" rasprskavajućim pištoljem</v>
      </c>
      <c r="BD4" s="298" t="str">
        <f>'Nabavna cijena'!B61</f>
        <v>Trokolica</v>
      </c>
      <c r="BE4" s="298" t="str">
        <f>'Nabavna cijena'!$B62</f>
        <v>Pokretni kompresor s priključcima</v>
      </c>
      <c r="BF4" s="298" t="str">
        <f>'Nabavna cijena'!B63</f>
        <v>Hidraulična košara</v>
      </c>
      <c r="BG4" s="298" t="str">
        <f>'Nabavna cijena'!$B64</f>
        <v>Pokretni semafor</v>
      </c>
      <c r="BH4" s="298" t="str">
        <f>'Nabavna cijena'!$B65</f>
        <v>Prijenosni agregat za struju s priključcima</v>
      </c>
      <c r="BI4" s="298" t="str">
        <f>'Nabavna cijena'!B66</f>
        <v>Silos za sol</v>
      </c>
      <c r="BJ4" s="298" t="str">
        <f>'Nabavna cijena'!B67</f>
        <v>Nadstrešnica za sol</v>
      </c>
      <c r="BK4" s="298" t="str">
        <f>'Nabavna cijena'!B68</f>
        <v>Termokontejner za asfalt (6t)</v>
      </c>
      <c r="BL4" s="299" t="str">
        <f>'Nabavna cijena'!B69</f>
        <v>Mali finišer širine polaganja asfalta 0,5-3,2 m</v>
      </c>
      <c r="BM4" s="299" t="str">
        <f>'Nabavna cijena'!B70</f>
        <v>Malčer - rotositnilica za bager</v>
      </c>
      <c r="BN4" s="300" t="str">
        <f>'Nabavna cijena'!B71</f>
        <v>Mini rovokopač (bager)</v>
      </c>
      <c r="BO4" s="299" t="str">
        <f>'Nabavna cijena'!B72</f>
        <v>Mini utovarivač</v>
      </c>
      <c r="BP4" s="300" t="str">
        <f>'Nabavna cijena'!B73</f>
        <v>Stroj za izradu bankina</v>
      </c>
      <c r="BQ4" s="468" t="str">
        <f>'Nabavna cijena'!B74</f>
        <v>Teretni automobil nosivosti do 3,5t</v>
      </c>
      <c r="BR4" s="298" t="str">
        <f>'Nabavna cijena'!B75</f>
        <v>Ručni trimer za travu</v>
      </c>
      <c r="BS4" s="301" t="str">
        <f>'Nabavna cijena'!B76</f>
        <v>Priključak za specijalni stroj (Unimog) - usisavač trave</v>
      </c>
      <c r="BT4" s="298" t="str">
        <f>'Nabavna cijena'!B77</f>
        <v>Priključak za traktor - usisavač trave</v>
      </c>
      <c r="BU4" s="301" t="str">
        <f>'Nabavna cijena'!B78</f>
        <v>Priključak za specijalni stroj (Unimog)  - prikolica za skupljanje usisane trave</v>
      </c>
      <c r="BV4" s="298" t="str">
        <f>'Nabavna cijena'!B79</f>
        <v>Priključak za traktor  - prikolica za skupljanje usisane trave</v>
      </c>
      <c r="BW4" s="465" t="str">
        <f>'Nabavna cijena'!B80</f>
        <v>Samohodni stroj za oznake na kolniku + Amakos</v>
      </c>
      <c r="BX4" s="298" t="str">
        <f>'Nabavna cijena'!B81</f>
        <v>Pervibrator</v>
      </c>
      <c r="BY4" s="298" t="str">
        <f>'Nabavna cijena'!B82</f>
        <v>Četka za mini utovarivač</v>
      </c>
      <c r="BZ4" s="298" t="str">
        <f>'Nabavna cijena'!B83</f>
        <v>Ručna prijenosna prskalica za bitumensku emulziju</v>
      </c>
      <c r="CA4" s="300" t="str">
        <f>'Nabavna cijena'!B84</f>
        <v>Viličar</v>
      </c>
      <c r="CB4" s="298" t="str">
        <f>'Nabavna cijena'!B85</f>
        <v>Snježna freza - ručna</v>
      </c>
    </row>
    <row r="5" spans="1:80" ht="15.75" customHeight="1">
      <c r="A5" s="303" t="s">
        <v>514</v>
      </c>
      <c r="B5" s="304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4"/>
      <c r="BE5" s="305"/>
      <c r="BF5" s="305"/>
      <c r="BG5" s="305"/>
      <c r="BH5" s="305"/>
      <c r="BI5" s="305"/>
      <c r="BJ5" s="305"/>
      <c r="BK5" s="306"/>
      <c r="BL5" s="305"/>
      <c r="BM5" s="305"/>
      <c r="BN5" s="305"/>
      <c r="BO5" s="305"/>
      <c r="BP5" s="305"/>
      <c r="BQ5" s="305"/>
      <c r="BR5" s="305"/>
      <c r="BS5" s="496"/>
      <c r="BT5" s="496"/>
      <c r="BU5" s="496"/>
      <c r="BV5" s="496"/>
      <c r="BW5" s="305"/>
      <c r="BX5" s="305"/>
      <c r="BY5" s="305"/>
      <c r="BZ5" s="305"/>
      <c r="CA5" s="305"/>
      <c r="CB5" s="305"/>
    </row>
    <row r="6" spans="1:80" s="371" customFormat="1" ht="15.75" customHeight="1">
      <c r="A6" s="307" t="s">
        <v>515</v>
      </c>
      <c r="B6" s="308">
        <v>0</v>
      </c>
      <c r="C6" s="309">
        <v>0</v>
      </c>
      <c r="D6" s="309">
        <v>0</v>
      </c>
      <c r="E6" s="309">
        <f>'Cjenik RS'!$D$15/'Cjenik RS'!$D$6</f>
        <v>19.312499999999996</v>
      </c>
      <c r="F6" s="309">
        <f>'Cjenik RS'!$D$15/'Cjenik RS'!$D$6</f>
        <v>19.312499999999996</v>
      </c>
      <c r="G6" s="309">
        <f>'Cjenik RS'!$D$15/'Cjenik RS'!$D$6</f>
        <v>19.312499999999996</v>
      </c>
      <c r="H6" s="309">
        <f>'Cjenik RS'!$D$14/'Cjenik RS'!$D$6</f>
        <v>24.518749999999997</v>
      </c>
      <c r="I6" s="309">
        <f>'Cjenik RS'!$D$12/'Cjenik RS'!$D$6</f>
        <v>40.140624999999993</v>
      </c>
      <c r="J6" s="309">
        <f>'Cjenik RS'!$D$14/'Cjenik RS'!$D$6</f>
        <v>24.518749999999997</v>
      </c>
      <c r="K6" s="309">
        <f>'Cjenik RS'!$D$14/'Cjenik RS'!$D$6</f>
        <v>24.518749999999997</v>
      </c>
      <c r="L6" s="309">
        <f>'Cjenik RS'!$D$14/'Cjenik RS'!$D$6</f>
        <v>24.518749999999997</v>
      </c>
      <c r="M6" s="309">
        <f>'Cjenik RS'!$D$12/'Cjenik RS'!$D$6</f>
        <v>40.140624999999993</v>
      </c>
      <c r="N6" s="309">
        <f>'Cjenik RS'!$D$15/'Cjenik RS'!$D$6</f>
        <v>19.312499999999996</v>
      </c>
      <c r="O6" s="309">
        <f>'Cjenik RS'!$D$12/'Cjenik RS'!$D$6</f>
        <v>40.140624999999993</v>
      </c>
      <c r="P6" s="309">
        <f>'Cjenik RS'!$D$15/'Cjenik RS'!$D$6</f>
        <v>19.312499999999996</v>
      </c>
      <c r="Q6" s="309">
        <f>'Cjenik RS'!$D$15/'Cjenik RS'!$D$6</f>
        <v>19.312499999999996</v>
      </c>
      <c r="R6" s="309">
        <f>'Cjenik RS'!$D$16/'Cjenik RS'!$D$6</f>
        <v>15.409375000000001</v>
      </c>
      <c r="S6" s="309">
        <f>'Cjenik RS'!$D$16/'Cjenik RS'!$D$6</f>
        <v>15.409375000000001</v>
      </c>
      <c r="T6" s="309">
        <f>'Cjenik RS'!$D$17/'Cjenik RS'!$D$6</f>
        <v>38.840625000000003</v>
      </c>
      <c r="U6" s="309">
        <f>'Cjenik RS'!$D$17/'Cjenik RS'!$D$6</f>
        <v>38.840625000000003</v>
      </c>
      <c r="V6" s="309">
        <f>'Cjenik RS'!$D$17/'Cjenik RS'!$D$6</f>
        <v>38.840625000000003</v>
      </c>
      <c r="W6" s="309">
        <f>'Cjenik RS'!$D$17/'Cjenik RS'!$D$6</f>
        <v>38.840625000000003</v>
      </c>
      <c r="X6" s="309">
        <v>0</v>
      </c>
      <c r="Y6" s="309">
        <v>0</v>
      </c>
      <c r="Z6" s="309">
        <v>0</v>
      </c>
      <c r="AA6" s="309">
        <f>'Cjenik RS'!$D$15/'Cjenik RS'!$D$6</f>
        <v>19.312499999999996</v>
      </c>
      <c r="AB6" s="309">
        <f>'Cjenik RS'!$D$15/'Cjenik RS'!$D$6</f>
        <v>19.312499999999996</v>
      </c>
      <c r="AC6" s="309">
        <v>0</v>
      </c>
      <c r="AD6" s="309">
        <f>'Cjenik RS'!$D$12/'Cjenik RS'!$D$6</f>
        <v>40.140624999999993</v>
      </c>
      <c r="AE6" s="309">
        <v>0</v>
      </c>
      <c r="AF6" s="309">
        <v>0</v>
      </c>
      <c r="AG6" s="309">
        <f>'Cjenik RS'!$D$16/'Cjenik RS'!$D$6</f>
        <v>15.409375000000001</v>
      </c>
      <c r="AH6" s="309">
        <v>0</v>
      </c>
      <c r="AI6" s="309">
        <v>0</v>
      </c>
      <c r="AJ6" s="309">
        <f>'Cjenik RS'!$D$16/'Cjenik RS'!$D$6</f>
        <v>15.409375000000001</v>
      </c>
      <c r="AK6" s="309">
        <f>'Cjenik RS'!$D$14/'Cjenik RS'!$D$6</f>
        <v>24.518749999999997</v>
      </c>
      <c r="AL6" s="309">
        <v>0</v>
      </c>
      <c r="AM6" s="309">
        <v>0</v>
      </c>
      <c r="AN6" s="309">
        <v>0</v>
      </c>
      <c r="AO6" s="309">
        <v>0</v>
      </c>
      <c r="AP6" s="309">
        <v>0</v>
      </c>
      <c r="AQ6" s="309">
        <v>0</v>
      </c>
      <c r="AR6" s="309">
        <v>0</v>
      </c>
      <c r="AS6" s="309">
        <v>0</v>
      </c>
      <c r="AT6" s="309">
        <v>0</v>
      </c>
      <c r="AU6" s="309">
        <v>0</v>
      </c>
      <c r="AV6" s="309">
        <f>'Cjenik RS'!$D$14/'Cjenik RS'!$D$6</f>
        <v>24.518749999999997</v>
      </c>
      <c r="AW6" s="309">
        <f>'Cjenik RS'!$D$14/'Cjenik RS'!$D$6</f>
        <v>24.518749999999997</v>
      </c>
      <c r="AX6" s="309">
        <f>'Cjenik RS'!$D$14/'Cjenik RS'!$D$6</f>
        <v>24.518749999999997</v>
      </c>
      <c r="AY6" s="309">
        <f>'Cjenik RS'!$D$12/'Cjenik RS'!$D$6</f>
        <v>40.140624999999993</v>
      </c>
      <c r="AZ6" s="309">
        <f>'Cjenik RS'!$D$12/'Cjenik RS'!$D$6</f>
        <v>40.140624999999993</v>
      </c>
      <c r="BA6" s="309">
        <f>'Cjenik RS'!$D$12/'Cjenik RS'!$D$6</f>
        <v>40.140624999999993</v>
      </c>
      <c r="BB6" s="309">
        <f>'Cjenik RS'!$D$12/'Cjenik RS'!$D$6</f>
        <v>40.140624999999993</v>
      </c>
      <c r="BC6" s="309">
        <f>'Cjenik RS'!$D$14/'Cjenik RS'!$D$6</f>
        <v>24.518749999999997</v>
      </c>
      <c r="BD6" s="309">
        <f>'Cjenik RS'!$D$12/'Cjenik RS'!$D$6</f>
        <v>40.140624999999993</v>
      </c>
      <c r="BE6" s="309">
        <f>'Cjenik RS'!$D$14/'Cjenik RS'!$D$6</f>
        <v>24.518749999999997</v>
      </c>
      <c r="BF6" s="309">
        <f>'Cjenik RS'!$D$16/'Cjenik RS'!$D$6</f>
        <v>15.409375000000001</v>
      </c>
      <c r="BG6" s="309">
        <v>0</v>
      </c>
      <c r="BH6" s="309">
        <v>0</v>
      </c>
      <c r="BI6" s="309">
        <v>0</v>
      </c>
      <c r="BJ6" s="309">
        <v>0</v>
      </c>
      <c r="BK6" s="309">
        <v>0</v>
      </c>
      <c r="BL6" s="309">
        <f>'Cjenik RS'!$D$15/'Cjenik RS'!$D$6</f>
        <v>19.312499999999996</v>
      </c>
      <c r="BM6" s="309">
        <v>0</v>
      </c>
      <c r="BN6" s="309">
        <f>'Cjenik RS'!$D$14/'Cjenik RS'!$D$6</f>
        <v>24.518749999999997</v>
      </c>
      <c r="BO6" s="309">
        <f>'Cjenik RS'!$D$14/'Cjenik RS'!$D$6</f>
        <v>24.518749999999997</v>
      </c>
      <c r="BP6" s="309">
        <f>'Cjenik RS'!$D$14/'Cjenik RS'!$D$6</f>
        <v>24.518749999999997</v>
      </c>
      <c r="BQ6" s="309">
        <f>'Cjenik RS'!$D$16/'Cjenik RS'!$D$6</f>
        <v>15.409375000000001</v>
      </c>
      <c r="BR6" s="309">
        <v>0</v>
      </c>
      <c r="BS6" s="309">
        <v>0</v>
      </c>
      <c r="BT6" s="309">
        <v>0</v>
      </c>
      <c r="BU6" s="309">
        <v>0</v>
      </c>
      <c r="BV6" s="309">
        <v>0</v>
      </c>
      <c r="BW6" s="309">
        <f>'Cjenik RS'!$D$14/'Cjenik RS'!$D$6</f>
        <v>24.518749999999997</v>
      </c>
      <c r="BX6" s="309">
        <f>'Cjenik RS'!$D$12/'Cjenik RS'!$D$6</f>
        <v>40.140624999999993</v>
      </c>
      <c r="BY6" s="309">
        <v>0</v>
      </c>
      <c r="BZ6" s="309">
        <v>0</v>
      </c>
      <c r="CA6" s="309">
        <f>'Cjenik RS'!$D$14/'Cjenik RS'!$D$6</f>
        <v>24.518749999999997</v>
      </c>
      <c r="CB6" s="309">
        <f>'Cjenik RS'!$D$14/'Cjenik RS'!$D$6</f>
        <v>24.518749999999997</v>
      </c>
    </row>
    <row r="7" spans="1:80" ht="15" customHeight="1">
      <c r="A7" s="310" t="s">
        <v>516</v>
      </c>
      <c r="B7" s="311">
        <v>1750</v>
      </c>
      <c r="C7" s="312">
        <v>1750</v>
      </c>
      <c r="D7" s="312">
        <v>0</v>
      </c>
      <c r="E7" s="313">
        <v>1750</v>
      </c>
      <c r="F7" s="313">
        <v>1750</v>
      </c>
      <c r="G7" s="313">
        <v>1750</v>
      </c>
      <c r="H7" s="313">
        <v>1750</v>
      </c>
      <c r="I7" s="312">
        <v>0</v>
      </c>
      <c r="J7" s="313">
        <v>700</v>
      </c>
      <c r="K7" s="313">
        <v>700</v>
      </c>
      <c r="L7" s="313">
        <v>900</v>
      </c>
      <c r="M7" s="313">
        <v>600</v>
      </c>
      <c r="N7" s="313">
        <v>1750</v>
      </c>
      <c r="O7" s="313">
        <v>1750</v>
      </c>
      <c r="P7" s="313">
        <v>1750</v>
      </c>
      <c r="Q7" s="313">
        <v>1750</v>
      </c>
      <c r="R7" s="313">
        <v>1750</v>
      </c>
      <c r="S7" s="313">
        <v>1750</v>
      </c>
      <c r="T7" s="313">
        <v>1750</v>
      </c>
      <c r="U7" s="313">
        <v>1200</v>
      </c>
      <c r="V7" s="313">
        <v>1750</v>
      </c>
      <c r="W7" s="313">
        <v>400</v>
      </c>
      <c r="X7" s="313">
        <v>0</v>
      </c>
      <c r="Y7" s="313">
        <v>0</v>
      </c>
      <c r="Z7" s="313">
        <v>0</v>
      </c>
      <c r="AA7" s="313">
        <v>1750</v>
      </c>
      <c r="AB7" s="313">
        <v>650</v>
      </c>
      <c r="AC7" s="313">
        <v>0</v>
      </c>
      <c r="AD7" s="313">
        <v>100</v>
      </c>
      <c r="AE7" s="313">
        <v>0</v>
      </c>
      <c r="AF7" s="313">
        <v>0</v>
      </c>
      <c r="AG7" s="313">
        <v>0</v>
      </c>
      <c r="AH7" s="313">
        <v>0</v>
      </c>
      <c r="AI7" s="313">
        <v>0</v>
      </c>
      <c r="AJ7" s="313">
        <v>1750</v>
      </c>
      <c r="AK7" s="313">
        <v>900</v>
      </c>
      <c r="AL7" s="313">
        <v>0</v>
      </c>
      <c r="AM7" s="313">
        <v>0</v>
      </c>
      <c r="AN7" s="313">
        <v>0</v>
      </c>
      <c r="AO7" s="313">
        <v>0</v>
      </c>
      <c r="AP7" s="313">
        <v>0</v>
      </c>
      <c r="AQ7" s="313">
        <v>0</v>
      </c>
      <c r="AR7" s="313">
        <v>0</v>
      </c>
      <c r="AS7" s="313">
        <v>0</v>
      </c>
      <c r="AT7" s="313">
        <v>0</v>
      </c>
      <c r="AU7" s="313">
        <v>0</v>
      </c>
      <c r="AV7" s="313">
        <v>800</v>
      </c>
      <c r="AW7" s="313">
        <v>1750</v>
      </c>
      <c r="AX7" s="313">
        <v>1750</v>
      </c>
      <c r="AY7" s="313">
        <v>400</v>
      </c>
      <c r="AZ7" s="313">
        <v>300</v>
      </c>
      <c r="BA7" s="313">
        <v>700</v>
      </c>
      <c r="BB7" s="313">
        <v>300</v>
      </c>
      <c r="BC7" s="314">
        <v>1750</v>
      </c>
      <c r="BD7" s="313">
        <v>1000</v>
      </c>
      <c r="BE7" s="313">
        <v>500</v>
      </c>
      <c r="BF7" s="313">
        <v>1100</v>
      </c>
      <c r="BG7" s="313">
        <v>150</v>
      </c>
      <c r="BH7" s="313">
        <v>50</v>
      </c>
      <c r="BI7" s="313"/>
      <c r="BJ7" s="313"/>
      <c r="BK7" s="313">
        <v>1750</v>
      </c>
      <c r="BL7" s="313">
        <v>1750</v>
      </c>
      <c r="BM7" s="313">
        <v>1750</v>
      </c>
      <c r="BN7" s="313">
        <v>1750</v>
      </c>
      <c r="BO7" s="313">
        <v>1750</v>
      </c>
      <c r="BP7" s="313">
        <v>1750</v>
      </c>
      <c r="BQ7" s="313">
        <v>1750</v>
      </c>
      <c r="BR7" s="313"/>
      <c r="BS7" s="313"/>
      <c r="BT7" s="313"/>
      <c r="BU7" s="313"/>
      <c r="BV7" s="313"/>
      <c r="BW7" s="313">
        <v>1750</v>
      </c>
      <c r="BX7" s="313"/>
      <c r="BY7" s="313"/>
      <c r="BZ7" s="313"/>
      <c r="CA7" s="313">
        <v>1750</v>
      </c>
      <c r="CB7" s="313">
        <v>650</v>
      </c>
    </row>
    <row r="8" spans="1:80">
      <c r="A8" s="310" t="s">
        <v>517</v>
      </c>
      <c r="B8" s="311">
        <v>1750</v>
      </c>
      <c r="C8" s="312">
        <v>1750</v>
      </c>
      <c r="D8" s="312">
        <v>1750</v>
      </c>
      <c r="E8" s="313">
        <v>1200</v>
      </c>
      <c r="F8" s="313">
        <v>800</v>
      </c>
      <c r="G8" s="313">
        <v>1200</v>
      </c>
      <c r="H8" s="313">
        <v>1500</v>
      </c>
      <c r="I8" s="312">
        <v>300</v>
      </c>
      <c r="J8" s="313">
        <v>700</v>
      </c>
      <c r="K8" s="313">
        <v>700</v>
      </c>
      <c r="L8" s="313">
        <v>900</v>
      </c>
      <c r="M8" s="313">
        <v>600</v>
      </c>
      <c r="N8" s="313">
        <v>800</v>
      </c>
      <c r="O8" s="313">
        <v>800</v>
      </c>
      <c r="P8" s="313">
        <v>1000</v>
      </c>
      <c r="Q8" s="313">
        <v>1150</v>
      </c>
      <c r="R8" s="313">
        <v>1750</v>
      </c>
      <c r="S8" s="313">
        <v>1750</v>
      </c>
      <c r="T8" s="313">
        <v>1750</v>
      </c>
      <c r="U8" s="313">
        <v>1200</v>
      </c>
      <c r="V8" s="313">
        <v>1750</v>
      </c>
      <c r="W8" s="313">
        <v>400</v>
      </c>
      <c r="X8" s="313">
        <v>600</v>
      </c>
      <c r="Y8" s="313">
        <v>600</v>
      </c>
      <c r="Z8" s="313">
        <v>600</v>
      </c>
      <c r="AA8" s="313">
        <v>1200</v>
      </c>
      <c r="AB8" s="313">
        <v>650</v>
      </c>
      <c r="AC8" s="313">
        <v>450</v>
      </c>
      <c r="AD8" s="313">
        <v>100</v>
      </c>
      <c r="AE8" s="313">
        <v>400</v>
      </c>
      <c r="AF8" s="313">
        <v>400</v>
      </c>
      <c r="AG8" s="313">
        <v>500</v>
      </c>
      <c r="AH8" s="313">
        <v>400</v>
      </c>
      <c r="AI8" s="313">
        <v>350</v>
      </c>
      <c r="AJ8" s="313">
        <v>1600</v>
      </c>
      <c r="AK8" s="313">
        <v>800</v>
      </c>
      <c r="AL8" s="313">
        <v>400</v>
      </c>
      <c r="AM8" s="313">
        <v>400</v>
      </c>
      <c r="AN8" s="313">
        <v>800</v>
      </c>
      <c r="AO8" s="313">
        <v>800</v>
      </c>
      <c r="AP8" s="313">
        <v>800</v>
      </c>
      <c r="AQ8" s="313">
        <v>800</v>
      </c>
      <c r="AR8" s="313">
        <v>800</v>
      </c>
      <c r="AS8" s="313">
        <v>250</v>
      </c>
      <c r="AT8" s="313">
        <v>600</v>
      </c>
      <c r="AU8" s="313">
        <v>400</v>
      </c>
      <c r="AV8" s="313">
        <v>800</v>
      </c>
      <c r="AW8" s="313">
        <v>1000</v>
      </c>
      <c r="AX8" s="313">
        <v>1000</v>
      </c>
      <c r="AY8" s="313">
        <v>400</v>
      </c>
      <c r="AZ8" s="313">
        <v>600</v>
      </c>
      <c r="BA8" s="313">
        <v>700</v>
      </c>
      <c r="BB8" s="313">
        <v>300</v>
      </c>
      <c r="BC8" s="314">
        <v>1150</v>
      </c>
      <c r="BD8" s="313">
        <v>1000</v>
      </c>
      <c r="BE8" s="313">
        <v>500</v>
      </c>
      <c r="BF8" s="313">
        <v>600</v>
      </c>
      <c r="BG8" s="313">
        <v>750</v>
      </c>
      <c r="BH8" s="313">
        <v>600</v>
      </c>
      <c r="BI8" s="313">
        <v>72000</v>
      </c>
      <c r="BJ8" s="313">
        <v>72000</v>
      </c>
      <c r="BK8" s="313">
        <v>800</v>
      </c>
      <c r="BL8" s="313">
        <v>900</v>
      </c>
      <c r="BM8" s="313">
        <v>800</v>
      </c>
      <c r="BN8" s="313">
        <v>1000</v>
      </c>
      <c r="BO8" s="313">
        <v>800</v>
      </c>
      <c r="BP8" s="313">
        <v>600</v>
      </c>
      <c r="BQ8" s="313">
        <v>1750</v>
      </c>
      <c r="BR8" s="313">
        <v>500</v>
      </c>
      <c r="BS8" s="313">
        <v>800</v>
      </c>
      <c r="BT8" s="313">
        <v>800</v>
      </c>
      <c r="BU8" s="313">
        <v>800</v>
      </c>
      <c r="BV8" s="313">
        <v>800</v>
      </c>
      <c r="BW8" s="313">
        <v>1150</v>
      </c>
      <c r="BX8" s="313">
        <v>200</v>
      </c>
      <c r="BY8" s="313">
        <v>400</v>
      </c>
      <c r="BZ8" s="313">
        <v>400</v>
      </c>
      <c r="CA8" s="313">
        <v>1000</v>
      </c>
      <c r="CB8" s="313">
        <v>650</v>
      </c>
    </row>
    <row r="9" spans="1:80">
      <c r="A9" s="310" t="s">
        <v>518</v>
      </c>
      <c r="B9" s="315">
        <f>ROUND(B10*B11,2)</f>
        <v>109280.96000000001</v>
      </c>
      <c r="C9" s="316">
        <f t="shared" ref="C9:BH9" si="0">ROUND(C10*C11,2)</f>
        <v>127175.01</v>
      </c>
      <c r="D9" s="316">
        <f t="shared" si="0"/>
        <v>188999.98</v>
      </c>
      <c r="E9" s="316">
        <f t="shared" si="0"/>
        <v>916079.36</v>
      </c>
      <c r="F9" s="316">
        <f t="shared" si="0"/>
        <v>675125.01</v>
      </c>
      <c r="G9" s="316">
        <f t="shared" si="0"/>
        <v>935578.81</v>
      </c>
      <c r="H9" s="316">
        <f t="shared" si="0"/>
        <v>462028.85</v>
      </c>
      <c r="I9" s="316">
        <v>48000</v>
      </c>
      <c r="J9" s="316">
        <f t="shared" si="0"/>
        <v>144150.03</v>
      </c>
      <c r="K9" s="316">
        <f t="shared" si="0"/>
        <v>226719.02</v>
      </c>
      <c r="L9" s="316">
        <f t="shared" si="0"/>
        <v>469850.04</v>
      </c>
      <c r="M9" s="316">
        <f t="shared" si="0"/>
        <v>22300.01</v>
      </c>
      <c r="N9" s="316">
        <f t="shared" si="0"/>
        <v>1266277.52</v>
      </c>
      <c r="O9" s="316">
        <f t="shared" si="0"/>
        <v>206999.97</v>
      </c>
      <c r="P9" s="316">
        <f t="shared" si="0"/>
        <v>1929500.01</v>
      </c>
      <c r="Q9" s="316">
        <f t="shared" si="0"/>
        <v>673562.48</v>
      </c>
      <c r="R9" s="316">
        <f t="shared" si="0"/>
        <v>185311.32</v>
      </c>
      <c r="S9" s="316">
        <f t="shared" si="0"/>
        <v>479623.71</v>
      </c>
      <c r="T9" s="316">
        <f t="shared" si="0"/>
        <v>722037.51</v>
      </c>
      <c r="U9" s="316">
        <f t="shared" si="0"/>
        <v>457252.9</v>
      </c>
      <c r="V9" s="316">
        <f t="shared" si="0"/>
        <v>736000.02</v>
      </c>
      <c r="W9" s="316">
        <f t="shared" si="0"/>
        <v>734999.97</v>
      </c>
      <c r="X9" s="316">
        <f t="shared" si="0"/>
        <v>239396.63</v>
      </c>
      <c r="Y9" s="316">
        <f t="shared" si="0"/>
        <v>148306.13</v>
      </c>
      <c r="Z9" s="316">
        <f t="shared" si="0"/>
        <v>53459.01</v>
      </c>
      <c r="AA9" s="316">
        <f t="shared" si="0"/>
        <v>3500000.01</v>
      </c>
      <c r="AB9" s="316">
        <f>ROUND(AB10*AB11,2)</f>
        <v>1483703.96</v>
      </c>
      <c r="AC9" s="316">
        <f t="shared" si="0"/>
        <v>180560.3</v>
      </c>
      <c r="AD9" s="316">
        <f t="shared" si="0"/>
        <v>76015.94</v>
      </c>
      <c r="AE9" s="316">
        <f t="shared" si="0"/>
        <v>61764.53</v>
      </c>
      <c r="AF9" s="316">
        <f t="shared" si="0"/>
        <v>87897.43</v>
      </c>
      <c r="AG9" s="316">
        <f t="shared" si="0"/>
        <v>216249.97</v>
      </c>
      <c r="AH9" s="316">
        <f t="shared" si="0"/>
        <v>42187.53</v>
      </c>
      <c r="AI9" s="316">
        <f t="shared" si="0"/>
        <v>61999.98</v>
      </c>
      <c r="AJ9" s="316">
        <f t="shared" si="0"/>
        <v>1199999.96</v>
      </c>
      <c r="AK9" s="316">
        <f t="shared" si="0"/>
        <v>315915.52000000002</v>
      </c>
      <c r="AL9" s="316">
        <f t="shared" si="0"/>
        <v>138434.03</v>
      </c>
      <c r="AM9" s="316">
        <f t="shared" si="0"/>
        <v>72400.399999999994</v>
      </c>
      <c r="AN9" s="316">
        <f t="shared" si="0"/>
        <v>190000.02</v>
      </c>
      <c r="AO9" s="316">
        <f t="shared" si="0"/>
        <v>177999.98</v>
      </c>
      <c r="AP9" s="316">
        <f t="shared" si="0"/>
        <v>75486.94</v>
      </c>
      <c r="AQ9" s="316">
        <f t="shared" si="0"/>
        <v>173893.59</v>
      </c>
      <c r="AR9" s="316">
        <f t="shared" si="0"/>
        <v>126733.33</v>
      </c>
      <c r="AS9" s="316">
        <f t="shared" si="0"/>
        <v>3499.99</v>
      </c>
      <c r="AT9" s="316">
        <f t="shared" si="0"/>
        <v>148306.13</v>
      </c>
      <c r="AU9" s="316">
        <f t="shared" si="0"/>
        <v>39233.58</v>
      </c>
      <c r="AV9" s="316">
        <f t="shared" si="0"/>
        <v>332912.24</v>
      </c>
      <c r="AW9" s="316">
        <f t="shared" si="0"/>
        <v>171999.96</v>
      </c>
      <c r="AX9" s="316">
        <f t="shared" si="0"/>
        <v>256000.02</v>
      </c>
      <c r="AY9" s="316">
        <f t="shared" si="0"/>
        <v>6375.04</v>
      </c>
      <c r="AZ9" s="316">
        <f t="shared" si="0"/>
        <v>7925.02</v>
      </c>
      <c r="BA9" s="316">
        <f t="shared" si="0"/>
        <v>20500.009999999998</v>
      </c>
      <c r="BB9" s="316">
        <f t="shared" si="0"/>
        <v>107999.98</v>
      </c>
      <c r="BC9" s="317">
        <f t="shared" si="0"/>
        <v>179999.99</v>
      </c>
      <c r="BD9" s="316">
        <f t="shared" si="0"/>
        <v>77559.77</v>
      </c>
      <c r="BE9" s="316">
        <f t="shared" si="0"/>
        <v>133307.17000000001</v>
      </c>
      <c r="BF9" s="316">
        <f t="shared" si="0"/>
        <v>293415.51</v>
      </c>
      <c r="BG9" s="316">
        <f t="shared" si="0"/>
        <v>21849.69</v>
      </c>
      <c r="BH9" s="316">
        <f t="shared" si="0"/>
        <v>24233.5</v>
      </c>
      <c r="BI9" s="316">
        <f>ROUND(BI10*BI11,2)</f>
        <v>600000.02</v>
      </c>
      <c r="BJ9" s="316">
        <f>ROUND(BJ10*BJ11,2)</f>
        <v>300000.01</v>
      </c>
      <c r="BK9" s="316">
        <f>ROUND(BK10*BK11,2)</f>
        <v>197999.97</v>
      </c>
      <c r="BL9" s="316">
        <f t="shared" ref="BL9:BX9" si="1">ROUND(BL10*BL11,2)</f>
        <v>738000.02</v>
      </c>
      <c r="BM9" s="316">
        <f t="shared" si="1"/>
        <v>136000</v>
      </c>
      <c r="BN9" s="316">
        <f t="shared" si="1"/>
        <v>221999.98</v>
      </c>
      <c r="BO9" s="316">
        <f t="shared" si="1"/>
        <v>221999.98</v>
      </c>
      <c r="BP9" s="316">
        <f t="shared" si="1"/>
        <v>289999.98</v>
      </c>
      <c r="BQ9" s="316">
        <f t="shared" si="1"/>
        <v>227000.03</v>
      </c>
      <c r="BR9" s="316">
        <f t="shared" si="1"/>
        <v>7500.01</v>
      </c>
      <c r="BS9" s="316">
        <f t="shared" si="1"/>
        <v>499999.99</v>
      </c>
      <c r="BT9" s="316">
        <f t="shared" si="1"/>
        <v>499999.99</v>
      </c>
      <c r="BU9" s="316">
        <f>ROUND(BU10*BU11,2)</f>
        <v>280000.02</v>
      </c>
      <c r="BV9" s="316">
        <f>ROUND(BV10*BV11,2)</f>
        <v>280000.02</v>
      </c>
      <c r="BW9" s="316">
        <f t="shared" si="1"/>
        <v>800625.03</v>
      </c>
      <c r="BX9" s="316">
        <f t="shared" si="1"/>
        <v>15000.01</v>
      </c>
      <c r="BY9" s="316">
        <f>ROUND(BY10*BY11,2)</f>
        <v>70000</v>
      </c>
      <c r="BZ9" s="316">
        <f>ROUND(BZ10*BZ11,2)</f>
        <v>47509.3</v>
      </c>
      <c r="CA9" s="316">
        <f>'Nabavna cijena'!I84</f>
        <v>60250</v>
      </c>
      <c r="CB9" s="316">
        <f>'Nabavna cijena'!I85</f>
        <v>32500</v>
      </c>
    </row>
    <row r="10" spans="1:80">
      <c r="A10" s="310" t="s">
        <v>519</v>
      </c>
      <c r="B10" s="318">
        <f>'Devizni tecaj, porez i gorivo'!$B$6</f>
        <v>7.5078139999999998</v>
      </c>
      <c r="C10" s="319">
        <f>'Devizni tecaj, porez i gorivo'!$B$6</f>
        <v>7.5078139999999998</v>
      </c>
      <c r="D10" s="320">
        <f>'Devizni tecaj, porez i gorivo'!$B$6</f>
        <v>7.5078139999999998</v>
      </c>
      <c r="E10" s="320">
        <f>'Devizni tecaj, porez i gorivo'!$B$6</f>
        <v>7.5078139999999998</v>
      </c>
      <c r="F10" s="320">
        <f>'Devizni tecaj, porez i gorivo'!$B$6</f>
        <v>7.5078139999999998</v>
      </c>
      <c r="G10" s="320">
        <f>'Devizni tecaj, porez i gorivo'!$B$6</f>
        <v>7.5078139999999998</v>
      </c>
      <c r="H10" s="320">
        <f>'Devizni tecaj, porez i gorivo'!$B$6</f>
        <v>7.5078139999999998</v>
      </c>
      <c r="I10" s="320">
        <f>'Devizni tecaj, porez i gorivo'!$B$6</f>
        <v>7.5078139999999998</v>
      </c>
      <c r="J10" s="320">
        <f>'Devizni tecaj, porez i gorivo'!$B$6</f>
        <v>7.5078139999999998</v>
      </c>
      <c r="K10" s="320">
        <f>'Devizni tecaj, porez i gorivo'!$B$6</f>
        <v>7.5078139999999998</v>
      </c>
      <c r="L10" s="320">
        <f>'Devizni tecaj, porez i gorivo'!$B$6</f>
        <v>7.5078139999999998</v>
      </c>
      <c r="M10" s="320">
        <f>'Devizni tecaj, porez i gorivo'!$B$6</f>
        <v>7.5078139999999998</v>
      </c>
      <c r="N10" s="320">
        <f>'Devizni tecaj, porez i gorivo'!$B$6</f>
        <v>7.5078139999999998</v>
      </c>
      <c r="O10" s="320">
        <f>'Devizni tecaj, porez i gorivo'!$B$6</f>
        <v>7.5078139999999998</v>
      </c>
      <c r="P10" s="320">
        <f>'Devizni tecaj, porez i gorivo'!$B$6</f>
        <v>7.5078139999999998</v>
      </c>
      <c r="Q10" s="320">
        <f>'Devizni tecaj, porez i gorivo'!$B$6</f>
        <v>7.5078139999999998</v>
      </c>
      <c r="R10" s="320">
        <f>'Devizni tecaj, porez i gorivo'!$B$6</f>
        <v>7.5078139999999998</v>
      </c>
      <c r="S10" s="320">
        <f>'Devizni tecaj, porez i gorivo'!$B$6</f>
        <v>7.5078139999999998</v>
      </c>
      <c r="T10" s="320">
        <f>'Devizni tecaj, porez i gorivo'!$B$6</f>
        <v>7.5078139999999998</v>
      </c>
      <c r="U10" s="320">
        <f>'Devizni tecaj, porez i gorivo'!$B$6</f>
        <v>7.5078139999999998</v>
      </c>
      <c r="V10" s="320">
        <f>'Devizni tecaj, porez i gorivo'!$B$6</f>
        <v>7.5078139999999998</v>
      </c>
      <c r="W10" s="320">
        <f>'Devizni tecaj, porez i gorivo'!$B$6</f>
        <v>7.5078139999999998</v>
      </c>
      <c r="X10" s="320">
        <f>'Devizni tecaj, porez i gorivo'!$B$6</f>
        <v>7.5078139999999998</v>
      </c>
      <c r="Y10" s="320">
        <f>'Devizni tecaj, porez i gorivo'!$B$6</f>
        <v>7.5078139999999998</v>
      </c>
      <c r="Z10" s="320">
        <f>'Devizni tecaj, porez i gorivo'!$B$6</f>
        <v>7.5078139999999998</v>
      </c>
      <c r="AA10" s="320">
        <f>'Devizni tecaj, porez i gorivo'!$B$6</f>
        <v>7.5078139999999998</v>
      </c>
      <c r="AB10" s="320">
        <f>'Devizni tecaj, porez i gorivo'!$B$6</f>
        <v>7.5078139999999998</v>
      </c>
      <c r="AC10" s="320">
        <f>'Devizni tecaj, porez i gorivo'!$B$6</f>
        <v>7.5078139999999998</v>
      </c>
      <c r="AD10" s="320">
        <f>'Devizni tecaj, porez i gorivo'!$B$6</f>
        <v>7.5078139999999998</v>
      </c>
      <c r="AE10" s="320">
        <f>'Devizni tecaj, porez i gorivo'!$B$6</f>
        <v>7.5078139999999998</v>
      </c>
      <c r="AF10" s="320">
        <f>'Devizni tecaj, porez i gorivo'!$B$6</f>
        <v>7.5078139999999998</v>
      </c>
      <c r="AG10" s="320">
        <f>'Devizni tecaj, porez i gorivo'!$B$6</f>
        <v>7.5078139999999998</v>
      </c>
      <c r="AH10" s="320">
        <f>'Devizni tecaj, porez i gorivo'!$B$6</f>
        <v>7.5078139999999998</v>
      </c>
      <c r="AI10" s="320">
        <f>'Devizni tecaj, porez i gorivo'!$B$6</f>
        <v>7.5078139999999998</v>
      </c>
      <c r="AJ10" s="320">
        <f>'Devizni tecaj, porez i gorivo'!$B$6</f>
        <v>7.5078139999999998</v>
      </c>
      <c r="AK10" s="320">
        <f>'Devizni tecaj, porez i gorivo'!$B$6</f>
        <v>7.5078139999999998</v>
      </c>
      <c r="AL10" s="320">
        <f>'Devizni tecaj, porez i gorivo'!$B$6</f>
        <v>7.5078139999999998</v>
      </c>
      <c r="AM10" s="320">
        <f>'Devizni tecaj, porez i gorivo'!$B$6</f>
        <v>7.5078139999999998</v>
      </c>
      <c r="AN10" s="320">
        <f>'Devizni tecaj, porez i gorivo'!$B$6</f>
        <v>7.5078139999999998</v>
      </c>
      <c r="AO10" s="320">
        <f>'Devizni tecaj, porez i gorivo'!$B$6</f>
        <v>7.5078139999999998</v>
      </c>
      <c r="AP10" s="320">
        <f>'Devizni tecaj, porez i gorivo'!$B$6</f>
        <v>7.5078139999999998</v>
      </c>
      <c r="AQ10" s="320">
        <f>'Devizni tecaj, porez i gorivo'!$B$6</f>
        <v>7.5078139999999998</v>
      </c>
      <c r="AR10" s="320">
        <f>'Devizni tecaj, porez i gorivo'!$B$6</f>
        <v>7.5078139999999998</v>
      </c>
      <c r="AS10" s="320">
        <f>'Devizni tecaj, porez i gorivo'!$B$6</f>
        <v>7.5078139999999998</v>
      </c>
      <c r="AT10" s="320">
        <f>'Devizni tecaj, porez i gorivo'!$B$6</f>
        <v>7.5078139999999998</v>
      </c>
      <c r="AU10" s="320">
        <f>'Devizni tecaj, porez i gorivo'!$B$6</f>
        <v>7.5078139999999998</v>
      </c>
      <c r="AV10" s="320">
        <f>'Devizni tecaj, porez i gorivo'!$B$6</f>
        <v>7.5078139999999998</v>
      </c>
      <c r="AW10" s="320">
        <f>'Devizni tecaj, porez i gorivo'!$B$6</f>
        <v>7.5078139999999998</v>
      </c>
      <c r="AX10" s="320">
        <f>'Devizni tecaj, porez i gorivo'!$B$6</f>
        <v>7.5078139999999998</v>
      </c>
      <c r="AY10" s="320">
        <f>'Devizni tecaj, porez i gorivo'!$B$6</f>
        <v>7.5078139999999998</v>
      </c>
      <c r="AZ10" s="320">
        <f>'Devizni tecaj, porez i gorivo'!$B$6</f>
        <v>7.5078139999999998</v>
      </c>
      <c r="BA10" s="320">
        <f>'Devizni tecaj, porez i gorivo'!$B$6</f>
        <v>7.5078139999999998</v>
      </c>
      <c r="BB10" s="320">
        <f>'Devizni tecaj, porez i gorivo'!$B$6</f>
        <v>7.5078139999999998</v>
      </c>
      <c r="BC10" s="321">
        <f>'Devizni tecaj, porez i gorivo'!$B$6</f>
        <v>7.5078139999999998</v>
      </c>
      <c r="BD10" s="320">
        <f>'Devizni tecaj, porez i gorivo'!$B$6</f>
        <v>7.5078139999999998</v>
      </c>
      <c r="BE10" s="320">
        <f>'Devizni tecaj, porez i gorivo'!$B$6</f>
        <v>7.5078139999999998</v>
      </c>
      <c r="BF10" s="320">
        <f>'Devizni tecaj, porez i gorivo'!$B$6</f>
        <v>7.5078139999999998</v>
      </c>
      <c r="BG10" s="320">
        <f>'Devizni tecaj, porez i gorivo'!$B$6</f>
        <v>7.5078139999999998</v>
      </c>
      <c r="BH10" s="320">
        <f>'Devizni tecaj, porez i gorivo'!$B$6</f>
        <v>7.5078139999999998</v>
      </c>
      <c r="BI10" s="320">
        <f>'Devizni tecaj, porez i gorivo'!$B$6</f>
        <v>7.5078139999999998</v>
      </c>
      <c r="BJ10" s="320">
        <f>'Devizni tecaj, porez i gorivo'!$B$6</f>
        <v>7.5078139999999998</v>
      </c>
      <c r="BK10" s="320">
        <f>'Devizni tecaj, porez i gorivo'!$B$6</f>
        <v>7.5078139999999998</v>
      </c>
      <c r="BL10" s="320">
        <f>'Devizni tecaj, porez i gorivo'!$B$6</f>
        <v>7.5078139999999998</v>
      </c>
      <c r="BM10" s="320">
        <f>'Devizni tecaj, porez i gorivo'!$B$6</f>
        <v>7.5078139999999998</v>
      </c>
      <c r="BN10" s="320">
        <f>'Devizni tecaj, porez i gorivo'!$B$6</f>
        <v>7.5078139999999998</v>
      </c>
      <c r="BO10" s="320">
        <f>'Devizni tecaj, porez i gorivo'!$B$6</f>
        <v>7.5078139999999998</v>
      </c>
      <c r="BP10" s="320">
        <f>'Devizni tecaj, porez i gorivo'!$B$6</f>
        <v>7.5078139999999998</v>
      </c>
      <c r="BQ10" s="320">
        <f>'Devizni tecaj, porez i gorivo'!$B$6</f>
        <v>7.5078139999999998</v>
      </c>
      <c r="BR10" s="320">
        <f>'Devizni tecaj, porez i gorivo'!$B$6</f>
        <v>7.5078139999999998</v>
      </c>
      <c r="BS10" s="320">
        <f>'Devizni tecaj, porez i gorivo'!$B$6</f>
        <v>7.5078139999999998</v>
      </c>
      <c r="BT10" s="320">
        <f>'Devizni tecaj, porez i gorivo'!$B$6</f>
        <v>7.5078139999999998</v>
      </c>
      <c r="BU10" s="320">
        <f>'Devizni tecaj, porez i gorivo'!$B$6</f>
        <v>7.5078139999999998</v>
      </c>
      <c r="BV10" s="320">
        <f>'Devizni tecaj, porez i gorivo'!$B$6</f>
        <v>7.5078139999999998</v>
      </c>
      <c r="BW10" s="320">
        <f>'Devizni tecaj, porez i gorivo'!$B$6</f>
        <v>7.5078139999999998</v>
      </c>
      <c r="BX10" s="320">
        <f>'Devizni tecaj, porez i gorivo'!$B$6</f>
        <v>7.5078139999999998</v>
      </c>
      <c r="BY10" s="320">
        <f>'Devizni tecaj, porez i gorivo'!$B$6</f>
        <v>7.5078139999999998</v>
      </c>
      <c r="BZ10" s="320">
        <f>'Devizni tecaj, porez i gorivo'!$B$6</f>
        <v>7.5078139999999998</v>
      </c>
      <c r="CA10" s="320">
        <f>'Devizni tecaj, porez i gorivo'!$B$6</f>
        <v>7.5078139999999998</v>
      </c>
      <c r="CB10" s="320">
        <f>'Devizni tecaj, porez i gorivo'!$B$6</f>
        <v>7.5078139999999998</v>
      </c>
    </row>
    <row r="11" spans="1:80">
      <c r="A11" s="310" t="s">
        <v>520</v>
      </c>
      <c r="B11" s="315">
        <f>'Nabavna cijena'!$J$7</f>
        <v>14555.63</v>
      </c>
      <c r="C11" s="316">
        <f>'Nabavna cijena'!$J$8</f>
        <v>16939.02</v>
      </c>
      <c r="D11" s="316">
        <f>'Nabavna cijena'!$J$9</f>
        <v>25173.77</v>
      </c>
      <c r="E11" s="316">
        <f>'Nabavna cijena'!$J$10</f>
        <v>122016.79</v>
      </c>
      <c r="F11" s="316">
        <f>'Nabavna cijena'!$J$11</f>
        <v>89922.98</v>
      </c>
      <c r="G11" s="316">
        <f>'Nabavna cijena'!$J$12</f>
        <v>124614.01</v>
      </c>
      <c r="H11" s="316">
        <f>'Nabavna cijena'!$J$13</f>
        <v>61539.73</v>
      </c>
      <c r="I11" s="316">
        <f>'Nabavna cijena'!$J$14</f>
        <v>9788.91</v>
      </c>
      <c r="J11" s="316">
        <f>'Nabavna cijena'!$J$15</f>
        <v>19200</v>
      </c>
      <c r="K11" s="316">
        <f>'Nabavna cijena'!$J$16</f>
        <v>30197.74</v>
      </c>
      <c r="L11" s="316">
        <f>'Nabavna cijena'!$J$17</f>
        <v>62581.47</v>
      </c>
      <c r="M11" s="316">
        <f>'Nabavna cijena'!$J$18</f>
        <v>2970.24</v>
      </c>
      <c r="N11" s="316">
        <f>'Nabavna cijena'!$J$19</f>
        <v>168661.28</v>
      </c>
      <c r="O11" s="316">
        <f>'Nabavna cijena'!$J$20</f>
        <v>27571.27</v>
      </c>
      <c r="P11" s="316">
        <f>'Nabavna cijena'!$J$21</f>
        <v>256998.91</v>
      </c>
      <c r="Q11" s="316">
        <f>'Nabavna cijena'!J22</f>
        <v>89714.86</v>
      </c>
      <c r="R11" s="316">
        <f>'Nabavna cijena'!$J$23</f>
        <v>24682.46</v>
      </c>
      <c r="S11" s="316">
        <f>'Nabavna cijena'!$J$24</f>
        <v>63883.27</v>
      </c>
      <c r="T11" s="316">
        <f>'Nabavna cijena'!$J$25</f>
        <v>96171.47</v>
      </c>
      <c r="U11" s="316">
        <f>'Nabavna cijena'!$J$26</f>
        <v>60903.6</v>
      </c>
      <c r="V11" s="316">
        <f>'Nabavna cijena'!$J$27</f>
        <v>98031.2</v>
      </c>
      <c r="W11" s="316">
        <f>'Nabavna cijena'!$J$28</f>
        <v>97898</v>
      </c>
      <c r="X11" s="316">
        <f>'Nabavna cijena'!$J$29</f>
        <v>31886.33</v>
      </c>
      <c r="Y11" s="316">
        <f>'Nabavna cijena'!$J$30</f>
        <v>19753.57</v>
      </c>
      <c r="Z11" s="316">
        <f>'Nabavna cijena'!$J$31</f>
        <v>7120.45</v>
      </c>
      <c r="AA11" s="322">
        <f>'Nabavna cijena'!$J$32</f>
        <v>466180.97</v>
      </c>
      <c r="AB11" s="316">
        <f>'Nabavna cijena'!J33</f>
        <v>197621.3</v>
      </c>
      <c r="AC11" s="316">
        <f>'Nabavna cijena'!$J$34</f>
        <v>24049.65</v>
      </c>
      <c r="AD11" s="316">
        <f>'Nabavna cijena'!$J$35</f>
        <v>10124.91</v>
      </c>
      <c r="AE11" s="316">
        <f>'Nabavna cijena'!$J$36</f>
        <v>8226.7000000000007</v>
      </c>
      <c r="AF11" s="316">
        <f>'Nabavna cijena'!$J$37</f>
        <v>11707.46</v>
      </c>
      <c r="AG11" s="316">
        <f>'Nabavna cijena'!$J$38</f>
        <v>28803.32</v>
      </c>
      <c r="AH11" s="316">
        <f>'Nabavna cijena'!$J$39</f>
        <v>5619.15</v>
      </c>
      <c r="AI11" s="316">
        <f>'Nabavna cijena'!$J$40</f>
        <v>8258.06</v>
      </c>
      <c r="AJ11" s="316">
        <f>'Nabavna cijena'!$J$41</f>
        <v>159833.47</v>
      </c>
      <c r="AK11" s="316">
        <f>'Nabavna cijena'!$J$42</f>
        <v>42078.23</v>
      </c>
      <c r="AL11" s="316">
        <f>'Nabavna cijena'!$J$43</f>
        <v>18438.66</v>
      </c>
      <c r="AM11" s="316">
        <f>'Nabavna cijena'!$J$44</f>
        <v>9643.34</v>
      </c>
      <c r="AN11" s="316">
        <f>'Nabavna cijena'!$J$45</f>
        <v>25306.97</v>
      </c>
      <c r="AO11" s="316">
        <f>'Nabavna cijena'!$J$46</f>
        <v>23708.63</v>
      </c>
      <c r="AP11" s="316">
        <f>'Nabavna cijena'!$J$47</f>
        <v>10054.450000000001</v>
      </c>
      <c r="AQ11" s="316">
        <f>'Nabavna cijena'!$J$48</f>
        <v>23161.68</v>
      </c>
      <c r="AR11" s="316">
        <f>'Nabavna cijena'!$J$49</f>
        <v>16880.189999999999</v>
      </c>
      <c r="AS11" s="316">
        <f>'Nabavna cijena'!J50</f>
        <v>466.18</v>
      </c>
      <c r="AT11" s="316">
        <f>'Nabavna cijena'!J51</f>
        <v>19753.57</v>
      </c>
      <c r="AU11" s="316">
        <f>'Nabavna cijena'!$J$52</f>
        <v>5225.7</v>
      </c>
      <c r="AV11" s="316">
        <f>'Nabavna cijena'!$J$53</f>
        <v>44342.1</v>
      </c>
      <c r="AW11" s="316">
        <f>'Nabavna cijena'!$J$54</f>
        <v>22909.46</v>
      </c>
      <c r="AX11" s="316">
        <f>'Nabavna cijena'!$J$55</f>
        <v>34097.81</v>
      </c>
      <c r="AY11" s="316">
        <f>'Nabavna cijena'!$J$56</f>
        <v>849.12</v>
      </c>
      <c r="AZ11" s="316">
        <f>'Nabavna cijena'!$J$57</f>
        <v>1055.57</v>
      </c>
      <c r="BA11" s="316">
        <f>'Nabavna cijena'!$J$58</f>
        <v>2730.49</v>
      </c>
      <c r="BB11" s="316">
        <f>'Nabavna cijena'!$J$59</f>
        <v>14385.01</v>
      </c>
      <c r="BC11" s="317">
        <f>'Nabavna cijena'!$J$60</f>
        <v>23975.02</v>
      </c>
      <c r="BD11" s="316">
        <f>'Nabavna cijena'!J61</f>
        <v>10330.540000000001</v>
      </c>
      <c r="BE11" s="316">
        <f>'Nabavna cijena'!$J$62</f>
        <v>17755.79</v>
      </c>
      <c r="BF11" s="316">
        <f>'Nabavna cijena'!J63</f>
        <v>39081.35</v>
      </c>
      <c r="BG11" s="316">
        <f>'Nabavna cijena'!$J$64</f>
        <v>2910.26</v>
      </c>
      <c r="BH11" s="316">
        <f>'Nabavna cijena'!$J$65</f>
        <v>3227.77</v>
      </c>
      <c r="BI11" s="316">
        <f>'Nabavna cijena'!J66</f>
        <v>79916.740000000005</v>
      </c>
      <c r="BJ11" s="316">
        <f>'Nabavna cijena'!J67</f>
        <v>39958.370000000003</v>
      </c>
      <c r="BK11" s="316">
        <f>'Nabavna cijena'!J68</f>
        <v>26372.52</v>
      </c>
      <c r="BL11" s="316">
        <f>'Nabavna cijena'!J69</f>
        <v>98297.59</v>
      </c>
      <c r="BM11" s="323">
        <f>'Nabavna cijena'!J70</f>
        <v>18114.46</v>
      </c>
      <c r="BN11" s="323">
        <f>'Nabavna cijena'!J71</f>
        <v>29569.19</v>
      </c>
      <c r="BO11" s="323">
        <f>'Nabavna cijena'!J72</f>
        <v>29569.19</v>
      </c>
      <c r="BP11" s="323">
        <f>'Nabavna cijena'!J73</f>
        <v>38626.42</v>
      </c>
      <c r="BQ11" s="323">
        <f>'Nabavna cijena'!J74</f>
        <v>30235.17</v>
      </c>
      <c r="BR11" s="316">
        <f>'Nabavna cijena'!J75</f>
        <v>998.96</v>
      </c>
      <c r="BS11" s="316">
        <f>'Nabavna cijena'!J76</f>
        <v>66597.279999999999</v>
      </c>
      <c r="BT11" s="316">
        <f>'Nabavna cijena'!J77</f>
        <v>66597.279999999999</v>
      </c>
      <c r="BU11" s="316">
        <f>'Nabavna cijena'!J78</f>
        <v>37294.480000000003</v>
      </c>
      <c r="BV11" s="316">
        <f>'Nabavna cijena'!J79</f>
        <v>37294.480000000003</v>
      </c>
      <c r="BW11" s="466">
        <f>'Nabavna cijena'!J80</f>
        <v>106638.9</v>
      </c>
      <c r="BX11" s="316">
        <f>'Nabavna cijena'!J81</f>
        <v>1997.92</v>
      </c>
      <c r="BY11" s="316">
        <f>'Nabavna cijena'!J82</f>
        <v>9323.6200000000008</v>
      </c>
      <c r="BZ11" s="316">
        <f>'Nabavna cijena'!J83</f>
        <v>6327.98</v>
      </c>
      <c r="CA11" s="323">
        <f>'Nabavna cijena'!W71</f>
        <v>0</v>
      </c>
      <c r="CB11" s="316">
        <f>'Nabavna cijena'!BJ33</f>
        <v>0</v>
      </c>
    </row>
    <row r="12" spans="1:80">
      <c r="A12" s="310" t="s">
        <v>521</v>
      </c>
      <c r="B12" s="315">
        <f>IF(B7&gt;B8,B8,B7)*B6</f>
        <v>0</v>
      </c>
      <c r="C12" s="316">
        <f>IF(C7&gt;C8,C8,C7)*C6</f>
        <v>0</v>
      </c>
      <c r="D12" s="316">
        <f>IF(D7&gt;D8,D8,D7)*D6</f>
        <v>0</v>
      </c>
      <c r="E12" s="316">
        <f t="shared" ref="E12:AM12" si="2">IF(E7&gt;E8,E8,E7)*E6</f>
        <v>23174.999999999996</v>
      </c>
      <c r="F12" s="316">
        <f t="shared" si="2"/>
        <v>15449.999999999996</v>
      </c>
      <c r="G12" s="316">
        <f t="shared" si="2"/>
        <v>23174.999999999996</v>
      </c>
      <c r="H12" s="316">
        <f t="shared" si="2"/>
        <v>36778.124999999993</v>
      </c>
      <c r="I12" s="316">
        <f t="shared" si="2"/>
        <v>0</v>
      </c>
      <c r="J12" s="316">
        <f t="shared" si="2"/>
        <v>17163.124999999996</v>
      </c>
      <c r="K12" s="316">
        <f t="shared" si="2"/>
        <v>17163.124999999996</v>
      </c>
      <c r="L12" s="316">
        <f t="shared" si="2"/>
        <v>22066.874999999996</v>
      </c>
      <c r="M12" s="316">
        <f>IF(M7&gt;M8,M8,M7)*M6</f>
        <v>24084.374999999996</v>
      </c>
      <c r="N12" s="316">
        <f t="shared" si="2"/>
        <v>15449.999999999996</v>
      </c>
      <c r="O12" s="316">
        <f>IF(O7&gt;O8,O8,O7)*O6</f>
        <v>32112.499999999993</v>
      </c>
      <c r="P12" s="316">
        <f t="shared" si="2"/>
        <v>19312.499999999996</v>
      </c>
      <c r="Q12" s="316">
        <f t="shared" si="2"/>
        <v>22209.374999999996</v>
      </c>
      <c r="R12" s="316">
        <f t="shared" si="2"/>
        <v>26966.40625</v>
      </c>
      <c r="S12" s="316">
        <f t="shared" si="2"/>
        <v>26966.40625</v>
      </c>
      <c r="T12" s="316">
        <f t="shared" si="2"/>
        <v>67971.09375</v>
      </c>
      <c r="U12" s="316">
        <f>IF(U7&gt;U8,U8,U7)*U6</f>
        <v>46608.75</v>
      </c>
      <c r="V12" s="316">
        <f t="shared" si="2"/>
        <v>67971.09375</v>
      </c>
      <c r="W12" s="316">
        <f t="shared" ref="W12:AD12" si="3">IF(W7&gt;W8,W8,W7)*W6</f>
        <v>15536.250000000002</v>
      </c>
      <c r="X12" s="316">
        <f t="shared" si="3"/>
        <v>0</v>
      </c>
      <c r="Y12" s="316">
        <f t="shared" si="3"/>
        <v>0</v>
      </c>
      <c r="Z12" s="316">
        <f t="shared" si="3"/>
        <v>0</v>
      </c>
      <c r="AA12" s="316">
        <f t="shared" si="3"/>
        <v>23174.999999999996</v>
      </c>
      <c r="AB12" s="316">
        <f t="shared" si="3"/>
        <v>12553.124999999998</v>
      </c>
      <c r="AC12" s="316">
        <f t="shared" si="3"/>
        <v>0</v>
      </c>
      <c r="AD12" s="316">
        <f t="shared" si="3"/>
        <v>4014.0624999999991</v>
      </c>
      <c r="AE12" s="316">
        <f t="shared" si="2"/>
        <v>0</v>
      </c>
      <c r="AF12" s="316">
        <f t="shared" si="2"/>
        <v>0</v>
      </c>
      <c r="AG12" s="316">
        <f t="shared" si="2"/>
        <v>0</v>
      </c>
      <c r="AH12" s="316">
        <f t="shared" si="2"/>
        <v>0</v>
      </c>
      <c r="AI12" s="316">
        <f t="shared" si="2"/>
        <v>0</v>
      </c>
      <c r="AJ12" s="316">
        <f t="shared" si="2"/>
        <v>24655</v>
      </c>
      <c r="AK12" s="316">
        <f t="shared" si="2"/>
        <v>19614.999999999996</v>
      </c>
      <c r="AL12" s="316">
        <f t="shared" si="2"/>
        <v>0</v>
      </c>
      <c r="AM12" s="316">
        <f t="shared" si="2"/>
        <v>0</v>
      </c>
      <c r="AN12" s="316">
        <f t="shared" ref="AN12:BH12" si="4">IF(AN7&gt;AN8,AN8,AN7)*AN6</f>
        <v>0</v>
      </c>
      <c r="AO12" s="316">
        <f t="shared" si="4"/>
        <v>0</v>
      </c>
      <c r="AP12" s="316">
        <f t="shared" si="4"/>
        <v>0</v>
      </c>
      <c r="AQ12" s="316">
        <f t="shared" si="4"/>
        <v>0</v>
      </c>
      <c r="AR12" s="316">
        <f t="shared" si="4"/>
        <v>0</v>
      </c>
      <c r="AS12" s="316">
        <f>IF(AS7&gt;AS8,AS8,AS7)*AS6</f>
        <v>0</v>
      </c>
      <c r="AT12" s="316">
        <f>IF(AT7&gt;AT8,AT8,AT7)*AT6</f>
        <v>0</v>
      </c>
      <c r="AU12" s="316">
        <f t="shared" si="4"/>
        <v>0</v>
      </c>
      <c r="AV12" s="316">
        <f>IF(AV7&gt;AV8,AV8,AV7)*AV6</f>
        <v>19614.999999999996</v>
      </c>
      <c r="AW12" s="316">
        <f>IF(AW7&gt;AW8,AW8,AW7)*AW6</f>
        <v>24518.749999999996</v>
      </c>
      <c r="AX12" s="316">
        <f>IF(AX7&gt;AX8,AX8,AX7)*AX6</f>
        <v>24518.749999999996</v>
      </c>
      <c r="AY12" s="316">
        <f>IF(AY7&gt;AY8,AY8,AY7)*AY6</f>
        <v>16056.249999999996</v>
      </c>
      <c r="AZ12" s="316">
        <f>IF(AZ7&gt;AZ8,AZ8,AZ7)*AZ6</f>
        <v>12042.187499999998</v>
      </c>
      <c r="BA12" s="316">
        <f t="shared" si="4"/>
        <v>28098.437499999996</v>
      </c>
      <c r="BB12" s="316">
        <f>IF(BB7&gt;BB8,BB8,BB7)*BB6</f>
        <v>12042.187499999998</v>
      </c>
      <c r="BC12" s="317">
        <f t="shared" si="4"/>
        <v>28196.562499999996</v>
      </c>
      <c r="BD12" s="316">
        <f>IF(BD7&gt;BD8,BD8,BD7)*BD6</f>
        <v>40140.624999999993</v>
      </c>
      <c r="BE12" s="316">
        <f t="shared" si="4"/>
        <v>12259.374999999998</v>
      </c>
      <c r="BF12" s="316">
        <f t="shared" si="4"/>
        <v>9245.625</v>
      </c>
      <c r="BG12" s="316">
        <f t="shared" si="4"/>
        <v>0</v>
      </c>
      <c r="BH12" s="316">
        <f t="shared" si="4"/>
        <v>0</v>
      </c>
      <c r="BI12" s="316">
        <f t="shared" ref="BI12:BQ12" si="5">IF(BI7&gt;BI8,BI8,BI7)*BI6</f>
        <v>0</v>
      </c>
      <c r="BJ12" s="316">
        <f t="shared" si="5"/>
        <v>0</v>
      </c>
      <c r="BK12" s="316">
        <f t="shared" si="5"/>
        <v>0</v>
      </c>
      <c r="BL12" s="316">
        <f t="shared" si="5"/>
        <v>17381.249999999996</v>
      </c>
      <c r="BM12" s="316">
        <f t="shared" si="5"/>
        <v>0</v>
      </c>
      <c r="BN12" s="316">
        <f t="shared" si="5"/>
        <v>24518.749999999996</v>
      </c>
      <c r="BO12" s="316">
        <f t="shared" si="5"/>
        <v>19614.999999999996</v>
      </c>
      <c r="BP12" s="316">
        <f t="shared" si="5"/>
        <v>14711.249999999998</v>
      </c>
      <c r="BQ12" s="316">
        <f t="shared" si="5"/>
        <v>26966.40625</v>
      </c>
      <c r="BR12" s="316">
        <f t="shared" ref="BR12:BX12" si="6">IF(BR7&gt;BR8,BR8,BR7)*BR6</f>
        <v>0</v>
      </c>
      <c r="BS12" s="316">
        <f t="shared" si="6"/>
        <v>0</v>
      </c>
      <c r="BT12" s="316">
        <f t="shared" si="6"/>
        <v>0</v>
      </c>
      <c r="BU12" s="316">
        <f t="shared" si="6"/>
        <v>0</v>
      </c>
      <c r="BV12" s="316">
        <f t="shared" si="6"/>
        <v>0</v>
      </c>
      <c r="BW12" s="316">
        <f t="shared" si="6"/>
        <v>28196.562499999996</v>
      </c>
      <c r="BX12" s="316">
        <f t="shared" si="6"/>
        <v>0</v>
      </c>
      <c r="BY12" s="316">
        <f>IF(BY7&gt;BY8,BY8,BY7)*BY6</f>
        <v>0</v>
      </c>
      <c r="BZ12" s="316">
        <f>IF(BZ7&gt;BZ8,BZ8,BZ7)*BZ6</f>
        <v>0</v>
      </c>
      <c r="CA12" s="316">
        <f>IF(CA7&gt;CA8,CA8,CA7)*CA6</f>
        <v>24518.749999999996</v>
      </c>
      <c r="CB12" s="316">
        <f>IF(CB7&gt;CB8,CB8,CB7)*CB6</f>
        <v>15937.187499999998</v>
      </c>
    </row>
    <row r="13" spans="1:80">
      <c r="A13" s="310" t="s">
        <v>522</v>
      </c>
      <c r="B13" s="311">
        <v>1850</v>
      </c>
      <c r="C13" s="312">
        <v>1850</v>
      </c>
      <c r="D13" s="312">
        <v>0</v>
      </c>
      <c r="E13" s="313">
        <v>450</v>
      </c>
      <c r="F13" s="313">
        <v>1100</v>
      </c>
      <c r="G13" s="313">
        <v>1100</v>
      </c>
      <c r="H13" s="313">
        <v>1100</v>
      </c>
      <c r="I13" s="312">
        <v>0</v>
      </c>
      <c r="J13" s="313">
        <v>0</v>
      </c>
      <c r="K13" s="313">
        <v>0</v>
      </c>
      <c r="L13" s="313">
        <v>0</v>
      </c>
      <c r="M13" s="313">
        <v>0</v>
      </c>
      <c r="N13" s="313">
        <v>0</v>
      </c>
      <c r="O13" s="313">
        <v>0</v>
      </c>
      <c r="P13" s="313">
        <v>0</v>
      </c>
      <c r="Q13" s="313">
        <v>0</v>
      </c>
      <c r="R13" s="313">
        <v>1800</v>
      </c>
      <c r="S13" s="313">
        <v>9800</v>
      </c>
      <c r="T13" s="313">
        <v>10800</v>
      </c>
      <c r="U13" s="313">
        <v>9800</v>
      </c>
      <c r="V13" s="313">
        <v>10800</v>
      </c>
      <c r="W13" s="313">
        <v>9800</v>
      </c>
      <c r="X13" s="313">
        <v>1590</v>
      </c>
      <c r="Y13" s="313">
        <v>1590</v>
      </c>
      <c r="Z13" s="313">
        <v>1590</v>
      </c>
      <c r="AA13" s="313">
        <v>1100</v>
      </c>
      <c r="AB13" s="313">
        <v>850</v>
      </c>
      <c r="AC13" s="313">
        <v>0</v>
      </c>
      <c r="AD13" s="313">
        <v>0</v>
      </c>
      <c r="AE13" s="313">
        <v>0</v>
      </c>
      <c r="AF13" s="313">
        <v>0</v>
      </c>
      <c r="AG13" s="313">
        <v>0</v>
      </c>
      <c r="AH13" s="313">
        <v>0</v>
      </c>
      <c r="AI13" s="313">
        <v>0</v>
      </c>
      <c r="AJ13" s="313">
        <v>1100</v>
      </c>
      <c r="AK13" s="313">
        <v>1100</v>
      </c>
      <c r="AL13" s="313">
        <v>0</v>
      </c>
      <c r="AM13" s="313">
        <v>0</v>
      </c>
      <c r="AN13" s="313">
        <v>0</v>
      </c>
      <c r="AO13" s="313">
        <v>0</v>
      </c>
      <c r="AP13" s="313">
        <v>0</v>
      </c>
      <c r="AQ13" s="313">
        <v>0</v>
      </c>
      <c r="AR13" s="313">
        <v>0</v>
      </c>
      <c r="AS13" s="313">
        <v>0</v>
      </c>
      <c r="AT13" s="313">
        <v>1590</v>
      </c>
      <c r="AU13" s="313">
        <v>0</v>
      </c>
      <c r="AV13" s="313">
        <v>0</v>
      </c>
      <c r="AW13" s="313">
        <v>0</v>
      </c>
      <c r="AX13" s="313">
        <v>1100</v>
      </c>
      <c r="AY13" s="313">
        <v>0</v>
      </c>
      <c r="AZ13" s="313">
        <v>0</v>
      </c>
      <c r="BA13" s="313">
        <v>0</v>
      </c>
      <c r="BB13" s="313">
        <v>0</v>
      </c>
      <c r="BC13" s="314">
        <v>0</v>
      </c>
      <c r="BD13" s="313">
        <v>0</v>
      </c>
      <c r="BE13" s="313">
        <v>0</v>
      </c>
      <c r="BF13" s="313">
        <v>0</v>
      </c>
      <c r="BG13" s="313">
        <v>0</v>
      </c>
      <c r="BH13" s="313">
        <v>0</v>
      </c>
      <c r="BI13" s="313">
        <v>2000</v>
      </c>
      <c r="BJ13" s="313">
        <v>1000</v>
      </c>
      <c r="BK13" s="313"/>
      <c r="BL13" s="313">
        <v>0</v>
      </c>
      <c r="BM13" s="313">
        <v>0</v>
      </c>
      <c r="BN13" s="313">
        <v>1000</v>
      </c>
      <c r="BO13" s="313">
        <v>1000</v>
      </c>
      <c r="BP13" s="313">
        <v>0</v>
      </c>
      <c r="BQ13" s="313">
        <v>9800</v>
      </c>
      <c r="BR13" s="313">
        <v>0</v>
      </c>
      <c r="BS13" s="313">
        <v>0</v>
      </c>
      <c r="BT13" s="313">
        <v>0</v>
      </c>
      <c r="BU13" s="313">
        <v>0</v>
      </c>
      <c r="BV13" s="313">
        <v>0</v>
      </c>
      <c r="BW13" s="313">
        <v>0</v>
      </c>
      <c r="BX13" s="313">
        <v>0</v>
      </c>
      <c r="BY13" s="313">
        <v>0</v>
      </c>
      <c r="BZ13" s="313">
        <v>0</v>
      </c>
      <c r="CA13" s="313">
        <v>1000</v>
      </c>
      <c r="CB13" s="313">
        <v>850</v>
      </c>
    </row>
    <row r="14" spans="1:80">
      <c r="A14" s="310" t="s">
        <v>523</v>
      </c>
      <c r="B14" s="311">
        <v>260</v>
      </c>
      <c r="C14" s="312">
        <v>260</v>
      </c>
      <c r="D14" s="312">
        <v>0</v>
      </c>
      <c r="E14" s="313">
        <v>390</v>
      </c>
      <c r="F14" s="313">
        <v>0</v>
      </c>
      <c r="G14" s="313">
        <v>0</v>
      </c>
      <c r="H14" s="313">
        <v>650</v>
      </c>
      <c r="I14" s="312">
        <v>0</v>
      </c>
      <c r="J14" s="313">
        <v>0</v>
      </c>
      <c r="K14" s="313">
        <v>0</v>
      </c>
      <c r="L14" s="313">
        <v>0</v>
      </c>
      <c r="M14" s="313">
        <v>0</v>
      </c>
      <c r="N14" s="313">
        <v>0</v>
      </c>
      <c r="O14" s="313">
        <v>0</v>
      </c>
      <c r="P14" s="313">
        <v>0</v>
      </c>
      <c r="Q14" s="313">
        <v>0</v>
      </c>
      <c r="R14" s="313">
        <v>1700</v>
      </c>
      <c r="S14" s="313">
        <v>6500</v>
      </c>
      <c r="T14" s="313">
        <v>8000</v>
      </c>
      <c r="U14" s="313">
        <v>6500</v>
      </c>
      <c r="V14" s="313">
        <v>8000</v>
      </c>
      <c r="W14" s="313">
        <v>6500</v>
      </c>
      <c r="X14" s="313">
        <v>260</v>
      </c>
      <c r="Y14" s="313">
        <v>260</v>
      </c>
      <c r="Z14" s="313">
        <v>260</v>
      </c>
      <c r="AA14" s="313">
        <v>1100</v>
      </c>
      <c r="AB14" s="313">
        <v>380</v>
      </c>
      <c r="AC14" s="313">
        <v>0</v>
      </c>
      <c r="AD14" s="313">
        <v>0</v>
      </c>
      <c r="AE14" s="313">
        <v>0</v>
      </c>
      <c r="AF14" s="313">
        <v>0</v>
      </c>
      <c r="AG14" s="313">
        <v>0</v>
      </c>
      <c r="AH14" s="313">
        <v>0</v>
      </c>
      <c r="AI14" s="313">
        <v>0</v>
      </c>
      <c r="AJ14" s="313">
        <v>650</v>
      </c>
      <c r="AK14" s="313">
        <v>650</v>
      </c>
      <c r="AL14" s="313">
        <v>0</v>
      </c>
      <c r="AM14" s="313">
        <v>0</v>
      </c>
      <c r="AN14" s="313">
        <v>0</v>
      </c>
      <c r="AO14" s="313">
        <v>0</v>
      </c>
      <c r="AP14" s="313">
        <v>0</v>
      </c>
      <c r="AQ14" s="313">
        <v>0</v>
      </c>
      <c r="AR14" s="313">
        <v>0</v>
      </c>
      <c r="AS14" s="313">
        <v>0</v>
      </c>
      <c r="AT14" s="313">
        <v>260</v>
      </c>
      <c r="AU14" s="313">
        <v>0</v>
      </c>
      <c r="AV14" s="313">
        <v>0</v>
      </c>
      <c r="AW14" s="313">
        <v>0</v>
      </c>
      <c r="AX14" s="313">
        <v>1100</v>
      </c>
      <c r="AY14" s="313">
        <v>0</v>
      </c>
      <c r="AZ14" s="313">
        <v>0</v>
      </c>
      <c r="BA14" s="313">
        <v>0</v>
      </c>
      <c r="BB14" s="313">
        <v>0</v>
      </c>
      <c r="BC14" s="314">
        <v>0</v>
      </c>
      <c r="BD14" s="313">
        <v>0</v>
      </c>
      <c r="BE14" s="313">
        <v>0</v>
      </c>
      <c r="BF14" s="313">
        <v>0</v>
      </c>
      <c r="BG14" s="313">
        <v>0</v>
      </c>
      <c r="BH14" s="313">
        <v>0</v>
      </c>
      <c r="BI14" s="313">
        <v>0</v>
      </c>
      <c r="BJ14" s="313">
        <v>0</v>
      </c>
      <c r="BK14" s="313"/>
      <c r="BL14" s="313">
        <v>0</v>
      </c>
      <c r="BM14" s="313">
        <v>0</v>
      </c>
      <c r="BN14" s="313">
        <v>650</v>
      </c>
      <c r="BO14" s="313">
        <v>650</v>
      </c>
      <c r="BP14" s="313">
        <v>0</v>
      </c>
      <c r="BQ14" s="313">
        <v>6500</v>
      </c>
      <c r="BR14" s="313">
        <v>0</v>
      </c>
      <c r="BS14" s="313">
        <v>0</v>
      </c>
      <c r="BT14" s="313">
        <v>0</v>
      </c>
      <c r="BU14" s="313">
        <v>0</v>
      </c>
      <c r="BV14" s="313">
        <v>0</v>
      </c>
      <c r="BW14" s="313">
        <v>0</v>
      </c>
      <c r="BX14" s="313">
        <v>0</v>
      </c>
      <c r="BY14" s="313">
        <v>0</v>
      </c>
      <c r="BZ14" s="313">
        <v>0</v>
      </c>
      <c r="CA14" s="313">
        <v>650</v>
      </c>
      <c r="CB14" s="313">
        <v>380</v>
      </c>
    </row>
    <row r="15" spans="1:80">
      <c r="A15" s="310" t="s">
        <v>524</v>
      </c>
      <c r="B15" s="311">
        <v>152</v>
      </c>
      <c r="C15" s="312">
        <v>152</v>
      </c>
      <c r="D15" s="312">
        <v>9500</v>
      </c>
      <c r="E15" s="313">
        <v>152</v>
      </c>
      <c r="F15" s="313">
        <v>0</v>
      </c>
      <c r="G15" s="313">
        <v>0</v>
      </c>
      <c r="H15" s="313">
        <v>0</v>
      </c>
      <c r="I15" s="312">
        <v>0</v>
      </c>
      <c r="J15" s="313">
        <v>0</v>
      </c>
      <c r="K15" s="313">
        <v>0</v>
      </c>
      <c r="L15" s="313">
        <v>0</v>
      </c>
      <c r="M15" s="313">
        <v>0</v>
      </c>
      <c r="N15" s="313">
        <v>0</v>
      </c>
      <c r="O15" s="313">
        <v>0</v>
      </c>
      <c r="P15" s="313">
        <v>0</v>
      </c>
      <c r="Q15" s="313">
        <v>0</v>
      </c>
      <c r="R15" s="313">
        <v>152</v>
      </c>
      <c r="S15" s="313">
        <v>2480</v>
      </c>
      <c r="T15" s="313">
        <v>2480</v>
      </c>
      <c r="U15" s="313">
        <v>2480</v>
      </c>
      <c r="V15" s="313">
        <v>2480</v>
      </c>
      <c r="W15" s="313">
        <v>2480</v>
      </c>
      <c r="X15" s="313">
        <v>152</v>
      </c>
      <c r="Y15" s="313">
        <v>152</v>
      </c>
      <c r="Z15" s="313">
        <v>152</v>
      </c>
      <c r="AA15" s="313">
        <v>152</v>
      </c>
      <c r="AB15" s="313">
        <v>150</v>
      </c>
      <c r="AC15" s="313">
        <v>0</v>
      </c>
      <c r="AD15" s="313">
        <v>0</v>
      </c>
      <c r="AE15" s="313">
        <v>0</v>
      </c>
      <c r="AF15" s="313">
        <v>0</v>
      </c>
      <c r="AG15" s="313">
        <v>0</v>
      </c>
      <c r="AH15" s="313">
        <v>0</v>
      </c>
      <c r="AI15" s="313">
        <v>0</v>
      </c>
      <c r="AJ15" s="313">
        <v>152</v>
      </c>
      <c r="AK15" s="313">
        <v>152</v>
      </c>
      <c r="AL15" s="313">
        <v>0</v>
      </c>
      <c r="AM15" s="313">
        <v>0</v>
      </c>
      <c r="AN15" s="313">
        <v>0</v>
      </c>
      <c r="AO15" s="313">
        <v>0</v>
      </c>
      <c r="AP15" s="313">
        <v>0</v>
      </c>
      <c r="AQ15" s="313">
        <v>0</v>
      </c>
      <c r="AR15" s="313">
        <v>0</v>
      </c>
      <c r="AS15" s="313">
        <v>0</v>
      </c>
      <c r="AT15" s="313">
        <v>152</v>
      </c>
      <c r="AU15" s="313">
        <v>0</v>
      </c>
      <c r="AV15" s="313">
        <v>0</v>
      </c>
      <c r="AW15" s="313">
        <v>0</v>
      </c>
      <c r="AX15" s="313">
        <v>0</v>
      </c>
      <c r="AY15" s="313">
        <v>0</v>
      </c>
      <c r="AZ15" s="313">
        <v>0</v>
      </c>
      <c r="BA15" s="313">
        <v>0</v>
      </c>
      <c r="BB15" s="313">
        <v>0</v>
      </c>
      <c r="BC15" s="314">
        <v>0</v>
      </c>
      <c r="BD15" s="313">
        <v>0</v>
      </c>
      <c r="BE15" s="313">
        <v>0</v>
      </c>
      <c r="BF15" s="313">
        <v>0</v>
      </c>
      <c r="BG15" s="313">
        <v>0</v>
      </c>
      <c r="BH15" s="313">
        <v>0</v>
      </c>
      <c r="BI15" s="313">
        <v>0</v>
      </c>
      <c r="BJ15" s="313">
        <v>0</v>
      </c>
      <c r="BK15" s="313"/>
      <c r="BL15" s="313">
        <v>0</v>
      </c>
      <c r="BM15" s="313">
        <v>0</v>
      </c>
      <c r="BN15" s="313">
        <v>0</v>
      </c>
      <c r="BO15" s="313">
        <v>0</v>
      </c>
      <c r="BP15" s="313">
        <v>0</v>
      </c>
      <c r="BQ15" s="313">
        <v>2480</v>
      </c>
      <c r="BR15" s="313">
        <v>0</v>
      </c>
      <c r="BS15" s="313">
        <v>0</v>
      </c>
      <c r="BT15" s="313">
        <v>0</v>
      </c>
      <c r="BU15" s="313">
        <v>0</v>
      </c>
      <c r="BV15" s="313">
        <v>0</v>
      </c>
      <c r="BW15" s="313">
        <v>0</v>
      </c>
      <c r="BX15" s="313">
        <v>0</v>
      </c>
      <c r="BY15" s="313">
        <v>0</v>
      </c>
      <c r="BZ15" s="313">
        <v>0</v>
      </c>
      <c r="CA15" s="313">
        <v>0</v>
      </c>
      <c r="CB15" s="313">
        <v>150</v>
      </c>
    </row>
    <row r="16" spans="1:80">
      <c r="A16" s="310" t="s">
        <v>525</v>
      </c>
      <c r="B16" s="311">
        <v>0</v>
      </c>
      <c r="C16" s="312">
        <v>76</v>
      </c>
      <c r="D16" s="312">
        <v>0</v>
      </c>
      <c r="E16" s="313">
        <v>0</v>
      </c>
      <c r="F16" s="313">
        <v>0</v>
      </c>
      <c r="G16" s="313">
        <v>0</v>
      </c>
      <c r="H16" s="313">
        <v>0</v>
      </c>
      <c r="I16" s="312">
        <v>0</v>
      </c>
      <c r="J16" s="313">
        <v>0</v>
      </c>
      <c r="K16" s="313">
        <v>0</v>
      </c>
      <c r="L16" s="313">
        <v>0</v>
      </c>
      <c r="M16" s="313">
        <v>0</v>
      </c>
      <c r="N16" s="313">
        <v>0</v>
      </c>
      <c r="O16" s="313">
        <v>0</v>
      </c>
      <c r="P16" s="313">
        <v>0</v>
      </c>
      <c r="Q16" s="313">
        <v>0</v>
      </c>
      <c r="R16" s="313">
        <v>76</v>
      </c>
      <c r="S16" s="313">
        <v>76</v>
      </c>
      <c r="T16" s="313">
        <v>76</v>
      </c>
      <c r="U16" s="313">
        <v>76</v>
      </c>
      <c r="V16" s="313">
        <v>76</v>
      </c>
      <c r="W16" s="313">
        <v>76</v>
      </c>
      <c r="X16" s="313">
        <v>76</v>
      </c>
      <c r="Y16" s="313">
        <v>76</v>
      </c>
      <c r="Z16" s="313">
        <v>76</v>
      </c>
      <c r="AA16" s="313">
        <v>0</v>
      </c>
      <c r="AB16" s="313">
        <v>0</v>
      </c>
      <c r="AC16" s="313">
        <v>0</v>
      </c>
      <c r="AD16" s="313">
        <v>0</v>
      </c>
      <c r="AE16" s="313">
        <v>0</v>
      </c>
      <c r="AF16" s="313">
        <v>0</v>
      </c>
      <c r="AG16" s="313">
        <v>0</v>
      </c>
      <c r="AH16" s="313">
        <v>0</v>
      </c>
      <c r="AI16" s="313">
        <v>0</v>
      </c>
      <c r="AJ16" s="313">
        <v>0</v>
      </c>
      <c r="AK16" s="313">
        <v>0</v>
      </c>
      <c r="AL16" s="313">
        <v>0</v>
      </c>
      <c r="AM16" s="313">
        <v>0</v>
      </c>
      <c r="AN16" s="313">
        <v>0</v>
      </c>
      <c r="AO16" s="313">
        <v>0</v>
      </c>
      <c r="AP16" s="313">
        <v>0</v>
      </c>
      <c r="AQ16" s="313">
        <v>0</v>
      </c>
      <c r="AR16" s="313">
        <v>0</v>
      </c>
      <c r="AS16" s="313">
        <v>0</v>
      </c>
      <c r="AT16" s="313">
        <v>76</v>
      </c>
      <c r="AU16" s="313">
        <v>0</v>
      </c>
      <c r="AV16" s="313">
        <v>0</v>
      </c>
      <c r="AW16" s="313">
        <v>0</v>
      </c>
      <c r="AX16" s="313">
        <v>0</v>
      </c>
      <c r="AY16" s="313">
        <v>0</v>
      </c>
      <c r="AZ16" s="313">
        <v>0</v>
      </c>
      <c r="BA16" s="313">
        <v>0</v>
      </c>
      <c r="BB16" s="313">
        <v>0</v>
      </c>
      <c r="BC16" s="314">
        <v>0</v>
      </c>
      <c r="BD16" s="313">
        <v>0</v>
      </c>
      <c r="BE16" s="313">
        <v>0</v>
      </c>
      <c r="BF16" s="313">
        <v>0</v>
      </c>
      <c r="BG16" s="313">
        <v>0</v>
      </c>
      <c r="BH16" s="313">
        <v>0</v>
      </c>
      <c r="BI16" s="313">
        <v>0</v>
      </c>
      <c r="BJ16" s="313">
        <v>0</v>
      </c>
      <c r="BK16" s="313"/>
      <c r="BL16" s="313">
        <v>0</v>
      </c>
      <c r="BM16" s="313">
        <v>0</v>
      </c>
      <c r="BN16" s="313">
        <v>0</v>
      </c>
      <c r="BO16" s="313">
        <v>0</v>
      </c>
      <c r="BP16" s="313">
        <v>0</v>
      </c>
      <c r="BQ16" s="313">
        <v>76</v>
      </c>
      <c r="BR16" s="313">
        <v>0</v>
      </c>
      <c r="BS16" s="313">
        <v>0</v>
      </c>
      <c r="BT16" s="313">
        <v>0</v>
      </c>
      <c r="BU16" s="313">
        <v>0</v>
      </c>
      <c r="BV16" s="313">
        <v>0</v>
      </c>
      <c r="BW16" s="313">
        <v>0</v>
      </c>
      <c r="BX16" s="313">
        <v>0</v>
      </c>
      <c r="BY16" s="313">
        <v>0</v>
      </c>
      <c r="BZ16" s="313">
        <v>0</v>
      </c>
      <c r="CA16" s="313">
        <v>0</v>
      </c>
      <c r="CB16" s="313">
        <v>0</v>
      </c>
    </row>
    <row r="17" spans="1:80">
      <c r="A17" s="310" t="s">
        <v>526</v>
      </c>
      <c r="B17" s="311">
        <v>0</v>
      </c>
      <c r="C17" s="312">
        <v>1</v>
      </c>
      <c r="D17" s="312">
        <v>0</v>
      </c>
      <c r="E17" s="313">
        <v>0</v>
      </c>
      <c r="F17" s="313">
        <v>0</v>
      </c>
      <c r="G17" s="313">
        <v>0</v>
      </c>
      <c r="H17" s="313">
        <v>0</v>
      </c>
      <c r="I17" s="312">
        <v>0</v>
      </c>
      <c r="J17" s="313">
        <v>0</v>
      </c>
      <c r="K17" s="313">
        <v>0</v>
      </c>
      <c r="L17" s="313">
        <v>0</v>
      </c>
      <c r="M17" s="313">
        <v>0</v>
      </c>
      <c r="N17" s="313">
        <v>0</v>
      </c>
      <c r="O17" s="313">
        <v>0</v>
      </c>
      <c r="P17" s="313">
        <v>0</v>
      </c>
      <c r="Q17" s="313">
        <v>0</v>
      </c>
      <c r="R17" s="313">
        <v>1</v>
      </c>
      <c r="S17" s="313">
        <v>1</v>
      </c>
      <c r="T17" s="313">
        <v>1</v>
      </c>
      <c r="U17" s="313">
        <v>1</v>
      </c>
      <c r="V17" s="313">
        <v>1</v>
      </c>
      <c r="W17" s="313">
        <v>1</v>
      </c>
      <c r="X17" s="313">
        <v>1</v>
      </c>
      <c r="Y17" s="313">
        <v>1</v>
      </c>
      <c r="Z17" s="313">
        <v>1</v>
      </c>
      <c r="AA17" s="313">
        <v>0</v>
      </c>
      <c r="AB17" s="313">
        <v>0</v>
      </c>
      <c r="AC17" s="313">
        <v>0</v>
      </c>
      <c r="AD17" s="313">
        <v>0</v>
      </c>
      <c r="AE17" s="313">
        <v>0</v>
      </c>
      <c r="AF17" s="313">
        <v>0</v>
      </c>
      <c r="AG17" s="313">
        <v>0</v>
      </c>
      <c r="AH17" s="313">
        <v>0</v>
      </c>
      <c r="AI17" s="313">
        <v>0</v>
      </c>
      <c r="AJ17" s="313">
        <v>0</v>
      </c>
      <c r="AK17" s="313">
        <v>0</v>
      </c>
      <c r="AL17" s="313">
        <v>0</v>
      </c>
      <c r="AM17" s="313">
        <v>0</v>
      </c>
      <c r="AN17" s="313">
        <v>0</v>
      </c>
      <c r="AO17" s="313">
        <v>0</v>
      </c>
      <c r="AP17" s="313">
        <v>0</v>
      </c>
      <c r="AQ17" s="313">
        <v>0</v>
      </c>
      <c r="AR17" s="313">
        <v>0</v>
      </c>
      <c r="AS17" s="313">
        <v>0</v>
      </c>
      <c r="AT17" s="313">
        <v>1</v>
      </c>
      <c r="AU17" s="313">
        <v>0</v>
      </c>
      <c r="AV17" s="313">
        <v>0</v>
      </c>
      <c r="AW17" s="313">
        <v>0</v>
      </c>
      <c r="AX17" s="313">
        <v>0</v>
      </c>
      <c r="AY17" s="313">
        <v>0</v>
      </c>
      <c r="AZ17" s="313">
        <v>0</v>
      </c>
      <c r="BA17" s="313">
        <v>0</v>
      </c>
      <c r="BB17" s="313">
        <v>0</v>
      </c>
      <c r="BC17" s="314">
        <v>0</v>
      </c>
      <c r="BD17" s="313">
        <v>0</v>
      </c>
      <c r="BE17" s="313">
        <v>0</v>
      </c>
      <c r="BF17" s="313">
        <v>0</v>
      </c>
      <c r="BG17" s="313">
        <v>0</v>
      </c>
      <c r="BH17" s="313">
        <v>0</v>
      </c>
      <c r="BI17" s="313">
        <v>0</v>
      </c>
      <c r="BJ17" s="313">
        <v>0</v>
      </c>
      <c r="BK17" s="313"/>
      <c r="BL17" s="313">
        <v>0</v>
      </c>
      <c r="BM17" s="313">
        <v>0</v>
      </c>
      <c r="BN17" s="313">
        <v>0</v>
      </c>
      <c r="BO17" s="313">
        <v>0</v>
      </c>
      <c r="BP17" s="313">
        <v>0</v>
      </c>
      <c r="BQ17" s="313">
        <v>1</v>
      </c>
      <c r="BR17" s="313">
        <v>0</v>
      </c>
      <c r="BS17" s="313">
        <v>0</v>
      </c>
      <c r="BT17" s="313">
        <v>0</v>
      </c>
      <c r="BU17" s="313">
        <v>0</v>
      </c>
      <c r="BV17" s="313">
        <v>0</v>
      </c>
      <c r="BW17" s="313">
        <v>0</v>
      </c>
      <c r="BX17" s="313">
        <v>0</v>
      </c>
      <c r="BY17" s="313">
        <v>0</v>
      </c>
      <c r="BZ17" s="313">
        <v>0</v>
      </c>
      <c r="CA17" s="313">
        <v>0</v>
      </c>
      <c r="CB17" s="313">
        <v>0</v>
      </c>
    </row>
    <row r="18" spans="1:80">
      <c r="A18" s="310" t="s">
        <v>527</v>
      </c>
      <c r="B18" s="315">
        <f>'Devizni tecaj, porez i gorivo'!$C$19</f>
        <v>8.9599999999999991</v>
      </c>
      <c r="C18" s="316">
        <f>'Devizni tecaj, porez i gorivo'!$C$19</f>
        <v>8.9599999999999991</v>
      </c>
      <c r="D18" s="316">
        <v>0</v>
      </c>
      <c r="E18" s="316">
        <f>'Devizni tecaj, porez i gorivo'!$C$19</f>
        <v>8.9599999999999991</v>
      </c>
      <c r="F18" s="316">
        <f>'Devizni tecaj, porez i gorivo'!$C$19</f>
        <v>8.9599999999999991</v>
      </c>
      <c r="G18" s="316">
        <f>'Devizni tecaj, porez i gorivo'!$C$19</f>
        <v>8.9599999999999991</v>
      </c>
      <c r="H18" s="316">
        <f>'Devizni tecaj, porez i gorivo'!$C$19</f>
        <v>8.9599999999999991</v>
      </c>
      <c r="I18" s="316">
        <v>0</v>
      </c>
      <c r="J18" s="316">
        <f>'Devizni tecaj, porez i gorivo'!$C$19</f>
        <v>8.9599999999999991</v>
      </c>
      <c r="K18" s="316">
        <f>'Devizni tecaj, porez i gorivo'!$C$19</f>
        <v>8.9599999999999991</v>
      </c>
      <c r="L18" s="316">
        <f>'Devizni tecaj, porez i gorivo'!$C$19</f>
        <v>8.9599999999999991</v>
      </c>
      <c r="M18" s="316">
        <f>'Devizni tecaj, porez i gorivo'!$C$20</f>
        <v>8.9599999999999991</v>
      </c>
      <c r="N18" s="316">
        <f>'Devizni tecaj, porez i gorivo'!$C$19</f>
        <v>8.9599999999999991</v>
      </c>
      <c r="O18" s="316">
        <f>'Devizni tecaj, porez i gorivo'!$C$19</f>
        <v>8.9599999999999991</v>
      </c>
      <c r="P18" s="316">
        <f>'Devizni tecaj, porez i gorivo'!$C$19</f>
        <v>8.9599999999999991</v>
      </c>
      <c r="Q18" s="316">
        <f>'Devizni tecaj, porez i gorivo'!$C$20</f>
        <v>8.9599999999999991</v>
      </c>
      <c r="R18" s="316">
        <f>'Devizni tecaj, porez i gorivo'!$C$19</f>
        <v>8.9599999999999991</v>
      </c>
      <c r="S18" s="316">
        <f>'Devizni tecaj, porez i gorivo'!$C$19</f>
        <v>8.9599999999999991</v>
      </c>
      <c r="T18" s="316">
        <f>'Devizni tecaj, porez i gorivo'!$C$19</f>
        <v>8.9599999999999991</v>
      </c>
      <c r="U18" s="316">
        <f>'Devizni tecaj, porez i gorivo'!$C$19</f>
        <v>8.9599999999999991</v>
      </c>
      <c r="V18" s="316">
        <f>'Devizni tecaj, porez i gorivo'!$C$19</f>
        <v>8.9599999999999991</v>
      </c>
      <c r="W18" s="316">
        <f>'Devizni tecaj, porez i gorivo'!$C$19</f>
        <v>8.9599999999999991</v>
      </c>
      <c r="X18" s="316">
        <v>0</v>
      </c>
      <c r="Y18" s="316">
        <v>0</v>
      </c>
      <c r="Z18" s="316">
        <v>0</v>
      </c>
      <c r="AA18" s="316">
        <f>'Devizni tecaj, porez i gorivo'!$C$19</f>
        <v>8.9599999999999991</v>
      </c>
      <c r="AB18" s="316">
        <f>'Devizni tecaj, porez i gorivo'!$C$19</f>
        <v>8.9599999999999991</v>
      </c>
      <c r="AC18" s="316">
        <f>'Devizni tecaj, porez i gorivo'!$C$19</f>
        <v>8.9599999999999991</v>
      </c>
      <c r="AD18" s="316">
        <f>'Devizni tecaj, porez i gorivo'!$C$19</f>
        <v>8.9599999999999991</v>
      </c>
      <c r="AE18" s="316">
        <v>0</v>
      </c>
      <c r="AF18" s="316">
        <v>0</v>
      </c>
      <c r="AG18" s="316">
        <v>0</v>
      </c>
      <c r="AH18" s="316">
        <v>0</v>
      </c>
      <c r="AI18" s="316">
        <v>0</v>
      </c>
      <c r="AJ18" s="316">
        <f>'Devizni tecaj, porez i gorivo'!$C$19</f>
        <v>8.9599999999999991</v>
      </c>
      <c r="AK18" s="316">
        <f>'Devizni tecaj, porez i gorivo'!$C$19</f>
        <v>8.9599999999999991</v>
      </c>
      <c r="AL18" s="316">
        <v>0</v>
      </c>
      <c r="AM18" s="316">
        <v>0</v>
      </c>
      <c r="AN18" s="316">
        <v>0</v>
      </c>
      <c r="AO18" s="316">
        <v>0</v>
      </c>
      <c r="AP18" s="316">
        <v>0</v>
      </c>
      <c r="AQ18" s="316">
        <v>0</v>
      </c>
      <c r="AR18" s="316">
        <f>'Devizni tecaj, porez i gorivo'!$C$19</f>
        <v>8.9599999999999991</v>
      </c>
      <c r="AS18" s="316">
        <v>0</v>
      </c>
      <c r="AT18" s="316">
        <v>0</v>
      </c>
      <c r="AU18" s="316">
        <v>0</v>
      </c>
      <c r="AV18" s="316">
        <f>'Devizni tecaj, porez i gorivo'!$C$19</f>
        <v>8.9599999999999991</v>
      </c>
      <c r="AW18" s="316">
        <f>'Devizni tecaj, porez i gorivo'!$C$19</f>
        <v>8.9599999999999991</v>
      </c>
      <c r="AX18" s="316">
        <f>'Devizni tecaj, porez i gorivo'!$C$19</f>
        <v>8.9599999999999991</v>
      </c>
      <c r="AY18" s="316">
        <f>'Devizni tecaj, porez i gorivo'!$C$20</f>
        <v>8.9599999999999991</v>
      </c>
      <c r="AZ18" s="316">
        <f>'Devizni tecaj, porez i gorivo'!$C$19</f>
        <v>8.9599999999999991</v>
      </c>
      <c r="BA18" s="316">
        <f>'Devizni tecaj, porez i gorivo'!$C$19</f>
        <v>8.9599999999999991</v>
      </c>
      <c r="BB18" s="316">
        <f>'Devizni tecaj, porez i gorivo'!$C$19</f>
        <v>8.9599999999999991</v>
      </c>
      <c r="BC18" s="317">
        <f>'Devizni tecaj, porez i gorivo'!$C$20</f>
        <v>8.9599999999999991</v>
      </c>
      <c r="BD18" s="316">
        <f>'Devizni tecaj, porez i gorivo'!$C$19</f>
        <v>8.9599999999999991</v>
      </c>
      <c r="BE18" s="316">
        <f>'Devizni tecaj, porez i gorivo'!$C$19</f>
        <v>8.9599999999999991</v>
      </c>
      <c r="BF18" s="316">
        <f>'Devizni tecaj, porez i gorivo'!$C$19</f>
        <v>8.9599999999999991</v>
      </c>
      <c r="BG18" s="316">
        <f>'Devizni tecaj, porez i gorivo'!$C$19</f>
        <v>8.9599999999999991</v>
      </c>
      <c r="BH18" s="316">
        <f>'Devizni tecaj, porez i gorivo'!$C$19</f>
        <v>8.9599999999999991</v>
      </c>
      <c r="BI18" s="316">
        <f>'Devizni tecaj, porez i gorivo'!$C$19</f>
        <v>8.9599999999999991</v>
      </c>
      <c r="BJ18" s="316">
        <f>'Devizni tecaj, porez i gorivo'!$C$19</f>
        <v>8.9599999999999991</v>
      </c>
      <c r="BK18" s="316">
        <f>'Devizni tecaj, porez i gorivo'!$C$19</f>
        <v>8.9599999999999991</v>
      </c>
      <c r="BL18" s="316">
        <f>'Devizni tecaj, porez i gorivo'!$C$19</f>
        <v>8.9599999999999991</v>
      </c>
      <c r="BM18" s="316">
        <f>'Devizni tecaj, porez i gorivo'!$C$19</f>
        <v>8.9599999999999991</v>
      </c>
      <c r="BN18" s="316">
        <f>'Devizni tecaj, porez i gorivo'!$C$19</f>
        <v>8.9599999999999991</v>
      </c>
      <c r="BO18" s="316">
        <f>'Devizni tecaj, porez i gorivo'!$C$19</f>
        <v>8.9599999999999991</v>
      </c>
      <c r="BP18" s="316">
        <f>'Devizni tecaj, porez i gorivo'!$C$19</f>
        <v>8.9599999999999991</v>
      </c>
      <c r="BQ18" s="316">
        <f>'Devizni tecaj, porez i gorivo'!$C$19</f>
        <v>8.9599999999999991</v>
      </c>
      <c r="BR18" s="316">
        <f>'Devizni tecaj, porez i gorivo'!$C$19</f>
        <v>8.9599999999999991</v>
      </c>
      <c r="BS18" s="316">
        <v>0</v>
      </c>
      <c r="BT18" s="316">
        <v>0</v>
      </c>
      <c r="BU18" s="316">
        <v>0</v>
      </c>
      <c r="BV18" s="316">
        <v>0</v>
      </c>
      <c r="BW18" s="316">
        <f>'Devizni tecaj, porez i gorivo'!$C$19</f>
        <v>8.9599999999999991</v>
      </c>
      <c r="BX18" s="316">
        <f>'Devizni tecaj, porez i gorivo'!$C$19</f>
        <v>8.9599999999999991</v>
      </c>
      <c r="BY18" s="316">
        <v>0</v>
      </c>
      <c r="BZ18" s="316">
        <f>'Devizni tecaj, porez i gorivo'!$C$20</f>
        <v>8.9599999999999991</v>
      </c>
      <c r="CA18" s="316">
        <f>'Devizni tecaj, porez i gorivo'!$C$19</f>
        <v>8.9599999999999991</v>
      </c>
      <c r="CB18" s="316">
        <f>'Devizni tecaj, porez i gorivo'!$C$19</f>
        <v>8.9599999999999991</v>
      </c>
    </row>
    <row r="19" spans="1:80">
      <c r="A19" s="310" t="s">
        <v>528</v>
      </c>
      <c r="B19" s="311">
        <v>5</v>
      </c>
      <c r="C19" s="312">
        <v>7</v>
      </c>
      <c r="D19" s="312">
        <v>0</v>
      </c>
      <c r="E19" s="313">
        <v>18</v>
      </c>
      <c r="F19" s="313">
        <v>15</v>
      </c>
      <c r="G19" s="313">
        <v>9</v>
      </c>
      <c r="H19" s="313">
        <v>8</v>
      </c>
      <c r="I19" s="312">
        <v>0</v>
      </c>
      <c r="J19" s="313">
        <v>3</v>
      </c>
      <c r="K19" s="313">
        <v>5.5</v>
      </c>
      <c r="L19" s="313">
        <v>8</v>
      </c>
      <c r="M19" s="313">
        <v>2</v>
      </c>
      <c r="N19" s="313">
        <v>12</v>
      </c>
      <c r="O19" s="313">
        <v>7</v>
      </c>
      <c r="P19" s="313">
        <v>12</v>
      </c>
      <c r="Q19" s="313">
        <v>3</v>
      </c>
      <c r="R19" s="313">
        <v>7</v>
      </c>
      <c r="S19" s="313">
        <v>16</v>
      </c>
      <c r="T19" s="313">
        <v>19</v>
      </c>
      <c r="U19" s="313">
        <v>19</v>
      </c>
      <c r="V19" s="313">
        <v>22</v>
      </c>
      <c r="W19" s="313">
        <v>22</v>
      </c>
      <c r="X19" s="313">
        <v>0</v>
      </c>
      <c r="Y19" s="313">
        <v>0</v>
      </c>
      <c r="Z19" s="313">
        <v>0</v>
      </c>
      <c r="AA19" s="313">
        <v>15</v>
      </c>
      <c r="AB19" s="313">
        <v>12</v>
      </c>
      <c r="AC19" s="313">
        <v>0</v>
      </c>
      <c r="AD19" s="313">
        <v>0</v>
      </c>
      <c r="AE19" s="313">
        <v>0</v>
      </c>
      <c r="AF19" s="313">
        <v>0</v>
      </c>
      <c r="AG19" s="313">
        <v>0</v>
      </c>
      <c r="AH19" s="313">
        <v>0</v>
      </c>
      <c r="AI19" s="313">
        <v>0</v>
      </c>
      <c r="AJ19" s="313">
        <v>14</v>
      </c>
      <c r="AK19" s="313">
        <v>7</v>
      </c>
      <c r="AL19" s="313">
        <v>0</v>
      </c>
      <c r="AM19" s="313">
        <v>0</v>
      </c>
      <c r="AN19" s="313">
        <v>0</v>
      </c>
      <c r="AO19" s="313">
        <v>0</v>
      </c>
      <c r="AP19" s="313">
        <v>0</v>
      </c>
      <c r="AQ19" s="313">
        <v>0</v>
      </c>
      <c r="AR19" s="313">
        <v>3</v>
      </c>
      <c r="AS19" s="313">
        <v>0</v>
      </c>
      <c r="AT19" s="313">
        <v>0</v>
      </c>
      <c r="AU19" s="313">
        <v>0</v>
      </c>
      <c r="AV19" s="313">
        <v>4</v>
      </c>
      <c r="AW19" s="313">
        <v>1.8</v>
      </c>
      <c r="AX19" s="313">
        <v>4</v>
      </c>
      <c r="AY19" s="313">
        <v>1.5</v>
      </c>
      <c r="AZ19" s="313">
        <v>2</v>
      </c>
      <c r="BA19" s="313">
        <v>3</v>
      </c>
      <c r="BB19" s="313">
        <v>2</v>
      </c>
      <c r="BC19" s="314">
        <v>3</v>
      </c>
      <c r="BD19" s="313">
        <v>5</v>
      </c>
      <c r="BE19" s="313">
        <v>3</v>
      </c>
      <c r="BF19" s="313">
        <v>3</v>
      </c>
      <c r="BG19" s="313">
        <v>5</v>
      </c>
      <c r="BH19" s="313">
        <v>2.5</v>
      </c>
      <c r="BI19" s="313">
        <v>2.5</v>
      </c>
      <c r="BJ19" s="313">
        <v>2.5</v>
      </c>
      <c r="BK19" s="313">
        <v>5</v>
      </c>
      <c r="BL19" s="313">
        <v>4.5</v>
      </c>
      <c r="BM19" s="313"/>
      <c r="BN19" s="313">
        <v>7.5</v>
      </c>
      <c r="BO19" s="313"/>
      <c r="BP19" s="313"/>
      <c r="BQ19" s="467">
        <v>9</v>
      </c>
      <c r="BR19" s="313">
        <v>3</v>
      </c>
      <c r="BS19" s="313"/>
      <c r="BT19" s="313"/>
      <c r="BU19" s="313"/>
      <c r="BV19" s="313"/>
      <c r="BW19" s="313">
        <v>3</v>
      </c>
      <c r="BX19" s="313">
        <v>3</v>
      </c>
      <c r="BY19" s="313"/>
      <c r="BZ19" s="313">
        <v>3</v>
      </c>
      <c r="CA19" s="313">
        <v>7.5</v>
      </c>
      <c r="CB19" s="313">
        <v>12</v>
      </c>
    </row>
    <row r="20" spans="1:80">
      <c r="A20" s="310" t="s">
        <v>529</v>
      </c>
      <c r="B20" s="324">
        <v>0.06</v>
      </c>
      <c r="C20" s="325">
        <v>0.06</v>
      </c>
      <c r="D20" s="325">
        <v>0</v>
      </c>
      <c r="E20" s="325">
        <v>0.06</v>
      </c>
      <c r="F20" s="325">
        <v>0.06</v>
      </c>
      <c r="G20" s="325">
        <v>0.06</v>
      </c>
      <c r="H20" s="325">
        <v>0.06</v>
      </c>
      <c r="I20" s="325">
        <v>0.06</v>
      </c>
      <c r="J20" s="325">
        <v>0.06</v>
      </c>
      <c r="K20" s="325">
        <v>0.06</v>
      </c>
      <c r="L20" s="325">
        <v>0.06</v>
      </c>
      <c r="M20" s="325">
        <v>0.06</v>
      </c>
      <c r="N20" s="325">
        <v>0.06</v>
      </c>
      <c r="O20" s="325">
        <v>0.06</v>
      </c>
      <c r="P20" s="325">
        <v>0.06</v>
      </c>
      <c r="Q20" s="325">
        <v>0.06</v>
      </c>
      <c r="R20" s="325">
        <v>0.06</v>
      </c>
      <c r="S20" s="325">
        <v>0.06</v>
      </c>
      <c r="T20" s="325">
        <v>0.06</v>
      </c>
      <c r="U20" s="325">
        <v>0.06</v>
      </c>
      <c r="V20" s="325">
        <v>0.06</v>
      </c>
      <c r="W20" s="325">
        <v>0.06</v>
      </c>
      <c r="X20" s="325">
        <v>0.06</v>
      </c>
      <c r="Y20" s="325">
        <v>0.06</v>
      </c>
      <c r="Z20" s="325">
        <v>0.06</v>
      </c>
      <c r="AA20" s="325">
        <v>0.06</v>
      </c>
      <c r="AB20" s="325">
        <v>0.06</v>
      </c>
      <c r="AC20" s="325">
        <v>0.06</v>
      </c>
      <c r="AD20" s="325">
        <v>0.06</v>
      </c>
      <c r="AE20" s="325">
        <v>0.06</v>
      </c>
      <c r="AF20" s="325">
        <v>0.06</v>
      </c>
      <c r="AG20" s="325">
        <v>0.06</v>
      </c>
      <c r="AH20" s="325">
        <v>0.06</v>
      </c>
      <c r="AI20" s="325">
        <v>0.06</v>
      </c>
      <c r="AJ20" s="325">
        <v>0.06</v>
      </c>
      <c r="AK20" s="325">
        <v>0.06</v>
      </c>
      <c r="AL20" s="325">
        <v>0.06</v>
      </c>
      <c r="AM20" s="325">
        <v>0.06</v>
      </c>
      <c r="AN20" s="325">
        <v>0.06</v>
      </c>
      <c r="AO20" s="325">
        <v>0.06</v>
      </c>
      <c r="AP20" s="325">
        <v>0.06</v>
      </c>
      <c r="AQ20" s="325">
        <v>0.06</v>
      </c>
      <c r="AR20" s="325">
        <v>0.06</v>
      </c>
      <c r="AS20" s="325">
        <v>0.06</v>
      </c>
      <c r="AT20" s="325">
        <v>0.06</v>
      </c>
      <c r="AU20" s="325">
        <v>0.06</v>
      </c>
      <c r="AV20" s="325">
        <v>0.06</v>
      </c>
      <c r="AW20" s="325">
        <v>0.06</v>
      </c>
      <c r="AX20" s="325">
        <v>0.06</v>
      </c>
      <c r="AY20" s="325">
        <v>0.06</v>
      </c>
      <c r="AZ20" s="325">
        <v>0.06</v>
      </c>
      <c r="BA20" s="325">
        <v>0.06</v>
      </c>
      <c r="BB20" s="325">
        <v>0.06</v>
      </c>
      <c r="BC20" s="326">
        <v>0.06</v>
      </c>
      <c r="BD20" s="325">
        <v>0.06</v>
      </c>
      <c r="BE20" s="325">
        <v>0.06</v>
      </c>
      <c r="BF20" s="325">
        <v>0.06</v>
      </c>
      <c r="BG20" s="325">
        <v>0.06</v>
      </c>
      <c r="BH20" s="325">
        <v>0.06</v>
      </c>
      <c r="BI20" s="325">
        <v>0.06</v>
      </c>
      <c r="BJ20" s="325">
        <v>0.06</v>
      </c>
      <c r="BK20" s="325">
        <v>0.06</v>
      </c>
      <c r="BL20" s="325">
        <v>0.06</v>
      </c>
      <c r="BM20" s="325">
        <v>0.06</v>
      </c>
      <c r="BN20" s="325">
        <v>0.06</v>
      </c>
      <c r="BO20" s="325">
        <v>0.06</v>
      </c>
      <c r="BP20" s="325">
        <v>0.06</v>
      </c>
      <c r="BQ20" s="325">
        <v>0.06</v>
      </c>
      <c r="BR20" s="325">
        <v>0.06</v>
      </c>
      <c r="BS20" s="325">
        <v>0.06</v>
      </c>
      <c r="BT20" s="325">
        <v>0.06</v>
      </c>
      <c r="BU20" s="325">
        <v>0.06</v>
      </c>
      <c r="BV20" s="325">
        <v>0.06</v>
      </c>
      <c r="BW20" s="325">
        <v>0.06</v>
      </c>
      <c r="BX20" s="325">
        <v>0.06</v>
      </c>
      <c r="BY20" s="325">
        <v>0.06</v>
      </c>
      <c r="BZ20" s="325">
        <v>0.06</v>
      </c>
      <c r="CA20" s="325">
        <v>0.06</v>
      </c>
      <c r="CB20" s="325">
        <v>0.06</v>
      </c>
    </row>
    <row r="21" spans="1:80">
      <c r="A21" s="310" t="s">
        <v>530</v>
      </c>
      <c r="B21" s="315">
        <f>B18*B19*B20</f>
        <v>2.6879999999999997</v>
      </c>
      <c r="C21" s="316">
        <f>C20*C19*C18</f>
        <v>3.7631999999999994</v>
      </c>
      <c r="D21" s="316">
        <f>D20*D19*D18</f>
        <v>0</v>
      </c>
      <c r="E21" s="316">
        <f t="shared" ref="E21:AM21" si="7">E20*E19*E18</f>
        <v>9.6768000000000001</v>
      </c>
      <c r="F21" s="316">
        <f t="shared" si="7"/>
        <v>8.0639999999999983</v>
      </c>
      <c r="G21" s="316">
        <f t="shared" si="7"/>
        <v>4.8384</v>
      </c>
      <c r="H21" s="316">
        <f t="shared" si="7"/>
        <v>4.3007999999999997</v>
      </c>
      <c r="I21" s="316">
        <f t="shared" si="7"/>
        <v>0</v>
      </c>
      <c r="J21" s="316">
        <f t="shared" si="7"/>
        <v>1.6127999999999998</v>
      </c>
      <c r="K21" s="316">
        <f t="shared" si="7"/>
        <v>2.9567999999999994</v>
      </c>
      <c r="L21" s="316">
        <f t="shared" si="7"/>
        <v>4.3007999999999997</v>
      </c>
      <c r="M21" s="316">
        <f>M20*M19*M18</f>
        <v>1.0751999999999999</v>
      </c>
      <c r="N21" s="316">
        <f t="shared" si="7"/>
        <v>6.4511999999999992</v>
      </c>
      <c r="O21" s="316">
        <f>O20*O19*O18</f>
        <v>3.7631999999999994</v>
      </c>
      <c r="P21" s="316">
        <f t="shared" si="7"/>
        <v>6.4511999999999992</v>
      </c>
      <c r="Q21" s="316">
        <f t="shared" si="7"/>
        <v>1.6127999999999998</v>
      </c>
      <c r="R21" s="316">
        <f t="shared" si="7"/>
        <v>3.7631999999999994</v>
      </c>
      <c r="S21" s="316">
        <f t="shared" si="7"/>
        <v>8.6015999999999995</v>
      </c>
      <c r="T21" s="316">
        <f t="shared" si="7"/>
        <v>10.214399999999998</v>
      </c>
      <c r="U21" s="316">
        <f>U20*U19*U18</f>
        <v>10.214399999999998</v>
      </c>
      <c r="V21" s="316">
        <f t="shared" si="7"/>
        <v>11.827199999999998</v>
      </c>
      <c r="W21" s="316">
        <f t="shared" ref="W21:AD21" si="8">W20*W19*W18</f>
        <v>11.827199999999998</v>
      </c>
      <c r="X21" s="316">
        <f t="shared" si="8"/>
        <v>0</v>
      </c>
      <c r="Y21" s="316">
        <f t="shared" si="8"/>
        <v>0</v>
      </c>
      <c r="Z21" s="316">
        <f t="shared" si="8"/>
        <v>0</v>
      </c>
      <c r="AA21" s="316">
        <f t="shared" si="8"/>
        <v>8.0639999999999983</v>
      </c>
      <c r="AB21" s="316">
        <f t="shared" si="7"/>
        <v>6.4511999999999992</v>
      </c>
      <c r="AC21" s="316">
        <f t="shared" si="8"/>
        <v>0</v>
      </c>
      <c r="AD21" s="316">
        <f t="shared" si="8"/>
        <v>0</v>
      </c>
      <c r="AE21" s="316">
        <f t="shared" si="7"/>
        <v>0</v>
      </c>
      <c r="AF21" s="316">
        <f t="shared" si="7"/>
        <v>0</v>
      </c>
      <c r="AG21" s="316">
        <f t="shared" si="7"/>
        <v>0</v>
      </c>
      <c r="AH21" s="316">
        <f t="shared" si="7"/>
        <v>0</v>
      </c>
      <c r="AI21" s="316">
        <f t="shared" si="7"/>
        <v>0</v>
      </c>
      <c r="AJ21" s="316">
        <f t="shared" si="7"/>
        <v>7.5263999999999989</v>
      </c>
      <c r="AK21" s="316">
        <f t="shared" si="7"/>
        <v>3.7631999999999994</v>
      </c>
      <c r="AL21" s="316">
        <f t="shared" si="7"/>
        <v>0</v>
      </c>
      <c r="AM21" s="316">
        <f t="shared" si="7"/>
        <v>0</v>
      </c>
      <c r="AN21" s="316">
        <f t="shared" ref="AN21:BJ21" si="9">AN20*AN19*AN18</f>
        <v>0</v>
      </c>
      <c r="AO21" s="316">
        <f t="shared" si="9"/>
        <v>0</v>
      </c>
      <c r="AP21" s="316">
        <f t="shared" si="9"/>
        <v>0</v>
      </c>
      <c r="AQ21" s="316">
        <f t="shared" si="9"/>
        <v>0</v>
      </c>
      <c r="AR21" s="316">
        <f t="shared" si="9"/>
        <v>1.6127999999999998</v>
      </c>
      <c r="AS21" s="316">
        <f t="shared" si="9"/>
        <v>0</v>
      </c>
      <c r="AT21" s="316">
        <f t="shared" si="9"/>
        <v>0</v>
      </c>
      <c r="AU21" s="316">
        <f t="shared" si="9"/>
        <v>0</v>
      </c>
      <c r="AV21" s="316">
        <f>AV20*AV19*AV18</f>
        <v>2.1503999999999999</v>
      </c>
      <c r="AW21" s="316">
        <f>AW20*AW19*AW18</f>
        <v>0.96767999999999987</v>
      </c>
      <c r="AX21" s="316">
        <f>AX20*AX19*AX18</f>
        <v>2.1503999999999999</v>
      </c>
      <c r="AY21" s="316">
        <f>AY20*AY19*AY18</f>
        <v>0.80639999999999989</v>
      </c>
      <c r="AZ21" s="316">
        <f>AZ20*AZ19*AZ18</f>
        <v>1.0751999999999999</v>
      </c>
      <c r="BA21" s="316">
        <f t="shared" si="9"/>
        <v>1.6127999999999998</v>
      </c>
      <c r="BB21" s="316">
        <f>BB20*BB19*BB18</f>
        <v>1.0751999999999999</v>
      </c>
      <c r="BC21" s="317">
        <f t="shared" si="9"/>
        <v>1.6127999999999998</v>
      </c>
      <c r="BD21" s="316">
        <f>BD18*BD19*BD20</f>
        <v>2.6879999999999997</v>
      </c>
      <c r="BE21" s="316">
        <f t="shared" si="9"/>
        <v>1.6127999999999998</v>
      </c>
      <c r="BF21" s="316">
        <f t="shared" si="9"/>
        <v>1.6127999999999998</v>
      </c>
      <c r="BG21" s="316">
        <f t="shared" si="9"/>
        <v>2.6879999999999997</v>
      </c>
      <c r="BH21" s="316">
        <f t="shared" si="9"/>
        <v>1.3439999999999999</v>
      </c>
      <c r="BI21" s="316">
        <f t="shared" si="9"/>
        <v>1.3439999999999999</v>
      </c>
      <c r="BJ21" s="316">
        <f t="shared" si="9"/>
        <v>1.3439999999999999</v>
      </c>
      <c r="BK21" s="316">
        <f t="shared" ref="BK21:BT21" si="10">BK20*BK19*BK18</f>
        <v>2.6879999999999997</v>
      </c>
      <c r="BL21" s="316">
        <f t="shared" si="10"/>
        <v>2.4192</v>
      </c>
      <c r="BM21" s="316">
        <f t="shared" si="10"/>
        <v>0</v>
      </c>
      <c r="BN21" s="316">
        <f t="shared" si="10"/>
        <v>4.0319999999999991</v>
      </c>
      <c r="BO21" s="316">
        <f t="shared" si="10"/>
        <v>0</v>
      </c>
      <c r="BP21" s="316">
        <f t="shared" si="10"/>
        <v>0</v>
      </c>
      <c r="BQ21" s="316">
        <f t="shared" si="10"/>
        <v>4.8384</v>
      </c>
      <c r="BR21" s="316">
        <f t="shared" si="10"/>
        <v>1.6127999999999998</v>
      </c>
      <c r="BS21" s="316">
        <f t="shared" si="10"/>
        <v>0</v>
      </c>
      <c r="BT21" s="316">
        <f t="shared" si="10"/>
        <v>0</v>
      </c>
      <c r="BU21" s="316">
        <f t="shared" ref="BU21:CA21" si="11">BU20*BU19*BU18</f>
        <v>0</v>
      </c>
      <c r="BV21" s="316">
        <f t="shared" si="11"/>
        <v>0</v>
      </c>
      <c r="BW21" s="316">
        <f t="shared" si="11"/>
        <v>1.6127999999999998</v>
      </c>
      <c r="BX21" s="316">
        <f t="shared" si="11"/>
        <v>1.6127999999999998</v>
      </c>
      <c r="BY21" s="316">
        <f t="shared" si="11"/>
        <v>0</v>
      </c>
      <c r="BZ21" s="316">
        <f t="shared" si="11"/>
        <v>1.6127999999999998</v>
      </c>
      <c r="CA21" s="316">
        <f t="shared" si="11"/>
        <v>4.0319999999999991</v>
      </c>
      <c r="CB21" s="316">
        <f>CB20*CB19*CB18</f>
        <v>6.4511999999999992</v>
      </c>
    </row>
    <row r="22" spans="1:80">
      <c r="A22" s="310" t="s">
        <v>531</v>
      </c>
      <c r="B22" s="311">
        <v>400</v>
      </c>
      <c r="C22" s="312">
        <v>940</v>
      </c>
      <c r="D22" s="312">
        <v>0</v>
      </c>
      <c r="E22" s="313">
        <v>4700</v>
      </c>
      <c r="F22" s="313">
        <v>2870</v>
      </c>
      <c r="G22" s="313">
        <v>1140</v>
      </c>
      <c r="H22" s="313">
        <v>2870</v>
      </c>
      <c r="I22" s="312">
        <v>0</v>
      </c>
      <c r="J22" s="313">
        <v>0</v>
      </c>
      <c r="K22" s="313">
        <v>0</v>
      </c>
      <c r="L22" s="313">
        <v>0</v>
      </c>
      <c r="M22" s="313">
        <v>0</v>
      </c>
      <c r="N22" s="313">
        <v>750</v>
      </c>
      <c r="O22" s="313"/>
      <c r="P22" s="313">
        <v>5100</v>
      </c>
      <c r="Q22" s="313">
        <v>250</v>
      </c>
      <c r="R22" s="313">
        <v>940</v>
      </c>
      <c r="S22" s="313">
        <v>1275</v>
      </c>
      <c r="T22" s="313">
        <v>1275</v>
      </c>
      <c r="U22" s="313">
        <v>1275</v>
      </c>
      <c r="V22" s="313">
        <v>1275</v>
      </c>
      <c r="W22" s="313">
        <v>1275</v>
      </c>
      <c r="X22" s="313">
        <v>950</v>
      </c>
      <c r="Y22" s="313">
        <v>950</v>
      </c>
      <c r="Z22" s="313">
        <v>950</v>
      </c>
      <c r="AA22" s="313">
        <v>2870</v>
      </c>
      <c r="AB22" s="313">
        <v>5100</v>
      </c>
      <c r="AC22" s="313">
        <v>0</v>
      </c>
      <c r="AD22" s="313">
        <v>0</v>
      </c>
      <c r="AE22" s="313">
        <v>0</v>
      </c>
      <c r="AF22" s="313">
        <v>0</v>
      </c>
      <c r="AG22" s="313">
        <v>0</v>
      </c>
      <c r="AH22" s="313">
        <v>190</v>
      </c>
      <c r="AI22" s="313">
        <v>0</v>
      </c>
      <c r="AJ22" s="313">
        <v>4675</v>
      </c>
      <c r="AK22" s="313">
        <v>3000</v>
      </c>
      <c r="AL22" s="313">
        <v>0</v>
      </c>
      <c r="AM22" s="313">
        <v>0</v>
      </c>
      <c r="AN22" s="313">
        <v>0</v>
      </c>
      <c r="AO22" s="313">
        <v>0</v>
      </c>
      <c r="AP22" s="313">
        <v>0</v>
      </c>
      <c r="AQ22" s="313">
        <v>0</v>
      </c>
      <c r="AR22" s="313">
        <v>0</v>
      </c>
      <c r="AS22" s="313">
        <v>0</v>
      </c>
      <c r="AT22" s="313">
        <v>950</v>
      </c>
      <c r="AU22" s="313">
        <v>0</v>
      </c>
      <c r="AV22" s="313">
        <v>940</v>
      </c>
      <c r="AW22" s="313">
        <v>500</v>
      </c>
      <c r="AX22" s="313">
        <v>2000</v>
      </c>
      <c r="AY22" s="313">
        <v>0</v>
      </c>
      <c r="AZ22" s="313">
        <v>0</v>
      </c>
      <c r="BA22" s="313">
        <v>0</v>
      </c>
      <c r="BB22" s="313">
        <v>0</v>
      </c>
      <c r="BC22" s="314">
        <v>250</v>
      </c>
      <c r="BD22" s="313">
        <v>400</v>
      </c>
      <c r="BE22" s="313">
        <v>250</v>
      </c>
      <c r="BF22" s="313">
        <v>250</v>
      </c>
      <c r="BG22" s="313">
        <v>0</v>
      </c>
      <c r="BH22" s="313">
        <v>0</v>
      </c>
      <c r="BI22" s="313">
        <v>0</v>
      </c>
      <c r="BJ22" s="313">
        <v>0</v>
      </c>
      <c r="BK22" s="313"/>
      <c r="BL22" s="313">
        <v>5100</v>
      </c>
      <c r="BM22" s="313"/>
      <c r="BN22" s="313"/>
      <c r="BO22" s="313"/>
      <c r="BP22" s="313"/>
      <c r="BQ22" s="313">
        <v>1275</v>
      </c>
      <c r="BR22" s="313"/>
      <c r="BS22" s="313"/>
      <c r="BT22" s="313"/>
      <c r="BU22" s="313"/>
      <c r="BV22" s="313"/>
      <c r="BW22" s="313">
        <v>250</v>
      </c>
      <c r="BX22" s="313"/>
      <c r="BY22" s="313"/>
      <c r="BZ22" s="313">
        <v>200</v>
      </c>
      <c r="CA22" s="313"/>
      <c r="CB22" s="313">
        <v>600</v>
      </c>
    </row>
    <row r="23" spans="1:80">
      <c r="A23" s="310" t="s">
        <v>532</v>
      </c>
      <c r="B23" s="311">
        <v>4</v>
      </c>
      <c r="C23" s="312">
        <v>3</v>
      </c>
      <c r="D23" s="312">
        <v>0</v>
      </c>
      <c r="E23" s="313">
        <v>3</v>
      </c>
      <c r="F23" s="313">
        <v>2</v>
      </c>
      <c r="G23" s="313">
        <v>4</v>
      </c>
      <c r="H23" s="313">
        <v>2</v>
      </c>
      <c r="I23" s="312">
        <v>0</v>
      </c>
      <c r="J23" s="313">
        <v>0</v>
      </c>
      <c r="K23" s="313">
        <v>0</v>
      </c>
      <c r="L23" s="313">
        <v>0</v>
      </c>
      <c r="M23" s="313">
        <v>0</v>
      </c>
      <c r="N23" s="313">
        <v>4</v>
      </c>
      <c r="O23" s="313">
        <v>6</v>
      </c>
      <c r="P23" s="313">
        <v>4</v>
      </c>
      <c r="Q23" s="313">
        <v>4</v>
      </c>
      <c r="R23" s="313">
        <v>6</v>
      </c>
      <c r="S23" s="313">
        <v>6</v>
      </c>
      <c r="T23" s="313">
        <v>10</v>
      </c>
      <c r="U23" s="313">
        <v>6</v>
      </c>
      <c r="V23" s="313">
        <v>10</v>
      </c>
      <c r="W23" s="313">
        <v>4</v>
      </c>
      <c r="X23" s="313">
        <v>6</v>
      </c>
      <c r="Y23" s="313">
        <v>4</v>
      </c>
      <c r="Z23" s="313">
        <v>2</v>
      </c>
      <c r="AA23" s="313">
        <v>2</v>
      </c>
      <c r="AB23" s="313">
        <v>4</v>
      </c>
      <c r="AC23" s="313">
        <v>0</v>
      </c>
      <c r="AD23" s="313">
        <v>0</v>
      </c>
      <c r="AE23" s="313">
        <v>0</v>
      </c>
      <c r="AF23" s="313">
        <v>0</v>
      </c>
      <c r="AG23" s="313">
        <v>0</v>
      </c>
      <c r="AH23" s="313">
        <v>2</v>
      </c>
      <c r="AI23" s="313">
        <v>0</v>
      </c>
      <c r="AJ23" s="313">
        <v>4</v>
      </c>
      <c r="AK23" s="313">
        <v>2</v>
      </c>
      <c r="AL23" s="313">
        <v>0</v>
      </c>
      <c r="AM23" s="313">
        <v>0</v>
      </c>
      <c r="AN23" s="313">
        <v>0</v>
      </c>
      <c r="AO23" s="313">
        <v>0</v>
      </c>
      <c r="AP23" s="313">
        <v>0</v>
      </c>
      <c r="AQ23" s="313">
        <v>0</v>
      </c>
      <c r="AR23" s="313">
        <v>0</v>
      </c>
      <c r="AS23" s="313">
        <v>0</v>
      </c>
      <c r="AT23" s="313">
        <v>4</v>
      </c>
      <c r="AU23" s="313">
        <v>0</v>
      </c>
      <c r="AV23" s="313">
        <v>2</v>
      </c>
      <c r="AW23" s="313">
        <v>0.5</v>
      </c>
      <c r="AX23" s="313">
        <v>1.5</v>
      </c>
      <c r="AY23" s="313">
        <v>0</v>
      </c>
      <c r="AZ23" s="313">
        <v>0</v>
      </c>
      <c r="BA23" s="313">
        <v>0</v>
      </c>
      <c r="BB23" s="313">
        <v>0</v>
      </c>
      <c r="BC23" s="314">
        <v>4</v>
      </c>
      <c r="BD23" s="313">
        <v>4</v>
      </c>
      <c r="BE23" s="313">
        <v>4</v>
      </c>
      <c r="BF23" s="313">
        <v>4</v>
      </c>
      <c r="BG23" s="313">
        <v>0</v>
      </c>
      <c r="BH23" s="313">
        <v>0</v>
      </c>
      <c r="BI23" s="313">
        <v>0</v>
      </c>
      <c r="BJ23" s="313">
        <v>0</v>
      </c>
      <c r="BK23" s="313"/>
      <c r="BL23" s="313">
        <v>4</v>
      </c>
      <c r="BM23" s="313"/>
      <c r="BN23" s="313"/>
      <c r="BO23" s="313"/>
      <c r="BP23" s="313"/>
      <c r="BQ23" s="313">
        <v>6</v>
      </c>
      <c r="BR23" s="313"/>
      <c r="BS23" s="313"/>
      <c r="BT23" s="313"/>
      <c r="BU23" s="313"/>
      <c r="BV23" s="313"/>
      <c r="BW23" s="313">
        <v>4</v>
      </c>
      <c r="BX23" s="313"/>
      <c r="BY23" s="313"/>
      <c r="BZ23" s="313">
        <v>1</v>
      </c>
      <c r="CA23" s="313"/>
      <c r="CB23" s="313">
        <v>2</v>
      </c>
    </row>
    <row r="24" spans="1:80">
      <c r="A24" s="310" t="s">
        <v>533</v>
      </c>
      <c r="B24" s="324">
        <v>0.2</v>
      </c>
      <c r="C24" s="325">
        <v>0.2</v>
      </c>
      <c r="D24" s="325">
        <v>0.1</v>
      </c>
      <c r="E24" s="325">
        <v>0.14299999999999999</v>
      </c>
      <c r="F24" s="325">
        <v>0.14299999999999999</v>
      </c>
      <c r="G24" s="325">
        <v>0.14299999999999999</v>
      </c>
      <c r="H24" s="325">
        <v>0.14299999999999999</v>
      </c>
      <c r="I24" s="325">
        <v>0.1</v>
      </c>
      <c r="J24" s="325">
        <v>0.14299999999999999</v>
      </c>
      <c r="K24" s="325">
        <v>0.14299999999999999</v>
      </c>
      <c r="L24" s="325">
        <v>0.14299999999999999</v>
      </c>
      <c r="M24" s="325">
        <v>0.2</v>
      </c>
      <c r="N24" s="325">
        <v>0.14299999999999999</v>
      </c>
      <c r="O24" s="325">
        <v>0.14299999999999999</v>
      </c>
      <c r="P24" s="325">
        <v>0.14299999999999999</v>
      </c>
      <c r="Q24" s="325">
        <v>0.14299999999999999</v>
      </c>
      <c r="R24" s="325">
        <v>0.14299999999999999</v>
      </c>
      <c r="S24" s="325">
        <v>0.14299999999999999</v>
      </c>
      <c r="T24" s="325">
        <v>0.14299999999999999</v>
      </c>
      <c r="U24" s="325">
        <v>0.14299999999999999</v>
      </c>
      <c r="V24" s="325">
        <v>0.14299999999999999</v>
      </c>
      <c r="W24" s="325">
        <v>0.14299999999999999</v>
      </c>
      <c r="X24" s="325">
        <v>0.14299999999999999</v>
      </c>
      <c r="Y24" s="325">
        <v>0.14299999999999999</v>
      </c>
      <c r="Z24" s="325">
        <v>0.14299999999999999</v>
      </c>
      <c r="AA24" s="325">
        <v>0.14299999999999999</v>
      </c>
      <c r="AB24" s="325">
        <v>0.14299999999999999</v>
      </c>
      <c r="AC24" s="325">
        <v>0.14299999999999999</v>
      </c>
      <c r="AD24" s="325">
        <v>0.14299999999999999</v>
      </c>
      <c r="AE24" s="325">
        <v>0.14299999999999999</v>
      </c>
      <c r="AF24" s="325">
        <v>0.14299999999999999</v>
      </c>
      <c r="AG24" s="325">
        <v>0.14299999999999999</v>
      </c>
      <c r="AH24" s="325">
        <v>0.14299999999999999</v>
      </c>
      <c r="AI24" s="325">
        <v>0.14299999999999999</v>
      </c>
      <c r="AJ24" s="325">
        <v>0.14299999999999999</v>
      </c>
      <c r="AK24" s="325">
        <v>0.14299999999999999</v>
      </c>
      <c r="AL24" s="325">
        <v>0.14299999999999999</v>
      </c>
      <c r="AM24" s="325">
        <v>0.14299999999999999</v>
      </c>
      <c r="AN24" s="325">
        <v>0.14299999999999999</v>
      </c>
      <c r="AO24" s="325">
        <v>0.14299999999999999</v>
      </c>
      <c r="AP24" s="325">
        <v>0.14299999999999999</v>
      </c>
      <c r="AQ24" s="325">
        <v>0.14299999999999999</v>
      </c>
      <c r="AR24" s="325">
        <v>0.14299999999999999</v>
      </c>
      <c r="AS24" s="325">
        <v>0.14299999999999999</v>
      </c>
      <c r="AT24" s="325">
        <v>0.14299999999999999</v>
      </c>
      <c r="AU24" s="325">
        <v>0.14299999999999999</v>
      </c>
      <c r="AV24" s="325">
        <v>0.14299999999999999</v>
      </c>
      <c r="AW24" s="325">
        <v>0.14299999999999999</v>
      </c>
      <c r="AX24" s="325">
        <v>0.14299999999999999</v>
      </c>
      <c r="AY24" s="325">
        <v>0.2</v>
      </c>
      <c r="AZ24" s="325">
        <v>0.2</v>
      </c>
      <c r="BA24" s="325">
        <v>0.2</v>
      </c>
      <c r="BB24" s="325">
        <v>0.14299999999999999</v>
      </c>
      <c r="BC24" s="326">
        <v>0.14299999999999999</v>
      </c>
      <c r="BD24" s="325">
        <v>0.14299999999999999</v>
      </c>
      <c r="BE24" s="325">
        <v>0.14299999999999999</v>
      </c>
      <c r="BF24" s="325">
        <v>0.14299999999999999</v>
      </c>
      <c r="BG24" s="325">
        <v>0.14299999999999999</v>
      </c>
      <c r="BH24" s="325">
        <v>0.14299999999999999</v>
      </c>
      <c r="BI24" s="325">
        <v>0.05</v>
      </c>
      <c r="BJ24" s="325">
        <v>0.05</v>
      </c>
      <c r="BK24" s="325">
        <v>0.14299999999999999</v>
      </c>
      <c r="BL24" s="325">
        <v>0.14299999999999999</v>
      </c>
      <c r="BM24" s="325">
        <v>0.14299999999999999</v>
      </c>
      <c r="BN24" s="325">
        <v>0.14299999999999999</v>
      </c>
      <c r="BO24" s="325">
        <v>0.14299999999999999</v>
      </c>
      <c r="BP24" s="325">
        <v>0.14299999999999999</v>
      </c>
      <c r="BQ24" s="325">
        <v>0.14299999999999999</v>
      </c>
      <c r="BR24" s="325">
        <v>1</v>
      </c>
      <c r="BS24" s="325">
        <v>0.14299999999999999</v>
      </c>
      <c r="BT24" s="325">
        <v>0.14299999999999999</v>
      </c>
      <c r="BU24" s="325">
        <v>0.14299999999999999</v>
      </c>
      <c r="BV24" s="325">
        <v>0.14299999999999999</v>
      </c>
      <c r="BW24" s="325">
        <v>0.14299999999999999</v>
      </c>
      <c r="BX24" s="325">
        <v>0.2</v>
      </c>
      <c r="BY24" s="325">
        <v>0.14299999999999999</v>
      </c>
      <c r="BZ24" s="325">
        <v>0.14299999999999999</v>
      </c>
      <c r="CA24" s="325">
        <v>0.14299999999999999</v>
      </c>
      <c r="CB24" s="325">
        <v>0.14299999999999999</v>
      </c>
    </row>
    <row r="25" spans="1:80">
      <c r="A25" s="310" t="s">
        <v>534</v>
      </c>
      <c r="B25" s="311">
        <v>0.08</v>
      </c>
      <c r="C25" s="312">
        <v>0.08</v>
      </c>
      <c r="D25" s="312">
        <v>0.08</v>
      </c>
      <c r="E25" s="313">
        <v>0.08</v>
      </c>
      <c r="F25" s="313">
        <v>0.08</v>
      </c>
      <c r="G25" s="313">
        <v>0.08</v>
      </c>
      <c r="H25" s="313">
        <v>0.08</v>
      </c>
      <c r="I25" s="312">
        <v>0.08</v>
      </c>
      <c r="J25" s="313">
        <v>0.08</v>
      </c>
      <c r="K25" s="313">
        <v>0.08</v>
      </c>
      <c r="L25" s="313">
        <v>0.08</v>
      </c>
      <c r="M25" s="313">
        <v>0.08</v>
      </c>
      <c r="N25" s="313">
        <v>0.08</v>
      </c>
      <c r="O25" s="313">
        <v>0.08</v>
      </c>
      <c r="P25" s="313">
        <v>0.08</v>
      </c>
      <c r="Q25" s="313">
        <v>0.08</v>
      </c>
      <c r="R25" s="313">
        <v>0.08</v>
      </c>
      <c r="S25" s="313">
        <v>0.08</v>
      </c>
      <c r="T25" s="313">
        <v>0.08</v>
      </c>
      <c r="U25" s="313">
        <v>0.08</v>
      </c>
      <c r="V25" s="313">
        <v>0.08</v>
      </c>
      <c r="W25" s="313">
        <v>0.08</v>
      </c>
      <c r="X25" s="313">
        <v>0.08</v>
      </c>
      <c r="Y25" s="313">
        <v>0.08</v>
      </c>
      <c r="Z25" s="313">
        <v>0.08</v>
      </c>
      <c r="AA25" s="313">
        <v>0.08</v>
      </c>
      <c r="AB25" s="313">
        <v>0.08</v>
      </c>
      <c r="AC25" s="313">
        <v>0.08</v>
      </c>
      <c r="AD25" s="313">
        <v>0.08</v>
      </c>
      <c r="AE25" s="313">
        <v>0.08</v>
      </c>
      <c r="AF25" s="313">
        <v>0.08</v>
      </c>
      <c r="AG25" s="313">
        <v>0.08</v>
      </c>
      <c r="AH25" s="313">
        <v>0.08</v>
      </c>
      <c r="AI25" s="313">
        <v>0.08</v>
      </c>
      <c r="AJ25" s="313">
        <v>0.08</v>
      </c>
      <c r="AK25" s="313">
        <v>0.08</v>
      </c>
      <c r="AL25" s="313">
        <v>0.08</v>
      </c>
      <c r="AM25" s="313">
        <v>0.08</v>
      </c>
      <c r="AN25" s="313">
        <v>0.08</v>
      </c>
      <c r="AO25" s="313">
        <v>0.08</v>
      </c>
      <c r="AP25" s="313">
        <v>0.08</v>
      </c>
      <c r="AQ25" s="313">
        <v>0.08</v>
      </c>
      <c r="AR25" s="313">
        <v>0.08</v>
      </c>
      <c r="AS25" s="313">
        <v>0.08</v>
      </c>
      <c r="AT25" s="313">
        <v>0.08</v>
      </c>
      <c r="AU25" s="313">
        <v>0.08</v>
      </c>
      <c r="AV25" s="313">
        <v>0.04</v>
      </c>
      <c r="AW25" s="313">
        <v>0.08</v>
      </c>
      <c r="AX25" s="313">
        <v>0.08</v>
      </c>
      <c r="AY25" s="313">
        <v>0.08</v>
      </c>
      <c r="AZ25" s="313">
        <v>0.08</v>
      </c>
      <c r="BA25" s="313">
        <v>0.08</v>
      </c>
      <c r="BB25" s="313">
        <v>0.08</v>
      </c>
      <c r="BC25" s="314">
        <v>0.08</v>
      </c>
      <c r="BD25" s="313">
        <v>0.08</v>
      </c>
      <c r="BE25" s="313">
        <v>0.08</v>
      </c>
      <c r="BF25" s="313">
        <v>0.08</v>
      </c>
      <c r="BG25" s="313">
        <v>0.08</v>
      </c>
      <c r="BH25" s="313">
        <v>0.04</v>
      </c>
      <c r="BI25" s="313">
        <v>0.01</v>
      </c>
      <c r="BJ25" s="313">
        <v>5.0000000000000001E-3</v>
      </c>
      <c r="BK25" s="313">
        <v>0.08</v>
      </c>
      <c r="BL25" s="313">
        <v>0.08</v>
      </c>
      <c r="BM25" s="313">
        <v>0.08</v>
      </c>
      <c r="BN25" s="313">
        <v>0.08</v>
      </c>
      <c r="BO25" s="313">
        <v>0.08</v>
      </c>
      <c r="BP25" s="313">
        <v>0.08</v>
      </c>
      <c r="BQ25" s="313">
        <v>0.08</v>
      </c>
      <c r="BR25" s="313">
        <v>0.08</v>
      </c>
      <c r="BS25" s="313">
        <v>0.08</v>
      </c>
      <c r="BT25" s="313">
        <v>0.08</v>
      </c>
      <c r="BU25" s="313">
        <v>0.08</v>
      </c>
      <c r="BV25" s="313">
        <v>0.08</v>
      </c>
      <c r="BW25" s="313">
        <v>0.08</v>
      </c>
      <c r="BX25" s="313">
        <v>0.08</v>
      </c>
      <c r="BY25" s="313">
        <v>0.08</v>
      </c>
      <c r="BZ25" s="313">
        <v>0.08</v>
      </c>
      <c r="CA25" s="313">
        <v>0.08</v>
      </c>
      <c r="CB25" s="313">
        <v>0.08</v>
      </c>
    </row>
    <row r="26" spans="1:80">
      <c r="A26" s="310" t="s">
        <v>535</v>
      </c>
      <c r="B26" s="311">
        <v>0.04</v>
      </c>
      <c r="C26" s="312">
        <v>0.04</v>
      </c>
      <c r="D26" s="312">
        <v>0.04</v>
      </c>
      <c r="E26" s="313">
        <v>0.04</v>
      </c>
      <c r="F26" s="313">
        <v>0.04</v>
      </c>
      <c r="G26" s="313">
        <v>0.04</v>
      </c>
      <c r="H26" s="313">
        <v>0.04</v>
      </c>
      <c r="I26" s="312">
        <v>0.04</v>
      </c>
      <c r="J26" s="313">
        <v>0.04</v>
      </c>
      <c r="K26" s="313">
        <v>0.04</v>
      </c>
      <c r="L26" s="313">
        <v>0.04</v>
      </c>
      <c r="M26" s="313">
        <v>0.04</v>
      </c>
      <c r="N26" s="313">
        <v>0.04</v>
      </c>
      <c r="O26" s="313">
        <v>0.04</v>
      </c>
      <c r="P26" s="313">
        <v>0.04</v>
      </c>
      <c r="Q26" s="313">
        <v>0.04</v>
      </c>
      <c r="R26" s="313">
        <v>0.04</v>
      </c>
      <c r="S26" s="313">
        <v>0.04</v>
      </c>
      <c r="T26" s="313">
        <v>0.04</v>
      </c>
      <c r="U26" s="313">
        <v>0.04</v>
      </c>
      <c r="V26" s="313">
        <v>0.04</v>
      </c>
      <c r="W26" s="313">
        <v>0.04</v>
      </c>
      <c r="X26" s="313">
        <v>0.04</v>
      </c>
      <c r="Y26" s="313">
        <v>0.04</v>
      </c>
      <c r="Z26" s="313">
        <v>0.04</v>
      </c>
      <c r="AA26" s="313">
        <v>0.04</v>
      </c>
      <c r="AB26" s="313">
        <v>0.04</v>
      </c>
      <c r="AC26" s="313">
        <v>0.04</v>
      </c>
      <c r="AD26" s="313">
        <v>0.04</v>
      </c>
      <c r="AE26" s="313">
        <v>0.04</v>
      </c>
      <c r="AF26" s="313">
        <v>0.04</v>
      </c>
      <c r="AG26" s="313">
        <v>0.04</v>
      </c>
      <c r="AH26" s="313">
        <v>0.04</v>
      </c>
      <c r="AI26" s="313">
        <v>0.04</v>
      </c>
      <c r="AJ26" s="313">
        <v>0.04</v>
      </c>
      <c r="AK26" s="313">
        <v>0.04</v>
      </c>
      <c r="AL26" s="313">
        <v>0.04</v>
      </c>
      <c r="AM26" s="313">
        <v>0.04</v>
      </c>
      <c r="AN26" s="313">
        <v>0.04</v>
      </c>
      <c r="AO26" s="313">
        <v>0.04</v>
      </c>
      <c r="AP26" s="313">
        <v>0.04</v>
      </c>
      <c r="AQ26" s="313">
        <v>0.04</v>
      </c>
      <c r="AR26" s="313">
        <v>0.04</v>
      </c>
      <c r="AS26" s="313">
        <v>0.04</v>
      </c>
      <c r="AT26" s="313">
        <v>0.04</v>
      </c>
      <c r="AU26" s="313">
        <v>0.04</v>
      </c>
      <c r="AV26" s="313">
        <v>0.02</v>
      </c>
      <c r="AW26" s="313">
        <v>0.04</v>
      </c>
      <c r="AX26" s="313">
        <v>0.04</v>
      </c>
      <c r="AY26" s="313">
        <v>0.04</v>
      </c>
      <c r="AZ26" s="313">
        <v>0.04</v>
      </c>
      <c r="BA26" s="313">
        <v>0.04</v>
      </c>
      <c r="BB26" s="313">
        <v>0.04</v>
      </c>
      <c r="BC26" s="314">
        <v>0.04</v>
      </c>
      <c r="BD26" s="313">
        <v>0.04</v>
      </c>
      <c r="BE26" s="313">
        <v>0.04</v>
      </c>
      <c r="BF26" s="313">
        <v>0.04</v>
      </c>
      <c r="BG26" s="313">
        <v>0.04</v>
      </c>
      <c r="BH26" s="313">
        <v>0.02</v>
      </c>
      <c r="BI26" s="313">
        <v>0.01</v>
      </c>
      <c r="BJ26" s="313">
        <v>5.0000000000000001E-3</v>
      </c>
      <c r="BK26" s="313">
        <v>0.04</v>
      </c>
      <c r="BL26" s="313">
        <v>0.04</v>
      </c>
      <c r="BM26" s="313">
        <v>0.04</v>
      </c>
      <c r="BN26" s="313">
        <v>0.04</v>
      </c>
      <c r="BO26" s="313">
        <v>0.04</v>
      </c>
      <c r="BP26" s="313">
        <v>0.04</v>
      </c>
      <c r="BQ26" s="313">
        <v>0.04</v>
      </c>
      <c r="BR26" s="313">
        <v>0.04</v>
      </c>
      <c r="BS26" s="313">
        <v>0.04</v>
      </c>
      <c r="BT26" s="313">
        <v>0.04</v>
      </c>
      <c r="BU26" s="313">
        <v>0.04</v>
      </c>
      <c r="BV26" s="313">
        <v>0.04</v>
      </c>
      <c r="BW26" s="313">
        <v>0.04</v>
      </c>
      <c r="BX26" s="313">
        <v>0.04</v>
      </c>
      <c r="BY26" s="313">
        <v>0.04</v>
      </c>
      <c r="BZ26" s="313">
        <v>0.04</v>
      </c>
      <c r="CA26" s="313">
        <v>0.04</v>
      </c>
      <c r="CB26" s="313">
        <v>0.04</v>
      </c>
    </row>
    <row r="27" spans="1:80">
      <c r="A27" s="310" t="s">
        <v>536</v>
      </c>
      <c r="B27" s="311">
        <v>0</v>
      </c>
      <c r="C27" s="312">
        <v>0</v>
      </c>
      <c r="D27" s="312">
        <v>0</v>
      </c>
      <c r="E27" s="313">
        <v>0</v>
      </c>
      <c r="F27" s="313">
        <v>0</v>
      </c>
      <c r="G27" s="313">
        <v>0</v>
      </c>
      <c r="H27" s="313">
        <v>0</v>
      </c>
      <c r="I27" s="312">
        <v>0</v>
      </c>
      <c r="J27" s="313">
        <v>0</v>
      </c>
      <c r="K27" s="313">
        <v>0</v>
      </c>
      <c r="L27" s="313">
        <v>0</v>
      </c>
      <c r="M27" s="313">
        <v>0</v>
      </c>
      <c r="N27" s="313">
        <v>2000</v>
      </c>
      <c r="O27" s="313"/>
      <c r="P27" s="313">
        <v>0</v>
      </c>
      <c r="Q27" s="313">
        <v>0</v>
      </c>
      <c r="R27" s="313">
        <v>0</v>
      </c>
      <c r="S27" s="313">
        <v>6.8000000000000005E-2</v>
      </c>
      <c r="T27" s="313">
        <v>0</v>
      </c>
      <c r="U27" s="313">
        <v>0</v>
      </c>
      <c r="V27" s="313">
        <v>0</v>
      </c>
      <c r="W27" s="313">
        <v>0</v>
      </c>
      <c r="X27" s="313">
        <v>6.8000000000000005E-2</v>
      </c>
      <c r="Y27" s="313">
        <v>0</v>
      </c>
      <c r="Z27" s="313">
        <v>0</v>
      </c>
      <c r="AA27" s="313">
        <v>0</v>
      </c>
      <c r="AB27" s="313">
        <v>0</v>
      </c>
      <c r="AC27" s="313">
        <v>0</v>
      </c>
      <c r="AD27" s="313">
        <v>0</v>
      </c>
      <c r="AE27" s="313">
        <v>0</v>
      </c>
      <c r="AF27" s="313">
        <v>0</v>
      </c>
      <c r="AG27" s="313">
        <v>0</v>
      </c>
      <c r="AH27" s="313">
        <v>0</v>
      </c>
      <c r="AI27" s="313">
        <v>0</v>
      </c>
      <c r="AJ27" s="313">
        <v>0</v>
      </c>
      <c r="AK27" s="313">
        <v>0</v>
      </c>
      <c r="AL27" s="313">
        <v>0</v>
      </c>
      <c r="AM27" s="313">
        <v>0</v>
      </c>
      <c r="AN27" s="313">
        <v>0</v>
      </c>
      <c r="AO27" s="313">
        <v>0</v>
      </c>
      <c r="AP27" s="313">
        <v>9300</v>
      </c>
      <c r="AQ27" s="313">
        <v>0</v>
      </c>
      <c r="AR27" s="313">
        <v>0</v>
      </c>
      <c r="AS27" s="313">
        <v>1000</v>
      </c>
      <c r="AT27" s="313">
        <v>0</v>
      </c>
      <c r="AU27" s="313">
        <v>0</v>
      </c>
      <c r="AV27" s="313">
        <v>2000</v>
      </c>
      <c r="AW27" s="313">
        <v>0</v>
      </c>
      <c r="AX27" s="313">
        <v>0</v>
      </c>
      <c r="AY27" s="313">
        <v>0</v>
      </c>
      <c r="AZ27" s="313">
        <v>0</v>
      </c>
      <c r="BA27" s="313">
        <v>0</v>
      </c>
      <c r="BB27" s="313">
        <v>0</v>
      </c>
      <c r="BC27" s="314">
        <v>0</v>
      </c>
      <c r="BD27" s="313">
        <v>0</v>
      </c>
      <c r="BE27" s="313">
        <v>0</v>
      </c>
      <c r="BF27" s="313">
        <v>0</v>
      </c>
      <c r="BG27" s="313">
        <v>0</v>
      </c>
      <c r="BH27" s="313">
        <v>0</v>
      </c>
      <c r="BI27" s="313">
        <v>0</v>
      </c>
      <c r="BJ27" s="313">
        <v>0</v>
      </c>
      <c r="BK27" s="313">
        <v>0</v>
      </c>
      <c r="BL27" s="313">
        <v>0</v>
      </c>
      <c r="BM27" s="313">
        <v>0</v>
      </c>
      <c r="BN27" s="313">
        <v>0</v>
      </c>
      <c r="BO27" s="313">
        <v>0</v>
      </c>
      <c r="BP27" s="313">
        <v>0</v>
      </c>
      <c r="BQ27" s="313">
        <v>6.8000000000000005E-2</v>
      </c>
      <c r="BR27" s="313">
        <v>0</v>
      </c>
      <c r="BS27" s="313">
        <v>0</v>
      </c>
      <c r="BT27" s="313">
        <v>0</v>
      </c>
      <c r="BU27" s="313">
        <v>0</v>
      </c>
      <c r="BV27" s="313">
        <v>0</v>
      </c>
      <c r="BW27" s="313">
        <v>0</v>
      </c>
      <c r="BX27" s="313">
        <v>0</v>
      </c>
      <c r="BY27" s="313">
        <v>0</v>
      </c>
      <c r="BZ27" s="313">
        <v>0</v>
      </c>
      <c r="CA27" s="313">
        <v>0</v>
      </c>
      <c r="CB27" s="313">
        <v>0</v>
      </c>
    </row>
    <row r="28" spans="1:80">
      <c r="A28" s="310" t="s">
        <v>537</v>
      </c>
      <c r="B28" s="311">
        <v>0</v>
      </c>
      <c r="C28" s="312">
        <v>0</v>
      </c>
      <c r="D28" s="312">
        <v>0</v>
      </c>
      <c r="E28" s="313">
        <v>0</v>
      </c>
      <c r="F28" s="313">
        <v>0</v>
      </c>
      <c r="G28" s="313">
        <v>0</v>
      </c>
      <c r="H28" s="313">
        <v>0</v>
      </c>
      <c r="I28" s="312">
        <v>0</v>
      </c>
      <c r="J28" s="313">
        <v>0</v>
      </c>
      <c r="K28" s="313">
        <v>0</v>
      </c>
      <c r="L28" s="313">
        <v>0</v>
      </c>
      <c r="M28" s="313">
        <v>3000</v>
      </c>
      <c r="N28" s="313">
        <v>4</v>
      </c>
      <c r="O28" s="313"/>
      <c r="P28" s="313">
        <v>0</v>
      </c>
      <c r="Q28" s="313">
        <v>0</v>
      </c>
      <c r="R28" s="313">
        <v>0</v>
      </c>
      <c r="S28" s="313">
        <v>0</v>
      </c>
      <c r="T28" s="313">
        <v>0</v>
      </c>
      <c r="U28" s="313">
        <v>0</v>
      </c>
      <c r="V28" s="313">
        <v>0</v>
      </c>
      <c r="W28" s="313">
        <v>0</v>
      </c>
      <c r="X28" s="313">
        <v>0</v>
      </c>
      <c r="Y28" s="313">
        <v>0</v>
      </c>
      <c r="Z28" s="313">
        <v>0</v>
      </c>
      <c r="AA28" s="313">
        <v>0</v>
      </c>
      <c r="AB28" s="313">
        <v>0</v>
      </c>
      <c r="AC28" s="313">
        <v>0</v>
      </c>
      <c r="AD28" s="313">
        <v>0</v>
      </c>
      <c r="AE28" s="313">
        <v>0</v>
      </c>
      <c r="AF28" s="313">
        <v>0</v>
      </c>
      <c r="AG28" s="313">
        <v>0</v>
      </c>
      <c r="AH28" s="313">
        <v>0</v>
      </c>
      <c r="AI28" s="313">
        <v>0</v>
      </c>
      <c r="AJ28" s="313">
        <v>0</v>
      </c>
      <c r="AK28" s="313">
        <v>0</v>
      </c>
      <c r="AL28" s="313">
        <v>0</v>
      </c>
      <c r="AM28" s="313">
        <v>0</v>
      </c>
      <c r="AN28" s="313">
        <v>0</v>
      </c>
      <c r="AO28" s="313">
        <v>0</v>
      </c>
      <c r="AP28" s="313">
        <v>3</v>
      </c>
      <c r="AQ28" s="313">
        <v>0</v>
      </c>
      <c r="AR28" s="313">
        <v>0</v>
      </c>
      <c r="AS28" s="313">
        <v>7</v>
      </c>
      <c r="AT28" s="313">
        <v>0</v>
      </c>
      <c r="AU28" s="313">
        <v>0</v>
      </c>
      <c r="AV28" s="313">
        <v>0</v>
      </c>
      <c r="AW28" s="313">
        <v>0</v>
      </c>
      <c r="AX28" s="313">
        <v>0</v>
      </c>
      <c r="AY28" s="313">
        <v>0</v>
      </c>
      <c r="AZ28" s="313">
        <v>0</v>
      </c>
      <c r="BA28" s="313">
        <v>0</v>
      </c>
      <c r="BB28" s="313">
        <v>12000</v>
      </c>
      <c r="BC28" s="314">
        <v>0</v>
      </c>
      <c r="BD28" s="313">
        <v>0</v>
      </c>
      <c r="BE28" s="313">
        <v>0</v>
      </c>
      <c r="BF28" s="313">
        <v>0</v>
      </c>
      <c r="BG28" s="313">
        <v>0</v>
      </c>
      <c r="BH28" s="313">
        <v>0</v>
      </c>
      <c r="BI28" s="313">
        <v>0</v>
      </c>
      <c r="BJ28" s="313">
        <v>0</v>
      </c>
      <c r="BK28" s="313">
        <v>0</v>
      </c>
      <c r="BL28" s="313">
        <v>0</v>
      </c>
      <c r="BM28" s="313">
        <v>0</v>
      </c>
      <c r="BN28" s="313">
        <v>0</v>
      </c>
      <c r="BO28" s="313">
        <v>0</v>
      </c>
      <c r="BP28" s="313">
        <v>0</v>
      </c>
      <c r="BQ28" s="313">
        <v>0</v>
      </c>
      <c r="BR28" s="313">
        <v>0</v>
      </c>
      <c r="BS28" s="313">
        <v>0</v>
      </c>
      <c r="BT28" s="313">
        <v>0</v>
      </c>
      <c r="BU28" s="313">
        <v>0</v>
      </c>
      <c r="BV28" s="313">
        <v>0</v>
      </c>
      <c r="BW28" s="313">
        <v>0</v>
      </c>
      <c r="BX28" s="313">
        <v>0</v>
      </c>
      <c r="BY28" s="313">
        <v>0</v>
      </c>
      <c r="BZ28" s="313">
        <v>0</v>
      </c>
      <c r="CA28" s="313">
        <v>0</v>
      </c>
      <c r="CB28" s="313">
        <v>0</v>
      </c>
    </row>
    <row r="29" spans="1:80">
      <c r="A29" s="310" t="s">
        <v>538</v>
      </c>
      <c r="B29" s="311">
        <v>0</v>
      </c>
      <c r="C29" s="312">
        <v>0</v>
      </c>
      <c r="D29" s="312">
        <v>2000</v>
      </c>
      <c r="E29" s="313">
        <v>0</v>
      </c>
      <c r="F29" s="313">
        <v>0</v>
      </c>
      <c r="G29" s="313">
        <v>0</v>
      </c>
      <c r="H29" s="313">
        <v>0</v>
      </c>
      <c r="I29" s="312">
        <v>0</v>
      </c>
      <c r="J29" s="313">
        <v>0</v>
      </c>
      <c r="K29" s="313">
        <v>0</v>
      </c>
      <c r="L29" s="313">
        <v>0</v>
      </c>
      <c r="M29" s="313">
        <v>1</v>
      </c>
      <c r="N29" s="313">
        <v>0</v>
      </c>
      <c r="O29" s="313">
        <v>0</v>
      </c>
      <c r="P29" s="313">
        <v>0</v>
      </c>
      <c r="Q29" s="313">
        <v>0</v>
      </c>
      <c r="R29" s="313">
        <v>240</v>
      </c>
      <c r="S29" s="313">
        <v>380</v>
      </c>
      <c r="T29" s="313">
        <v>625</v>
      </c>
      <c r="U29" s="313">
        <v>0</v>
      </c>
      <c r="V29" s="313">
        <v>625</v>
      </c>
      <c r="W29" s="313">
        <v>0</v>
      </c>
      <c r="X29" s="313">
        <v>380</v>
      </c>
      <c r="Y29" s="313">
        <v>380</v>
      </c>
      <c r="Z29" s="313">
        <v>380</v>
      </c>
      <c r="AA29" s="313">
        <v>0</v>
      </c>
      <c r="AB29" s="313">
        <v>0</v>
      </c>
      <c r="AC29" s="313">
        <v>0</v>
      </c>
      <c r="AD29" s="313">
        <v>0</v>
      </c>
      <c r="AE29" s="313">
        <v>0</v>
      </c>
      <c r="AF29" s="313">
        <v>0</v>
      </c>
      <c r="AG29" s="313">
        <v>0</v>
      </c>
      <c r="AH29" s="313">
        <v>0</v>
      </c>
      <c r="AI29" s="313">
        <v>0</v>
      </c>
      <c r="AJ29" s="313">
        <v>380</v>
      </c>
      <c r="AK29" s="313">
        <v>0</v>
      </c>
      <c r="AL29" s="313">
        <v>0</v>
      </c>
      <c r="AM29" s="313">
        <v>0</v>
      </c>
      <c r="AN29" s="313">
        <v>0</v>
      </c>
      <c r="AO29" s="313">
        <v>0</v>
      </c>
      <c r="AP29" s="313">
        <v>0</v>
      </c>
      <c r="AQ29" s="313">
        <v>0</v>
      </c>
      <c r="AR29" s="313">
        <v>0</v>
      </c>
      <c r="AS29" s="313">
        <v>0</v>
      </c>
      <c r="AT29" s="313">
        <v>380</v>
      </c>
      <c r="AU29" s="313">
        <v>0</v>
      </c>
      <c r="AV29" s="313">
        <v>0</v>
      </c>
      <c r="AW29" s="313">
        <v>0</v>
      </c>
      <c r="AX29" s="313">
        <v>0</v>
      </c>
      <c r="AY29" s="313">
        <v>0</v>
      </c>
      <c r="AZ29" s="313">
        <v>0</v>
      </c>
      <c r="BA29" s="313">
        <v>0</v>
      </c>
      <c r="BB29" s="313">
        <v>2500</v>
      </c>
      <c r="BC29" s="314">
        <v>0</v>
      </c>
      <c r="BD29" s="313">
        <v>0</v>
      </c>
      <c r="BE29" s="313">
        <v>0</v>
      </c>
      <c r="BF29" s="313">
        <v>0</v>
      </c>
      <c r="BG29" s="313">
        <v>0</v>
      </c>
      <c r="BH29" s="313">
        <v>0</v>
      </c>
      <c r="BI29" s="313">
        <v>0</v>
      </c>
      <c r="BJ29" s="313">
        <v>0</v>
      </c>
      <c r="BK29" s="313">
        <v>0</v>
      </c>
      <c r="BL29" s="313">
        <v>0</v>
      </c>
      <c r="BM29" s="313">
        <v>0</v>
      </c>
      <c r="BN29" s="313">
        <v>0</v>
      </c>
      <c r="BO29" s="313">
        <v>0</v>
      </c>
      <c r="BP29" s="313">
        <v>0</v>
      </c>
      <c r="BQ29" s="313">
        <v>380</v>
      </c>
      <c r="BR29" s="313">
        <v>0</v>
      </c>
      <c r="BS29" s="313">
        <v>0</v>
      </c>
      <c r="BT29" s="313">
        <v>0</v>
      </c>
      <c r="BU29" s="313">
        <v>0</v>
      </c>
      <c r="BV29" s="313">
        <v>0</v>
      </c>
      <c r="BW29" s="313">
        <v>0</v>
      </c>
      <c r="BX29" s="313">
        <v>0</v>
      </c>
      <c r="BY29" s="313">
        <v>0</v>
      </c>
      <c r="BZ29" s="313">
        <v>0</v>
      </c>
      <c r="CA29" s="313">
        <v>0</v>
      </c>
      <c r="CB29" s="313">
        <v>0</v>
      </c>
    </row>
    <row r="30" spans="1:80" s="328" customFormat="1">
      <c r="A30" s="327" t="s">
        <v>539</v>
      </c>
      <c r="B30" s="311">
        <v>0</v>
      </c>
      <c r="C30" s="312">
        <v>0</v>
      </c>
      <c r="D30" s="312">
        <v>0</v>
      </c>
      <c r="E30" s="313">
        <v>0</v>
      </c>
      <c r="F30" s="313">
        <v>0</v>
      </c>
      <c r="G30" s="313">
        <v>0</v>
      </c>
      <c r="H30" s="313">
        <v>0</v>
      </c>
      <c r="I30" s="312">
        <v>0</v>
      </c>
      <c r="J30" s="313">
        <v>0</v>
      </c>
      <c r="K30" s="313">
        <v>0</v>
      </c>
      <c r="L30" s="313">
        <v>0</v>
      </c>
      <c r="M30" s="313">
        <v>0</v>
      </c>
      <c r="N30" s="313">
        <v>2000</v>
      </c>
      <c r="O30" s="313"/>
      <c r="P30" s="313">
        <v>0</v>
      </c>
      <c r="Q30" s="313">
        <v>0</v>
      </c>
      <c r="R30" s="313">
        <v>0</v>
      </c>
      <c r="S30" s="313">
        <v>0</v>
      </c>
      <c r="T30" s="313">
        <v>0</v>
      </c>
      <c r="U30" s="313">
        <v>0</v>
      </c>
      <c r="V30" s="313">
        <v>0</v>
      </c>
      <c r="W30" s="313">
        <v>0</v>
      </c>
      <c r="X30" s="313">
        <v>0</v>
      </c>
      <c r="Y30" s="313">
        <v>0</v>
      </c>
      <c r="Z30" s="313">
        <v>0</v>
      </c>
      <c r="AA30" s="313">
        <v>0</v>
      </c>
      <c r="AB30" s="313">
        <v>0</v>
      </c>
      <c r="AC30" s="313">
        <v>0</v>
      </c>
      <c r="AD30" s="313">
        <v>1500</v>
      </c>
      <c r="AE30" s="313">
        <v>0</v>
      </c>
      <c r="AF30" s="313">
        <v>0</v>
      </c>
      <c r="AG30" s="313">
        <v>0</v>
      </c>
      <c r="AH30" s="313">
        <v>0</v>
      </c>
      <c r="AI30" s="313">
        <v>0</v>
      </c>
      <c r="AJ30" s="313">
        <v>0</v>
      </c>
      <c r="AK30" s="313">
        <v>0</v>
      </c>
      <c r="AL30" s="313">
        <v>0</v>
      </c>
      <c r="AM30" s="313">
        <v>0</v>
      </c>
      <c r="AN30" s="313">
        <v>3000</v>
      </c>
      <c r="AO30" s="313">
        <v>3000</v>
      </c>
      <c r="AP30" s="313">
        <v>0</v>
      </c>
      <c r="AQ30" s="313">
        <v>0</v>
      </c>
      <c r="AR30" s="313">
        <v>0</v>
      </c>
      <c r="AS30" s="313">
        <v>0</v>
      </c>
      <c r="AT30" s="313">
        <v>0</v>
      </c>
      <c r="AU30" s="313">
        <v>0</v>
      </c>
      <c r="AV30" s="313">
        <v>2000</v>
      </c>
      <c r="AW30" s="313">
        <v>0</v>
      </c>
      <c r="AX30" s="313">
        <v>0</v>
      </c>
      <c r="AY30" s="313">
        <v>0</v>
      </c>
      <c r="AZ30" s="313">
        <v>0</v>
      </c>
      <c r="BA30" s="313">
        <v>0</v>
      </c>
      <c r="BB30" s="313">
        <v>0</v>
      </c>
      <c r="BC30" s="314">
        <v>0</v>
      </c>
      <c r="BD30" s="313">
        <v>0</v>
      </c>
      <c r="BE30" s="313">
        <v>0</v>
      </c>
      <c r="BF30" s="313">
        <v>0</v>
      </c>
      <c r="BG30" s="313">
        <v>0</v>
      </c>
      <c r="BH30" s="313">
        <v>0</v>
      </c>
      <c r="BI30" s="313">
        <v>0</v>
      </c>
      <c r="BJ30" s="313">
        <v>0</v>
      </c>
      <c r="BK30" s="313"/>
      <c r="BL30" s="313">
        <v>0</v>
      </c>
      <c r="BM30" s="313">
        <v>0</v>
      </c>
      <c r="BN30" s="313">
        <v>0</v>
      </c>
      <c r="BO30" s="313">
        <v>0</v>
      </c>
      <c r="BP30" s="313">
        <v>0</v>
      </c>
      <c r="BQ30" s="313">
        <v>0</v>
      </c>
      <c r="BR30" s="313">
        <v>7</v>
      </c>
      <c r="BS30" s="313">
        <v>0</v>
      </c>
      <c r="BT30" s="313">
        <v>0</v>
      </c>
      <c r="BU30" s="313">
        <v>0</v>
      </c>
      <c r="BV30" s="313">
        <v>0</v>
      </c>
      <c r="BW30" s="313">
        <v>0</v>
      </c>
      <c r="BX30" s="313">
        <v>0</v>
      </c>
      <c r="BY30" s="313">
        <v>0</v>
      </c>
      <c r="BZ30" s="313">
        <v>0</v>
      </c>
      <c r="CA30" s="313">
        <v>0</v>
      </c>
      <c r="CB30" s="313">
        <v>0</v>
      </c>
    </row>
    <row r="31" spans="1:80" ht="15.75" customHeight="1">
      <c r="A31" s="329"/>
      <c r="B31" s="330"/>
      <c r="C31" s="330"/>
      <c r="D31" s="330"/>
      <c r="E31" s="331"/>
      <c r="F31" s="331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1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</row>
    <row r="32" spans="1:80" ht="15">
      <c r="A32" s="332" t="s">
        <v>540</v>
      </c>
      <c r="B32" s="333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5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</row>
    <row r="33" spans="1:80">
      <c r="A33" s="336" t="s">
        <v>533</v>
      </c>
      <c r="B33" s="337">
        <f>B9*B24</f>
        <v>21856.192000000003</v>
      </c>
      <c r="C33" s="338">
        <f>C9*C24</f>
        <v>25435.002</v>
      </c>
      <c r="D33" s="338">
        <f>D9*D24</f>
        <v>18899.998000000003</v>
      </c>
      <c r="E33" s="316">
        <f t="shared" ref="E33:AM33" si="12">E9*E24</f>
        <v>130999.34847999999</v>
      </c>
      <c r="F33" s="338">
        <f t="shared" si="12"/>
        <v>96542.876429999989</v>
      </c>
      <c r="G33" s="338">
        <f t="shared" si="12"/>
        <v>133787.76983</v>
      </c>
      <c r="H33" s="338">
        <f t="shared" si="12"/>
        <v>66070.125549999997</v>
      </c>
      <c r="I33" s="338">
        <f t="shared" si="12"/>
        <v>4800</v>
      </c>
      <c r="J33" s="338">
        <f t="shared" si="12"/>
        <v>20613.454289999998</v>
      </c>
      <c r="K33" s="338">
        <f t="shared" si="12"/>
        <v>32420.819859999996</v>
      </c>
      <c r="L33" s="338">
        <f t="shared" si="12"/>
        <v>67188.555719999989</v>
      </c>
      <c r="M33" s="338">
        <f>M9*M24</f>
        <v>4460.0019999999995</v>
      </c>
      <c r="N33" s="338">
        <f t="shared" si="12"/>
        <v>181077.68535999997</v>
      </c>
      <c r="O33" s="338">
        <f>O9*O24</f>
        <v>29600.995709999999</v>
      </c>
      <c r="P33" s="338">
        <f t="shared" si="12"/>
        <v>275918.50143</v>
      </c>
      <c r="Q33" s="338">
        <f t="shared" si="12"/>
        <v>96319.434639999992</v>
      </c>
      <c r="R33" s="338">
        <f t="shared" si="12"/>
        <v>26499.518759999999</v>
      </c>
      <c r="S33" s="338">
        <f t="shared" si="12"/>
        <v>68586.190529999993</v>
      </c>
      <c r="T33" s="338">
        <f t="shared" si="12"/>
        <v>103251.36392999999</v>
      </c>
      <c r="U33" s="338">
        <f>U9*U24</f>
        <v>65387.164700000001</v>
      </c>
      <c r="V33" s="338">
        <f t="shared" si="12"/>
        <v>105248.00285999999</v>
      </c>
      <c r="W33" s="338">
        <f t="shared" ref="W33:AD33" si="13">W9*W24</f>
        <v>105104.99570999999</v>
      </c>
      <c r="X33" s="338">
        <f t="shared" si="13"/>
        <v>34233.718089999995</v>
      </c>
      <c r="Y33" s="338">
        <f t="shared" si="13"/>
        <v>21207.776589999998</v>
      </c>
      <c r="Z33" s="338">
        <f t="shared" si="13"/>
        <v>7644.63843</v>
      </c>
      <c r="AA33" s="338">
        <f t="shared" si="13"/>
        <v>500500.00142999995</v>
      </c>
      <c r="AB33" s="338">
        <f t="shared" si="13"/>
        <v>212169.66627999998</v>
      </c>
      <c r="AC33" s="338">
        <f t="shared" si="13"/>
        <v>25820.122899999995</v>
      </c>
      <c r="AD33" s="338">
        <f t="shared" si="13"/>
        <v>10870.279419999999</v>
      </c>
      <c r="AE33" s="338">
        <f t="shared" si="12"/>
        <v>8832.3277899999994</v>
      </c>
      <c r="AF33" s="338">
        <f t="shared" si="12"/>
        <v>12569.332489999999</v>
      </c>
      <c r="AG33" s="338">
        <f t="shared" si="12"/>
        <v>30923.745709999999</v>
      </c>
      <c r="AH33" s="338">
        <f t="shared" si="12"/>
        <v>6032.8167899999989</v>
      </c>
      <c r="AI33" s="338">
        <f t="shared" si="12"/>
        <v>8865.9971399999995</v>
      </c>
      <c r="AJ33" s="338">
        <f t="shared" si="12"/>
        <v>171599.99427999998</v>
      </c>
      <c r="AK33" s="338">
        <f t="shared" si="12"/>
        <v>45175.91936</v>
      </c>
      <c r="AL33" s="338">
        <f t="shared" si="12"/>
        <v>19796.066289999999</v>
      </c>
      <c r="AM33" s="338">
        <f t="shared" si="12"/>
        <v>10353.257199999998</v>
      </c>
      <c r="AN33" s="338">
        <f t="shared" ref="AN33:BH33" si="14">AN9*AN24</f>
        <v>27170.002859999997</v>
      </c>
      <c r="AO33" s="338">
        <f t="shared" si="14"/>
        <v>25453.997139999999</v>
      </c>
      <c r="AP33" s="338">
        <f t="shared" si="14"/>
        <v>10794.63242</v>
      </c>
      <c r="AQ33" s="338">
        <f t="shared" si="14"/>
        <v>24866.783369999997</v>
      </c>
      <c r="AR33" s="338">
        <f t="shared" si="14"/>
        <v>18122.866189999997</v>
      </c>
      <c r="AS33" s="338">
        <f>AS9*AS24</f>
        <v>500.49856999999992</v>
      </c>
      <c r="AT33" s="338">
        <f>AT9*AT24</f>
        <v>21207.776589999998</v>
      </c>
      <c r="AU33" s="338">
        <f t="shared" si="14"/>
        <v>5610.4019399999997</v>
      </c>
      <c r="AV33" s="338">
        <f>AV9*AV24</f>
        <v>47606.450319999996</v>
      </c>
      <c r="AW33" s="338">
        <f>AW9*AW24</f>
        <v>24595.994279999995</v>
      </c>
      <c r="AX33" s="338">
        <f>AX9*AX24</f>
        <v>36608.002859999993</v>
      </c>
      <c r="AY33" s="338">
        <f>AY9*AY24</f>
        <v>1275.008</v>
      </c>
      <c r="AZ33" s="338">
        <f>AZ9*AZ24</f>
        <v>1585.0040000000001</v>
      </c>
      <c r="BA33" s="338">
        <f t="shared" si="14"/>
        <v>4100.0019999999995</v>
      </c>
      <c r="BB33" s="338">
        <f>BB9*BB24</f>
        <v>15443.997139999998</v>
      </c>
      <c r="BC33" s="339">
        <f t="shared" si="14"/>
        <v>25739.998569999996</v>
      </c>
      <c r="BD33" s="338">
        <f>BD9*BD24</f>
        <v>11091.04711</v>
      </c>
      <c r="BE33" s="338">
        <f t="shared" si="14"/>
        <v>19062.925309999999</v>
      </c>
      <c r="BF33" s="338">
        <f t="shared" si="14"/>
        <v>41958.417929999996</v>
      </c>
      <c r="BG33" s="338">
        <f t="shared" si="14"/>
        <v>3124.5056699999996</v>
      </c>
      <c r="BH33" s="338">
        <f t="shared" si="14"/>
        <v>3465.3904999999995</v>
      </c>
      <c r="BI33" s="338">
        <f t="shared" ref="BI33:BQ33" si="15">BI9*BI24</f>
        <v>30000.001000000004</v>
      </c>
      <c r="BJ33" s="338">
        <f t="shared" si="15"/>
        <v>15000.000500000002</v>
      </c>
      <c r="BK33" s="338">
        <f t="shared" si="15"/>
        <v>28313.995709999999</v>
      </c>
      <c r="BL33" s="338">
        <f t="shared" si="15"/>
        <v>105534.00285999999</v>
      </c>
      <c r="BM33" s="338">
        <f t="shared" si="15"/>
        <v>19448</v>
      </c>
      <c r="BN33" s="338">
        <f t="shared" si="15"/>
        <v>31745.997139999999</v>
      </c>
      <c r="BO33" s="338">
        <f t="shared" si="15"/>
        <v>31745.997139999999</v>
      </c>
      <c r="BP33" s="338">
        <f t="shared" si="15"/>
        <v>41469.997139999992</v>
      </c>
      <c r="BQ33" s="338">
        <f t="shared" si="15"/>
        <v>32461.004289999997</v>
      </c>
      <c r="BR33" s="338">
        <f t="shared" ref="BR33:BX33" si="16">BR9*BR24</f>
        <v>7500.01</v>
      </c>
      <c r="BS33" s="338">
        <f t="shared" si="16"/>
        <v>71499.998569999996</v>
      </c>
      <c r="BT33" s="338">
        <f t="shared" si="16"/>
        <v>71499.998569999996</v>
      </c>
      <c r="BU33" s="338">
        <f t="shared" si="16"/>
        <v>40040.002860000001</v>
      </c>
      <c r="BV33" s="338">
        <f t="shared" si="16"/>
        <v>40040.002860000001</v>
      </c>
      <c r="BW33" s="338">
        <f t="shared" si="16"/>
        <v>114489.37929</v>
      </c>
      <c r="BX33" s="338">
        <f t="shared" si="16"/>
        <v>3000.0020000000004</v>
      </c>
      <c r="BY33" s="338">
        <f>BY9*BY24</f>
        <v>10010</v>
      </c>
      <c r="BZ33" s="338">
        <f>BZ9*BZ24</f>
        <v>6793.8298999999997</v>
      </c>
      <c r="CA33" s="338">
        <f>CA9*CA24</f>
        <v>8615.75</v>
      </c>
      <c r="CB33" s="338">
        <f>CB9*CB24</f>
        <v>4647.5</v>
      </c>
    </row>
    <row r="34" spans="1:80">
      <c r="A34" s="336" t="s">
        <v>534</v>
      </c>
      <c r="B34" s="337">
        <f t="shared" ref="B34:D35" si="17">B$9*B25</f>
        <v>8742.4768000000004</v>
      </c>
      <c r="C34" s="338">
        <f t="shared" si="17"/>
        <v>10174.0008</v>
      </c>
      <c r="D34" s="338">
        <f t="shared" si="17"/>
        <v>15119.9984</v>
      </c>
      <c r="E34" s="316">
        <f t="shared" ref="E34:AM34" si="18">E$9*E25</f>
        <v>73286.348800000007</v>
      </c>
      <c r="F34" s="338">
        <f t="shared" si="18"/>
        <v>54010.000800000002</v>
      </c>
      <c r="G34" s="338">
        <f t="shared" si="18"/>
        <v>74846.304800000013</v>
      </c>
      <c r="H34" s="338">
        <f t="shared" si="18"/>
        <v>36962.307999999997</v>
      </c>
      <c r="I34" s="338">
        <f t="shared" si="18"/>
        <v>3840</v>
      </c>
      <c r="J34" s="338">
        <f t="shared" si="18"/>
        <v>11532.002399999999</v>
      </c>
      <c r="K34" s="338">
        <f t="shared" si="18"/>
        <v>18137.5216</v>
      </c>
      <c r="L34" s="338">
        <f t="shared" si="18"/>
        <v>37588.003199999999</v>
      </c>
      <c r="M34" s="338">
        <f>M$9*M25</f>
        <v>1784.0007999999998</v>
      </c>
      <c r="N34" s="338">
        <f t="shared" si="18"/>
        <v>101302.2016</v>
      </c>
      <c r="O34" s="338">
        <f>O$9*O25</f>
        <v>16559.997599999999</v>
      </c>
      <c r="P34" s="338">
        <f t="shared" si="18"/>
        <v>154360.00080000001</v>
      </c>
      <c r="Q34" s="338">
        <f t="shared" si="18"/>
        <v>53884.998399999997</v>
      </c>
      <c r="R34" s="338">
        <f t="shared" si="18"/>
        <v>14824.9056</v>
      </c>
      <c r="S34" s="338">
        <f t="shared" si="18"/>
        <v>38369.896800000002</v>
      </c>
      <c r="T34" s="338">
        <f t="shared" si="18"/>
        <v>57763.000800000002</v>
      </c>
      <c r="U34" s="338">
        <f>U$9*U25</f>
        <v>36580.232000000004</v>
      </c>
      <c r="V34" s="338">
        <f t="shared" si="18"/>
        <v>58880.001600000003</v>
      </c>
      <c r="W34" s="338">
        <f t="shared" ref="W34:AD35" si="19">W$9*W25</f>
        <v>58799.997600000002</v>
      </c>
      <c r="X34" s="338">
        <f t="shared" si="19"/>
        <v>19151.7304</v>
      </c>
      <c r="Y34" s="338">
        <f t="shared" si="19"/>
        <v>11864.490400000001</v>
      </c>
      <c r="Z34" s="338">
        <f t="shared" si="19"/>
        <v>4276.7208000000001</v>
      </c>
      <c r="AA34" s="338">
        <f t="shared" si="19"/>
        <v>280000.00079999998</v>
      </c>
      <c r="AB34" s="338">
        <f t="shared" si="19"/>
        <v>118696.3168</v>
      </c>
      <c r="AC34" s="338">
        <f t="shared" si="19"/>
        <v>14444.823999999999</v>
      </c>
      <c r="AD34" s="338">
        <f t="shared" si="19"/>
        <v>6081.2752</v>
      </c>
      <c r="AE34" s="338">
        <f t="shared" si="18"/>
        <v>4941.1624000000002</v>
      </c>
      <c r="AF34" s="338">
        <f t="shared" si="18"/>
        <v>7031.7943999999998</v>
      </c>
      <c r="AG34" s="338">
        <f t="shared" si="18"/>
        <v>17299.997599999999</v>
      </c>
      <c r="AH34" s="338">
        <f t="shared" si="18"/>
        <v>3375.0023999999999</v>
      </c>
      <c r="AI34" s="338">
        <f t="shared" si="18"/>
        <v>4959.9984000000004</v>
      </c>
      <c r="AJ34" s="338">
        <f t="shared" si="18"/>
        <v>95999.996799999994</v>
      </c>
      <c r="AK34" s="338">
        <f t="shared" si="18"/>
        <v>25273.241600000001</v>
      </c>
      <c r="AL34" s="338">
        <f t="shared" si="18"/>
        <v>11074.722400000001</v>
      </c>
      <c r="AM34" s="338">
        <f t="shared" si="18"/>
        <v>5792.0319999999992</v>
      </c>
      <c r="AN34" s="338">
        <f t="shared" ref="AN34:BH34" si="20">AN$9*AN25</f>
        <v>15200.0016</v>
      </c>
      <c r="AO34" s="338">
        <f t="shared" si="20"/>
        <v>14239.9984</v>
      </c>
      <c r="AP34" s="338">
        <f t="shared" si="20"/>
        <v>6038.9552000000003</v>
      </c>
      <c r="AQ34" s="338">
        <f t="shared" si="20"/>
        <v>13911.4872</v>
      </c>
      <c r="AR34" s="338">
        <f t="shared" si="20"/>
        <v>10138.6664</v>
      </c>
      <c r="AS34" s="338">
        <f>AS$9*AS25</f>
        <v>279.99919999999997</v>
      </c>
      <c r="AT34" s="338">
        <f>AT$9*AT25</f>
        <v>11864.490400000001</v>
      </c>
      <c r="AU34" s="338">
        <f t="shared" si="20"/>
        <v>3138.6864</v>
      </c>
      <c r="AV34" s="338">
        <f t="shared" ref="AV34:AZ35" si="21">AV$9*AV25</f>
        <v>13316.489600000001</v>
      </c>
      <c r="AW34" s="338">
        <f t="shared" si="21"/>
        <v>13759.996799999999</v>
      </c>
      <c r="AX34" s="338">
        <f t="shared" si="21"/>
        <v>20480.0016</v>
      </c>
      <c r="AY34" s="338">
        <f t="shared" si="21"/>
        <v>510.00319999999999</v>
      </c>
      <c r="AZ34" s="338">
        <f t="shared" si="21"/>
        <v>634.00160000000005</v>
      </c>
      <c r="BA34" s="338">
        <f t="shared" si="20"/>
        <v>1640.0007999999998</v>
      </c>
      <c r="BB34" s="338">
        <f>BB$9*BB25</f>
        <v>8639.9984000000004</v>
      </c>
      <c r="BC34" s="339">
        <f t="shared" si="20"/>
        <v>14399.9992</v>
      </c>
      <c r="BD34" s="338">
        <f>BD9*BD25</f>
        <v>6204.7816000000003</v>
      </c>
      <c r="BE34" s="338">
        <f t="shared" si="20"/>
        <v>10664.573600000002</v>
      </c>
      <c r="BF34" s="338">
        <f t="shared" si="20"/>
        <v>23473.2408</v>
      </c>
      <c r="BG34" s="338">
        <f t="shared" si="20"/>
        <v>1747.9751999999999</v>
      </c>
      <c r="BH34" s="338">
        <f t="shared" si="20"/>
        <v>969.34</v>
      </c>
      <c r="BI34" s="338">
        <f t="shared" ref="BI34:BQ34" si="22">BI$9*BI25</f>
        <v>6000.0002000000004</v>
      </c>
      <c r="BJ34" s="338">
        <f t="shared" si="22"/>
        <v>1500.0000500000001</v>
      </c>
      <c r="BK34" s="338">
        <f t="shared" si="22"/>
        <v>15839.997600000001</v>
      </c>
      <c r="BL34" s="338">
        <f t="shared" si="22"/>
        <v>59040.001600000003</v>
      </c>
      <c r="BM34" s="338">
        <f t="shared" si="22"/>
        <v>10880</v>
      </c>
      <c r="BN34" s="338">
        <f t="shared" si="22"/>
        <v>17759.9984</v>
      </c>
      <c r="BO34" s="338">
        <f t="shared" si="22"/>
        <v>17759.9984</v>
      </c>
      <c r="BP34" s="338">
        <f t="shared" si="22"/>
        <v>23199.9984</v>
      </c>
      <c r="BQ34" s="338">
        <f t="shared" si="22"/>
        <v>18160.002400000001</v>
      </c>
      <c r="BR34" s="338">
        <f t="shared" ref="BR34:BX35" si="23">BR$9*BR25</f>
        <v>600.00080000000003</v>
      </c>
      <c r="BS34" s="338">
        <f t="shared" si="23"/>
        <v>39999.999199999998</v>
      </c>
      <c r="BT34" s="338">
        <f t="shared" si="23"/>
        <v>39999.999199999998</v>
      </c>
      <c r="BU34" s="338">
        <f>BU$9*BU25</f>
        <v>22400.001600000003</v>
      </c>
      <c r="BV34" s="338">
        <f>BV$9*BV25</f>
        <v>22400.001600000003</v>
      </c>
      <c r="BW34" s="338">
        <f t="shared" si="23"/>
        <v>64050.002400000005</v>
      </c>
      <c r="BX34" s="338">
        <f t="shared" si="23"/>
        <v>1200.0008</v>
      </c>
      <c r="BY34" s="338">
        <f t="shared" ref="BY34:CB35" si="24">BY$9*BY25</f>
        <v>5600</v>
      </c>
      <c r="BZ34" s="338">
        <f t="shared" si="24"/>
        <v>3800.7440000000001</v>
      </c>
      <c r="CA34" s="338">
        <f t="shared" si="24"/>
        <v>4820</v>
      </c>
      <c r="CB34" s="338">
        <f t="shared" si="24"/>
        <v>2600</v>
      </c>
    </row>
    <row r="35" spans="1:80">
      <c r="A35" s="336" t="s">
        <v>535</v>
      </c>
      <c r="B35" s="337">
        <f t="shared" si="17"/>
        <v>4371.2384000000002</v>
      </c>
      <c r="C35" s="338">
        <f t="shared" si="17"/>
        <v>5087.0003999999999</v>
      </c>
      <c r="D35" s="338">
        <f t="shared" si="17"/>
        <v>7559.9992000000002</v>
      </c>
      <c r="E35" s="316">
        <f t="shared" ref="E35:AM35" si="25">E$9*E26</f>
        <v>36643.174400000004</v>
      </c>
      <c r="F35" s="338">
        <f t="shared" si="25"/>
        <v>27005.000400000001</v>
      </c>
      <c r="G35" s="338">
        <f t="shared" si="25"/>
        <v>37423.152400000006</v>
      </c>
      <c r="H35" s="338">
        <f t="shared" si="25"/>
        <v>18481.153999999999</v>
      </c>
      <c r="I35" s="338">
        <f t="shared" si="25"/>
        <v>1920</v>
      </c>
      <c r="J35" s="338">
        <f t="shared" si="25"/>
        <v>5766.0011999999997</v>
      </c>
      <c r="K35" s="338">
        <f t="shared" si="25"/>
        <v>9068.7608</v>
      </c>
      <c r="L35" s="338">
        <f t="shared" si="25"/>
        <v>18794.0016</v>
      </c>
      <c r="M35" s="338">
        <f>M$9*M26</f>
        <v>892.0003999999999</v>
      </c>
      <c r="N35" s="338">
        <f t="shared" si="25"/>
        <v>50651.1008</v>
      </c>
      <c r="O35" s="338">
        <f>O$9*O26</f>
        <v>8279.9987999999994</v>
      </c>
      <c r="P35" s="338">
        <f t="shared" si="25"/>
        <v>77180.000400000004</v>
      </c>
      <c r="Q35" s="338">
        <f t="shared" si="25"/>
        <v>26942.499199999998</v>
      </c>
      <c r="R35" s="338">
        <f t="shared" si="25"/>
        <v>7412.4528</v>
      </c>
      <c r="S35" s="338">
        <f t="shared" si="25"/>
        <v>19184.948400000001</v>
      </c>
      <c r="T35" s="338">
        <f t="shared" si="25"/>
        <v>28881.500400000001</v>
      </c>
      <c r="U35" s="338">
        <f>U$9*U26</f>
        <v>18290.116000000002</v>
      </c>
      <c r="V35" s="338">
        <f t="shared" si="25"/>
        <v>29440.000800000002</v>
      </c>
      <c r="W35" s="338">
        <f t="shared" si="19"/>
        <v>29399.998800000001</v>
      </c>
      <c r="X35" s="338">
        <f t="shared" si="19"/>
        <v>9575.8652000000002</v>
      </c>
      <c r="Y35" s="338">
        <f t="shared" si="19"/>
        <v>5932.2452000000003</v>
      </c>
      <c r="Z35" s="338">
        <f t="shared" si="19"/>
        <v>2138.3604</v>
      </c>
      <c r="AA35" s="338">
        <f t="shared" si="19"/>
        <v>140000.00039999999</v>
      </c>
      <c r="AB35" s="338">
        <f t="shared" si="19"/>
        <v>59348.1584</v>
      </c>
      <c r="AC35" s="338">
        <f t="shared" si="19"/>
        <v>7222.4119999999994</v>
      </c>
      <c r="AD35" s="338">
        <f t="shared" si="19"/>
        <v>3040.6376</v>
      </c>
      <c r="AE35" s="338">
        <f t="shared" si="25"/>
        <v>2470.5812000000001</v>
      </c>
      <c r="AF35" s="338">
        <f t="shared" si="25"/>
        <v>3515.8971999999999</v>
      </c>
      <c r="AG35" s="338">
        <f t="shared" si="25"/>
        <v>8649.9987999999994</v>
      </c>
      <c r="AH35" s="338">
        <f t="shared" si="25"/>
        <v>1687.5011999999999</v>
      </c>
      <c r="AI35" s="338">
        <f t="shared" si="25"/>
        <v>2479.9992000000002</v>
      </c>
      <c r="AJ35" s="338">
        <f t="shared" si="25"/>
        <v>47999.998399999997</v>
      </c>
      <c r="AK35" s="338">
        <f t="shared" si="25"/>
        <v>12636.620800000001</v>
      </c>
      <c r="AL35" s="338">
        <f t="shared" si="25"/>
        <v>5537.3612000000003</v>
      </c>
      <c r="AM35" s="338">
        <f t="shared" si="25"/>
        <v>2896.0159999999996</v>
      </c>
      <c r="AN35" s="338">
        <f t="shared" ref="AN35:BH35" si="26">AN$9*AN26</f>
        <v>7600.0007999999998</v>
      </c>
      <c r="AO35" s="338">
        <f t="shared" si="26"/>
        <v>7119.9992000000002</v>
      </c>
      <c r="AP35" s="338">
        <f t="shared" si="26"/>
        <v>3019.4776000000002</v>
      </c>
      <c r="AQ35" s="338">
        <f t="shared" si="26"/>
        <v>6955.7435999999998</v>
      </c>
      <c r="AR35" s="338">
        <f t="shared" si="26"/>
        <v>5069.3332</v>
      </c>
      <c r="AS35" s="338">
        <f>AS$9*AS26</f>
        <v>139.99959999999999</v>
      </c>
      <c r="AT35" s="338">
        <f>AT$9*AT26</f>
        <v>5932.2452000000003</v>
      </c>
      <c r="AU35" s="338">
        <f t="shared" si="26"/>
        <v>1569.3432</v>
      </c>
      <c r="AV35" s="338">
        <f t="shared" si="21"/>
        <v>6658.2448000000004</v>
      </c>
      <c r="AW35" s="338">
        <f t="shared" si="21"/>
        <v>6879.9983999999995</v>
      </c>
      <c r="AX35" s="338">
        <f t="shared" si="21"/>
        <v>10240.0008</v>
      </c>
      <c r="AY35" s="338">
        <f t="shared" si="21"/>
        <v>255.0016</v>
      </c>
      <c r="AZ35" s="338">
        <f t="shared" si="21"/>
        <v>317.00080000000003</v>
      </c>
      <c r="BA35" s="338">
        <f t="shared" si="26"/>
        <v>820.0003999999999</v>
      </c>
      <c r="BB35" s="338">
        <f>BB$9*BB26</f>
        <v>4319.9992000000002</v>
      </c>
      <c r="BC35" s="339">
        <f t="shared" si="26"/>
        <v>7199.9996000000001</v>
      </c>
      <c r="BD35" s="338">
        <f>BD9*BD26</f>
        <v>3102.3908000000001</v>
      </c>
      <c r="BE35" s="338">
        <f t="shared" si="26"/>
        <v>5332.2868000000008</v>
      </c>
      <c r="BF35" s="338">
        <f t="shared" si="26"/>
        <v>11736.6204</v>
      </c>
      <c r="BG35" s="338">
        <f t="shared" si="26"/>
        <v>873.98759999999993</v>
      </c>
      <c r="BH35" s="338">
        <f t="shared" si="26"/>
        <v>484.67</v>
      </c>
      <c r="BI35" s="338">
        <f t="shared" ref="BI35:BQ35" si="27">BI$9*BI26</f>
        <v>6000.0002000000004</v>
      </c>
      <c r="BJ35" s="338">
        <f t="shared" si="27"/>
        <v>1500.0000500000001</v>
      </c>
      <c r="BK35" s="338">
        <f t="shared" si="27"/>
        <v>7919.9988000000003</v>
      </c>
      <c r="BL35" s="338">
        <f t="shared" si="27"/>
        <v>29520.000800000002</v>
      </c>
      <c r="BM35" s="338">
        <f t="shared" si="27"/>
        <v>5440</v>
      </c>
      <c r="BN35" s="338">
        <f t="shared" si="27"/>
        <v>8879.9992000000002</v>
      </c>
      <c r="BO35" s="338">
        <f t="shared" si="27"/>
        <v>8879.9992000000002</v>
      </c>
      <c r="BP35" s="338">
        <f t="shared" si="27"/>
        <v>11599.9992</v>
      </c>
      <c r="BQ35" s="338">
        <f t="shared" si="27"/>
        <v>9080.0012000000006</v>
      </c>
      <c r="BR35" s="338">
        <f t="shared" si="23"/>
        <v>300.00040000000001</v>
      </c>
      <c r="BS35" s="338">
        <f t="shared" si="23"/>
        <v>19999.999599999999</v>
      </c>
      <c r="BT35" s="338">
        <f t="shared" si="23"/>
        <v>19999.999599999999</v>
      </c>
      <c r="BU35" s="338">
        <f>BU$9*BU26</f>
        <v>11200.000800000002</v>
      </c>
      <c r="BV35" s="338">
        <f>BV$9*BV26</f>
        <v>11200.000800000002</v>
      </c>
      <c r="BW35" s="338">
        <f t="shared" si="23"/>
        <v>32025.001200000002</v>
      </c>
      <c r="BX35" s="338">
        <f t="shared" si="23"/>
        <v>600.00040000000001</v>
      </c>
      <c r="BY35" s="338">
        <f t="shared" si="24"/>
        <v>2800</v>
      </c>
      <c r="BZ35" s="338">
        <f t="shared" si="24"/>
        <v>1900.3720000000001</v>
      </c>
      <c r="CA35" s="338">
        <f t="shared" si="24"/>
        <v>2410</v>
      </c>
      <c r="CB35" s="338">
        <f t="shared" si="24"/>
        <v>1300</v>
      </c>
    </row>
    <row r="36" spans="1:80">
      <c r="A36" s="336" t="s">
        <v>522</v>
      </c>
      <c r="B36" s="337">
        <f t="shared" ref="B36:D37" si="28">B13</f>
        <v>1850</v>
      </c>
      <c r="C36" s="338">
        <f t="shared" si="28"/>
        <v>1850</v>
      </c>
      <c r="D36" s="338">
        <f t="shared" si="28"/>
        <v>0</v>
      </c>
      <c r="E36" s="316">
        <f t="shared" ref="E36:AM36" si="29">E13</f>
        <v>450</v>
      </c>
      <c r="F36" s="338">
        <f t="shared" si="29"/>
        <v>1100</v>
      </c>
      <c r="G36" s="338">
        <f t="shared" si="29"/>
        <v>1100</v>
      </c>
      <c r="H36" s="338">
        <f t="shared" si="29"/>
        <v>1100</v>
      </c>
      <c r="I36" s="338">
        <f t="shared" si="29"/>
        <v>0</v>
      </c>
      <c r="J36" s="338">
        <f t="shared" si="29"/>
        <v>0</v>
      </c>
      <c r="K36" s="338">
        <f t="shared" si="29"/>
        <v>0</v>
      </c>
      <c r="L36" s="338">
        <f t="shared" si="29"/>
        <v>0</v>
      </c>
      <c r="M36" s="338">
        <f>M13</f>
        <v>0</v>
      </c>
      <c r="N36" s="338">
        <f t="shared" si="29"/>
        <v>0</v>
      </c>
      <c r="O36" s="338">
        <f>O13</f>
        <v>0</v>
      </c>
      <c r="P36" s="338">
        <f t="shared" si="29"/>
        <v>0</v>
      </c>
      <c r="Q36" s="338">
        <f t="shared" si="29"/>
        <v>0</v>
      </c>
      <c r="R36" s="338">
        <f t="shared" si="29"/>
        <v>1800</v>
      </c>
      <c r="S36" s="338">
        <f t="shared" si="29"/>
        <v>9800</v>
      </c>
      <c r="T36" s="338">
        <f t="shared" si="29"/>
        <v>10800</v>
      </c>
      <c r="U36" s="338">
        <f>U13</f>
        <v>9800</v>
      </c>
      <c r="V36" s="338">
        <f t="shared" si="29"/>
        <v>10800</v>
      </c>
      <c r="W36" s="338">
        <f t="shared" ref="W36:AD37" si="30">W13</f>
        <v>9800</v>
      </c>
      <c r="X36" s="338">
        <f t="shared" si="30"/>
        <v>1590</v>
      </c>
      <c r="Y36" s="338">
        <f t="shared" si="30"/>
        <v>1590</v>
      </c>
      <c r="Z36" s="338">
        <f t="shared" si="30"/>
        <v>1590</v>
      </c>
      <c r="AA36" s="338">
        <f t="shared" si="30"/>
        <v>1100</v>
      </c>
      <c r="AB36" s="338">
        <f t="shared" si="30"/>
        <v>850</v>
      </c>
      <c r="AC36" s="338">
        <f t="shared" si="30"/>
        <v>0</v>
      </c>
      <c r="AD36" s="338">
        <f t="shared" si="30"/>
        <v>0</v>
      </c>
      <c r="AE36" s="338">
        <f t="shared" si="29"/>
        <v>0</v>
      </c>
      <c r="AF36" s="338">
        <f t="shared" si="29"/>
        <v>0</v>
      </c>
      <c r="AG36" s="338">
        <f t="shared" si="29"/>
        <v>0</v>
      </c>
      <c r="AH36" s="338">
        <f t="shared" si="29"/>
        <v>0</v>
      </c>
      <c r="AI36" s="338">
        <f t="shared" si="29"/>
        <v>0</v>
      </c>
      <c r="AJ36" s="338">
        <f t="shared" si="29"/>
        <v>1100</v>
      </c>
      <c r="AK36" s="338">
        <f t="shared" si="29"/>
        <v>1100</v>
      </c>
      <c r="AL36" s="338">
        <f t="shared" si="29"/>
        <v>0</v>
      </c>
      <c r="AM36" s="338">
        <f t="shared" si="29"/>
        <v>0</v>
      </c>
      <c r="AN36" s="338">
        <f t="shared" ref="AN36:BH36" si="31">AN13</f>
        <v>0</v>
      </c>
      <c r="AO36" s="338">
        <f t="shared" si="31"/>
        <v>0</v>
      </c>
      <c r="AP36" s="338">
        <f t="shared" si="31"/>
        <v>0</v>
      </c>
      <c r="AQ36" s="338">
        <f t="shared" si="31"/>
        <v>0</v>
      </c>
      <c r="AR36" s="338">
        <f t="shared" si="31"/>
        <v>0</v>
      </c>
      <c r="AS36" s="338">
        <f>AS13</f>
        <v>0</v>
      </c>
      <c r="AT36" s="338">
        <f>AT13</f>
        <v>1590</v>
      </c>
      <c r="AU36" s="338">
        <f t="shared" si="31"/>
        <v>0</v>
      </c>
      <c r="AV36" s="338">
        <f t="shared" ref="AV36:AZ37" si="32">AV13</f>
        <v>0</v>
      </c>
      <c r="AW36" s="338">
        <f t="shared" si="32"/>
        <v>0</v>
      </c>
      <c r="AX36" s="338">
        <f t="shared" si="32"/>
        <v>1100</v>
      </c>
      <c r="AY36" s="338">
        <f t="shared" si="32"/>
        <v>0</v>
      </c>
      <c r="AZ36" s="338">
        <f t="shared" si="32"/>
        <v>0</v>
      </c>
      <c r="BA36" s="338">
        <f t="shared" si="31"/>
        <v>0</v>
      </c>
      <c r="BB36" s="338">
        <f>BB13</f>
        <v>0</v>
      </c>
      <c r="BC36" s="339">
        <f t="shared" si="31"/>
        <v>0</v>
      </c>
      <c r="BD36" s="338">
        <f t="shared" si="31"/>
        <v>0</v>
      </c>
      <c r="BE36" s="338">
        <f t="shared" si="31"/>
        <v>0</v>
      </c>
      <c r="BF36" s="338">
        <f t="shared" si="31"/>
        <v>0</v>
      </c>
      <c r="BG36" s="338">
        <f t="shared" si="31"/>
        <v>0</v>
      </c>
      <c r="BH36" s="338">
        <f t="shared" si="31"/>
        <v>0</v>
      </c>
      <c r="BI36" s="338">
        <f t="shared" ref="BI36:BQ36" si="33">BI13</f>
        <v>2000</v>
      </c>
      <c r="BJ36" s="338">
        <f t="shared" si="33"/>
        <v>1000</v>
      </c>
      <c r="BK36" s="338">
        <f t="shared" si="33"/>
        <v>0</v>
      </c>
      <c r="BL36" s="338">
        <f t="shared" si="33"/>
        <v>0</v>
      </c>
      <c r="BM36" s="338">
        <f t="shared" si="33"/>
        <v>0</v>
      </c>
      <c r="BN36" s="338">
        <f t="shared" si="33"/>
        <v>1000</v>
      </c>
      <c r="BO36" s="338">
        <f t="shared" si="33"/>
        <v>1000</v>
      </c>
      <c r="BP36" s="338">
        <f t="shared" si="33"/>
        <v>0</v>
      </c>
      <c r="BQ36" s="338">
        <f t="shared" si="33"/>
        <v>9800</v>
      </c>
      <c r="BR36" s="338">
        <f t="shared" ref="BR36:BX37" si="34">BR13</f>
        <v>0</v>
      </c>
      <c r="BS36" s="338">
        <f t="shared" si="34"/>
        <v>0</v>
      </c>
      <c r="BT36" s="338">
        <f t="shared" si="34"/>
        <v>0</v>
      </c>
      <c r="BU36" s="338">
        <f>BU13</f>
        <v>0</v>
      </c>
      <c r="BV36" s="338">
        <f>BV13</f>
        <v>0</v>
      </c>
      <c r="BW36" s="338">
        <f t="shared" si="34"/>
        <v>0</v>
      </c>
      <c r="BX36" s="338">
        <f t="shared" si="34"/>
        <v>0</v>
      </c>
      <c r="BY36" s="338">
        <f t="shared" ref="BY36:CB37" si="35">BY13</f>
        <v>0</v>
      </c>
      <c r="BZ36" s="338">
        <f t="shared" si="35"/>
        <v>0</v>
      </c>
      <c r="CA36" s="338">
        <f t="shared" si="35"/>
        <v>1000</v>
      </c>
      <c r="CB36" s="338">
        <f t="shared" si="35"/>
        <v>850</v>
      </c>
    </row>
    <row r="37" spans="1:80">
      <c r="A37" s="336" t="s">
        <v>523</v>
      </c>
      <c r="B37" s="337">
        <f t="shared" si="28"/>
        <v>260</v>
      </c>
      <c r="C37" s="338">
        <f t="shared" si="28"/>
        <v>260</v>
      </c>
      <c r="D37" s="338">
        <f t="shared" si="28"/>
        <v>0</v>
      </c>
      <c r="E37" s="316">
        <f t="shared" ref="E37:AM37" si="36">E14</f>
        <v>390</v>
      </c>
      <c r="F37" s="338">
        <f t="shared" si="36"/>
        <v>0</v>
      </c>
      <c r="G37" s="338">
        <f t="shared" si="36"/>
        <v>0</v>
      </c>
      <c r="H37" s="338">
        <f t="shared" si="36"/>
        <v>650</v>
      </c>
      <c r="I37" s="338">
        <f t="shared" si="36"/>
        <v>0</v>
      </c>
      <c r="J37" s="338">
        <f t="shared" si="36"/>
        <v>0</v>
      </c>
      <c r="K37" s="338">
        <f t="shared" si="36"/>
        <v>0</v>
      </c>
      <c r="L37" s="338">
        <f t="shared" si="36"/>
        <v>0</v>
      </c>
      <c r="M37" s="338">
        <f>M14</f>
        <v>0</v>
      </c>
      <c r="N37" s="338">
        <f t="shared" si="36"/>
        <v>0</v>
      </c>
      <c r="O37" s="338">
        <f>O14</f>
        <v>0</v>
      </c>
      <c r="P37" s="338">
        <f t="shared" si="36"/>
        <v>0</v>
      </c>
      <c r="Q37" s="338">
        <f t="shared" si="36"/>
        <v>0</v>
      </c>
      <c r="R37" s="338">
        <f t="shared" si="36"/>
        <v>1700</v>
      </c>
      <c r="S37" s="338">
        <f t="shared" si="36"/>
        <v>6500</v>
      </c>
      <c r="T37" s="338">
        <f t="shared" si="36"/>
        <v>8000</v>
      </c>
      <c r="U37" s="338">
        <f>U14</f>
        <v>6500</v>
      </c>
      <c r="V37" s="338">
        <f t="shared" si="36"/>
        <v>8000</v>
      </c>
      <c r="W37" s="338">
        <f t="shared" si="30"/>
        <v>6500</v>
      </c>
      <c r="X37" s="338">
        <f t="shared" si="30"/>
        <v>260</v>
      </c>
      <c r="Y37" s="338">
        <f t="shared" si="30"/>
        <v>260</v>
      </c>
      <c r="Z37" s="338">
        <f t="shared" si="30"/>
        <v>260</v>
      </c>
      <c r="AA37" s="338">
        <f t="shared" si="30"/>
        <v>1100</v>
      </c>
      <c r="AB37" s="338">
        <f t="shared" si="30"/>
        <v>380</v>
      </c>
      <c r="AC37" s="338">
        <f t="shared" si="30"/>
        <v>0</v>
      </c>
      <c r="AD37" s="338">
        <f t="shared" si="30"/>
        <v>0</v>
      </c>
      <c r="AE37" s="338">
        <f t="shared" si="36"/>
        <v>0</v>
      </c>
      <c r="AF37" s="338">
        <f t="shared" si="36"/>
        <v>0</v>
      </c>
      <c r="AG37" s="338">
        <f t="shared" si="36"/>
        <v>0</v>
      </c>
      <c r="AH37" s="338">
        <f t="shared" si="36"/>
        <v>0</v>
      </c>
      <c r="AI37" s="338">
        <f t="shared" si="36"/>
        <v>0</v>
      </c>
      <c r="AJ37" s="338">
        <f t="shared" si="36"/>
        <v>650</v>
      </c>
      <c r="AK37" s="338">
        <f t="shared" si="36"/>
        <v>650</v>
      </c>
      <c r="AL37" s="338">
        <f t="shared" si="36"/>
        <v>0</v>
      </c>
      <c r="AM37" s="338">
        <f t="shared" si="36"/>
        <v>0</v>
      </c>
      <c r="AN37" s="338">
        <f t="shared" ref="AN37:BH37" si="37">AN14</f>
        <v>0</v>
      </c>
      <c r="AO37" s="338">
        <f t="shared" si="37"/>
        <v>0</v>
      </c>
      <c r="AP37" s="338">
        <f t="shared" si="37"/>
        <v>0</v>
      </c>
      <c r="AQ37" s="338">
        <f t="shared" si="37"/>
        <v>0</v>
      </c>
      <c r="AR37" s="338">
        <f t="shared" si="37"/>
        <v>0</v>
      </c>
      <c r="AS37" s="338">
        <f>AS14</f>
        <v>0</v>
      </c>
      <c r="AT37" s="338">
        <f>AT14</f>
        <v>260</v>
      </c>
      <c r="AU37" s="338">
        <f t="shared" si="37"/>
        <v>0</v>
      </c>
      <c r="AV37" s="338">
        <f t="shared" si="32"/>
        <v>0</v>
      </c>
      <c r="AW37" s="338">
        <f t="shared" si="32"/>
        <v>0</v>
      </c>
      <c r="AX37" s="338">
        <f t="shared" si="32"/>
        <v>1100</v>
      </c>
      <c r="AY37" s="338">
        <f t="shared" si="32"/>
        <v>0</v>
      </c>
      <c r="AZ37" s="338">
        <f t="shared" si="32"/>
        <v>0</v>
      </c>
      <c r="BA37" s="338">
        <f t="shared" si="37"/>
        <v>0</v>
      </c>
      <c r="BB37" s="338">
        <f>BB14</f>
        <v>0</v>
      </c>
      <c r="BC37" s="339">
        <f t="shared" si="37"/>
        <v>0</v>
      </c>
      <c r="BD37" s="338">
        <f t="shared" si="37"/>
        <v>0</v>
      </c>
      <c r="BE37" s="338">
        <f t="shared" si="37"/>
        <v>0</v>
      </c>
      <c r="BF37" s="338">
        <f t="shared" si="37"/>
        <v>0</v>
      </c>
      <c r="BG37" s="338">
        <f t="shared" si="37"/>
        <v>0</v>
      </c>
      <c r="BH37" s="338">
        <f t="shared" si="37"/>
        <v>0</v>
      </c>
      <c r="BI37" s="338">
        <f t="shared" ref="BI37:BQ37" si="38">BI14</f>
        <v>0</v>
      </c>
      <c r="BJ37" s="338">
        <f t="shared" si="38"/>
        <v>0</v>
      </c>
      <c r="BK37" s="338">
        <f t="shared" si="38"/>
        <v>0</v>
      </c>
      <c r="BL37" s="338">
        <f t="shared" si="38"/>
        <v>0</v>
      </c>
      <c r="BM37" s="338">
        <f t="shared" si="38"/>
        <v>0</v>
      </c>
      <c r="BN37" s="338">
        <f t="shared" si="38"/>
        <v>650</v>
      </c>
      <c r="BO37" s="338">
        <f t="shared" si="38"/>
        <v>650</v>
      </c>
      <c r="BP37" s="338">
        <f t="shared" si="38"/>
        <v>0</v>
      </c>
      <c r="BQ37" s="338">
        <f t="shared" si="38"/>
        <v>6500</v>
      </c>
      <c r="BR37" s="338">
        <f t="shared" si="34"/>
        <v>0</v>
      </c>
      <c r="BS37" s="338">
        <f t="shared" si="34"/>
        <v>0</v>
      </c>
      <c r="BT37" s="338">
        <f t="shared" si="34"/>
        <v>0</v>
      </c>
      <c r="BU37" s="338">
        <f>BU14</f>
        <v>0</v>
      </c>
      <c r="BV37" s="338">
        <f>BV14</f>
        <v>0</v>
      </c>
      <c r="BW37" s="338">
        <f t="shared" si="34"/>
        <v>0</v>
      </c>
      <c r="BX37" s="338">
        <f t="shared" si="34"/>
        <v>0</v>
      </c>
      <c r="BY37" s="338">
        <f t="shared" si="35"/>
        <v>0</v>
      </c>
      <c r="BZ37" s="338">
        <f t="shared" si="35"/>
        <v>0</v>
      </c>
      <c r="CA37" s="338">
        <f t="shared" si="35"/>
        <v>650</v>
      </c>
      <c r="CB37" s="338">
        <f t="shared" si="35"/>
        <v>380</v>
      </c>
    </row>
    <row r="38" spans="1:80">
      <c r="A38" s="336" t="s">
        <v>541</v>
      </c>
      <c r="B38" s="337">
        <f>B15+B16*B17</f>
        <v>152</v>
      </c>
      <c r="C38" s="338">
        <f>C15+C16*C17</f>
        <v>228</v>
      </c>
      <c r="D38" s="338">
        <f>D15+D16*D17</f>
        <v>9500</v>
      </c>
      <c r="E38" s="316">
        <f t="shared" ref="E38:AM38" si="39">E15+E16*E17</f>
        <v>152</v>
      </c>
      <c r="F38" s="338">
        <f t="shared" si="39"/>
        <v>0</v>
      </c>
      <c r="G38" s="338">
        <f t="shared" si="39"/>
        <v>0</v>
      </c>
      <c r="H38" s="338">
        <f t="shared" si="39"/>
        <v>0</v>
      </c>
      <c r="I38" s="338">
        <f t="shared" si="39"/>
        <v>0</v>
      </c>
      <c r="J38" s="338">
        <f t="shared" si="39"/>
        <v>0</v>
      </c>
      <c r="K38" s="338">
        <f t="shared" si="39"/>
        <v>0</v>
      </c>
      <c r="L38" s="338">
        <f t="shared" si="39"/>
        <v>0</v>
      </c>
      <c r="M38" s="338">
        <f>M15+M16*M17</f>
        <v>0</v>
      </c>
      <c r="N38" s="338">
        <f t="shared" si="39"/>
        <v>0</v>
      </c>
      <c r="O38" s="338">
        <f>O15+O16*O17</f>
        <v>0</v>
      </c>
      <c r="P38" s="338">
        <f t="shared" si="39"/>
        <v>0</v>
      </c>
      <c r="Q38" s="338">
        <f t="shared" si="39"/>
        <v>0</v>
      </c>
      <c r="R38" s="338">
        <f t="shared" si="39"/>
        <v>228</v>
      </c>
      <c r="S38" s="338">
        <f t="shared" si="39"/>
        <v>2556</v>
      </c>
      <c r="T38" s="338">
        <f t="shared" si="39"/>
        <v>2556</v>
      </c>
      <c r="U38" s="338">
        <f>U15+U16*U17</f>
        <v>2556</v>
      </c>
      <c r="V38" s="338">
        <f t="shared" si="39"/>
        <v>2556</v>
      </c>
      <c r="W38" s="338">
        <f t="shared" ref="W38:AD38" si="40">W15+W16*W17</f>
        <v>2556</v>
      </c>
      <c r="X38" s="338">
        <f t="shared" si="40"/>
        <v>228</v>
      </c>
      <c r="Y38" s="338">
        <f t="shared" si="40"/>
        <v>228</v>
      </c>
      <c r="Z38" s="338">
        <f t="shared" si="40"/>
        <v>228</v>
      </c>
      <c r="AA38" s="338">
        <f t="shared" si="40"/>
        <v>152</v>
      </c>
      <c r="AB38" s="338">
        <f t="shared" si="40"/>
        <v>150</v>
      </c>
      <c r="AC38" s="338">
        <f t="shared" si="40"/>
        <v>0</v>
      </c>
      <c r="AD38" s="338">
        <f t="shared" si="40"/>
        <v>0</v>
      </c>
      <c r="AE38" s="338">
        <f t="shared" si="39"/>
        <v>0</v>
      </c>
      <c r="AF38" s="338">
        <f t="shared" si="39"/>
        <v>0</v>
      </c>
      <c r="AG38" s="338">
        <f t="shared" si="39"/>
        <v>0</v>
      </c>
      <c r="AH38" s="338">
        <f t="shared" si="39"/>
        <v>0</v>
      </c>
      <c r="AI38" s="338">
        <f t="shared" si="39"/>
        <v>0</v>
      </c>
      <c r="AJ38" s="338">
        <f t="shared" si="39"/>
        <v>152</v>
      </c>
      <c r="AK38" s="338">
        <f t="shared" si="39"/>
        <v>152</v>
      </c>
      <c r="AL38" s="338">
        <f t="shared" si="39"/>
        <v>0</v>
      </c>
      <c r="AM38" s="338">
        <f t="shared" si="39"/>
        <v>0</v>
      </c>
      <c r="AN38" s="338">
        <f t="shared" ref="AN38:BH38" si="41">AN15+AN16*AN17</f>
        <v>0</v>
      </c>
      <c r="AO38" s="338">
        <f t="shared" si="41"/>
        <v>0</v>
      </c>
      <c r="AP38" s="338">
        <f t="shared" si="41"/>
        <v>0</v>
      </c>
      <c r="AQ38" s="338">
        <f t="shared" si="41"/>
        <v>0</v>
      </c>
      <c r="AR38" s="338">
        <f t="shared" si="41"/>
        <v>0</v>
      </c>
      <c r="AS38" s="338">
        <f>AS15+AS16*AS17</f>
        <v>0</v>
      </c>
      <c r="AT38" s="338">
        <f>AT15+AT16*AT17</f>
        <v>228</v>
      </c>
      <c r="AU38" s="338">
        <f t="shared" si="41"/>
        <v>0</v>
      </c>
      <c r="AV38" s="338">
        <f>AV15+AV16*AV17</f>
        <v>0</v>
      </c>
      <c r="AW38" s="338">
        <f>AW15+AW16*AW17</f>
        <v>0</v>
      </c>
      <c r="AX38" s="338">
        <f>AX15+AX16*AX17</f>
        <v>0</v>
      </c>
      <c r="AY38" s="338">
        <f>AY15+AY16*AY17</f>
        <v>0</v>
      </c>
      <c r="AZ38" s="338">
        <f>AZ15+AZ16*AZ17</f>
        <v>0</v>
      </c>
      <c r="BA38" s="338">
        <f t="shared" si="41"/>
        <v>0</v>
      </c>
      <c r="BB38" s="338">
        <f>BB15+BB16*BB17</f>
        <v>0</v>
      </c>
      <c r="BC38" s="339">
        <f t="shared" si="41"/>
        <v>0</v>
      </c>
      <c r="BD38" s="338">
        <f>BD15+BD16*BD17</f>
        <v>0</v>
      </c>
      <c r="BE38" s="338">
        <f t="shared" si="41"/>
        <v>0</v>
      </c>
      <c r="BF38" s="338">
        <f t="shared" si="41"/>
        <v>0</v>
      </c>
      <c r="BG38" s="338">
        <f t="shared" si="41"/>
        <v>0</v>
      </c>
      <c r="BH38" s="338">
        <f t="shared" si="41"/>
        <v>0</v>
      </c>
      <c r="BI38" s="338">
        <f t="shared" ref="BI38:BQ38" si="42">BI15+BI16*BI17</f>
        <v>0</v>
      </c>
      <c r="BJ38" s="338">
        <f t="shared" si="42"/>
        <v>0</v>
      </c>
      <c r="BK38" s="338">
        <f t="shared" si="42"/>
        <v>0</v>
      </c>
      <c r="BL38" s="338">
        <f t="shared" si="42"/>
        <v>0</v>
      </c>
      <c r="BM38" s="338">
        <f t="shared" si="42"/>
        <v>0</v>
      </c>
      <c r="BN38" s="338">
        <f t="shared" si="42"/>
        <v>0</v>
      </c>
      <c r="BO38" s="338">
        <f t="shared" si="42"/>
        <v>0</v>
      </c>
      <c r="BP38" s="338">
        <f t="shared" si="42"/>
        <v>0</v>
      </c>
      <c r="BQ38" s="338">
        <f t="shared" si="42"/>
        <v>2556</v>
      </c>
      <c r="BR38" s="338">
        <f t="shared" ref="BR38:BX38" si="43">BR15+BR16*BR17</f>
        <v>0</v>
      </c>
      <c r="BS38" s="338">
        <f t="shared" si="43"/>
        <v>0</v>
      </c>
      <c r="BT38" s="338">
        <f t="shared" si="43"/>
        <v>0</v>
      </c>
      <c r="BU38" s="338">
        <f t="shared" si="43"/>
        <v>0</v>
      </c>
      <c r="BV38" s="338">
        <f t="shared" si="43"/>
        <v>0</v>
      </c>
      <c r="BW38" s="338">
        <f t="shared" si="43"/>
        <v>0</v>
      </c>
      <c r="BX38" s="338">
        <f t="shared" si="43"/>
        <v>0</v>
      </c>
      <c r="BY38" s="338">
        <f>BY15+BY16*BY17</f>
        <v>0</v>
      </c>
      <c r="BZ38" s="338">
        <f>BZ15+BZ16*BZ17</f>
        <v>0</v>
      </c>
      <c r="CA38" s="338">
        <f>CA15+CA16*CA17</f>
        <v>0</v>
      </c>
      <c r="CB38" s="338">
        <f>CB15+CB16*CB17</f>
        <v>150</v>
      </c>
    </row>
    <row r="39" spans="1:80">
      <c r="A39" s="336" t="s">
        <v>542</v>
      </c>
      <c r="B39" s="440">
        <f>B12*'Cjenik RS'!$D$6</f>
        <v>0</v>
      </c>
      <c r="C39" s="440">
        <f>C12*'Cjenik RS'!$D$6</f>
        <v>0</v>
      </c>
      <c r="D39" s="440">
        <f>D12*'Cjenik RS'!$D$6</f>
        <v>0</v>
      </c>
      <c r="E39" s="440">
        <f>E12*'Cjenik RS'!$D$6</f>
        <v>74159.999999999985</v>
      </c>
      <c r="F39" s="440">
        <f>F12*'Cjenik RS'!$D$6</f>
        <v>49439.999999999993</v>
      </c>
      <c r="G39" s="440">
        <f>G12*'Cjenik RS'!$D$6</f>
        <v>74159.999999999985</v>
      </c>
      <c r="H39" s="440">
        <f>H12*'Cjenik RS'!$D$6</f>
        <v>117689.99999999999</v>
      </c>
      <c r="I39" s="440">
        <f>I12*'Cjenik RS'!$D$6</f>
        <v>0</v>
      </c>
      <c r="J39" s="440">
        <f>J12*'Cjenik RS'!$D$6</f>
        <v>54921.999999999993</v>
      </c>
      <c r="K39" s="440">
        <f>K12*'Cjenik RS'!$D$6</f>
        <v>54921.999999999993</v>
      </c>
      <c r="L39" s="440">
        <f>L12*'Cjenik RS'!$D$6</f>
        <v>70613.999999999985</v>
      </c>
      <c r="M39" s="440">
        <f>M12*'Cjenik RS'!$D$6</f>
        <v>77069.999999999985</v>
      </c>
      <c r="N39" s="440">
        <f>N12*'Cjenik RS'!$D$6</f>
        <v>49439.999999999993</v>
      </c>
      <c r="O39" s="440">
        <f>O12*'Cjenik RS'!$D$6</f>
        <v>102759.99999999999</v>
      </c>
      <c r="P39" s="440">
        <f>P12*'Cjenik RS'!$D$6</f>
        <v>61799.999999999993</v>
      </c>
      <c r="Q39" s="440">
        <f>Q12*'Cjenik RS'!$D$6</f>
        <v>71069.999999999985</v>
      </c>
      <c r="R39" s="440">
        <f>R12*'Cjenik RS'!$D$6</f>
        <v>86292.5</v>
      </c>
      <c r="S39" s="440">
        <f>S12*'Cjenik RS'!$D$6</f>
        <v>86292.5</v>
      </c>
      <c r="T39" s="440">
        <f>T12*'Cjenik RS'!$D$6</f>
        <v>217507.5</v>
      </c>
      <c r="U39" s="440">
        <f>U12*'Cjenik RS'!$D$6</f>
        <v>149148</v>
      </c>
      <c r="V39" s="440">
        <f>V12*'Cjenik RS'!$D$6</f>
        <v>217507.5</v>
      </c>
      <c r="W39" s="440">
        <f>W12*'Cjenik RS'!$D$6</f>
        <v>49716.000000000007</v>
      </c>
      <c r="X39" s="440">
        <f>X12*'Cjenik RS'!$D$6</f>
        <v>0</v>
      </c>
      <c r="Y39" s="440">
        <f>Y12*'Cjenik RS'!$D$6</f>
        <v>0</v>
      </c>
      <c r="Z39" s="440">
        <f>Z12*'Cjenik RS'!$D$6</f>
        <v>0</v>
      </c>
      <c r="AA39" s="440">
        <f>AA12*'Cjenik RS'!$D$6</f>
        <v>74159.999999999985</v>
      </c>
      <c r="AB39" s="440">
        <f>AB12*'Cjenik RS'!$D$6</f>
        <v>40170</v>
      </c>
      <c r="AC39" s="440">
        <f>AC12*'Cjenik RS'!$D$6</f>
        <v>0</v>
      </c>
      <c r="AD39" s="440">
        <f>AD12*'Cjenik RS'!$D$6</f>
        <v>12844.999999999998</v>
      </c>
      <c r="AE39" s="440">
        <f>AE12*'Cjenik RS'!$D$6</f>
        <v>0</v>
      </c>
      <c r="AF39" s="440">
        <f>AF12*'Cjenik RS'!$D$6</f>
        <v>0</v>
      </c>
      <c r="AG39" s="440">
        <f>AG12*'Cjenik RS'!$D$6</f>
        <v>0</v>
      </c>
      <c r="AH39" s="440">
        <f>AH12*'Cjenik RS'!$D$6</f>
        <v>0</v>
      </c>
      <c r="AI39" s="440">
        <f>AI12*'Cjenik RS'!$D$6</f>
        <v>0</v>
      </c>
      <c r="AJ39" s="440">
        <f>AJ12*'Cjenik RS'!$D$6</f>
        <v>78896</v>
      </c>
      <c r="AK39" s="440">
        <f>AK12*'Cjenik RS'!$D$6</f>
        <v>62767.999999999993</v>
      </c>
      <c r="AL39" s="440">
        <f>AL12*'Cjenik RS'!$D$6</f>
        <v>0</v>
      </c>
      <c r="AM39" s="440">
        <f>AM12*'Cjenik RS'!$D$6</f>
        <v>0</v>
      </c>
      <c r="AN39" s="440">
        <f>AN12*'Cjenik RS'!$D$6</f>
        <v>0</v>
      </c>
      <c r="AO39" s="440">
        <f>AO12*'Cjenik RS'!$D$6</f>
        <v>0</v>
      </c>
      <c r="AP39" s="440">
        <f>AP12*'Cjenik RS'!$D$6</f>
        <v>0</v>
      </c>
      <c r="AQ39" s="440">
        <f>AQ12*'Cjenik RS'!$D$6</f>
        <v>0</v>
      </c>
      <c r="AR39" s="440">
        <f>AR12*'Cjenik RS'!$D$6</f>
        <v>0</v>
      </c>
      <c r="AS39" s="440">
        <f>AS12*'Cjenik RS'!$D$6</f>
        <v>0</v>
      </c>
      <c r="AT39" s="440">
        <f>AT12*'Cjenik RS'!$D$6</f>
        <v>0</v>
      </c>
      <c r="AU39" s="440">
        <f>AU12*'Cjenik RS'!$D$6</f>
        <v>0</v>
      </c>
      <c r="AV39" s="440">
        <f>AV12*'Cjenik RS'!$D$6</f>
        <v>62767.999999999993</v>
      </c>
      <c r="AW39" s="440">
        <f>AW12*'Cjenik RS'!$D$6</f>
        <v>78459.999999999985</v>
      </c>
      <c r="AX39" s="440">
        <f>AX12*'Cjenik RS'!$D$6</f>
        <v>78459.999999999985</v>
      </c>
      <c r="AY39" s="440">
        <f>AY12*'Cjenik RS'!$D$6</f>
        <v>51379.999999999993</v>
      </c>
      <c r="AZ39" s="440">
        <f>AZ12*'Cjenik RS'!$D$6</f>
        <v>38534.999999999993</v>
      </c>
      <c r="BA39" s="440">
        <f>BA12*'Cjenik RS'!$D$6</f>
        <v>89915</v>
      </c>
      <c r="BB39" s="440">
        <f>BB12*'Cjenik RS'!$D$6</f>
        <v>38534.999999999993</v>
      </c>
      <c r="BC39" s="440">
        <f>BC12*'Cjenik RS'!$D$6</f>
        <v>90229</v>
      </c>
      <c r="BD39" s="440">
        <f>BD12*'Cjenik RS'!$D$6</f>
        <v>128449.99999999999</v>
      </c>
      <c r="BE39" s="440">
        <f>BE12*'Cjenik RS'!$D$6</f>
        <v>39229.999999999993</v>
      </c>
      <c r="BF39" s="440">
        <f>BF12*'Cjenik RS'!$D$6</f>
        <v>29586</v>
      </c>
      <c r="BG39" s="440">
        <f>BG12*'Cjenik RS'!$D$6</f>
        <v>0</v>
      </c>
      <c r="BH39" s="440">
        <f>BH12*'Cjenik RS'!$D$6</f>
        <v>0</v>
      </c>
      <c r="BI39" s="440">
        <f>BI12*'Cjenik RS'!$D$6</f>
        <v>0</v>
      </c>
      <c r="BJ39" s="440">
        <f>BJ12*'Cjenik RS'!$D$6</f>
        <v>0</v>
      </c>
      <c r="BK39" s="440">
        <f>BK12*'Cjenik RS'!$D$6</f>
        <v>0</v>
      </c>
      <c r="BL39" s="440">
        <f>BL12*'Cjenik RS'!$D$6</f>
        <v>55619.999999999993</v>
      </c>
      <c r="BM39" s="440">
        <f>BM12*'Cjenik RS'!$D$6</f>
        <v>0</v>
      </c>
      <c r="BN39" s="440">
        <f>BN12*'Cjenik RS'!$D$6</f>
        <v>78459.999999999985</v>
      </c>
      <c r="BO39" s="440">
        <f>BO12*'Cjenik RS'!$D$6</f>
        <v>62767.999999999993</v>
      </c>
      <c r="BP39" s="440">
        <f>BP12*'Cjenik RS'!$D$6</f>
        <v>47076</v>
      </c>
      <c r="BQ39" s="440">
        <f>BQ12*'Cjenik RS'!$D$6</f>
        <v>86292.5</v>
      </c>
      <c r="BR39" s="440">
        <f>BR12*'Cjenik RS'!$D$6</f>
        <v>0</v>
      </c>
      <c r="BS39" s="440">
        <f>BS12*'Cjenik RS'!$D$6</f>
        <v>0</v>
      </c>
      <c r="BT39" s="440">
        <f>BT12*'Cjenik RS'!$D$6</f>
        <v>0</v>
      </c>
      <c r="BU39" s="440">
        <f>BU12*'Cjenik RS'!$D$6</f>
        <v>0</v>
      </c>
      <c r="BV39" s="440">
        <f>BV12*'Cjenik RS'!$D$6</f>
        <v>0</v>
      </c>
      <c r="BW39" s="440">
        <f>BW12*'Cjenik RS'!$D$6</f>
        <v>90229</v>
      </c>
      <c r="BX39" s="440">
        <f>BX12*'Cjenik RS'!$D$6</f>
        <v>0</v>
      </c>
      <c r="BY39" s="440">
        <f>BY12*'Cjenik RS'!$D$6</f>
        <v>0</v>
      </c>
      <c r="BZ39" s="440">
        <f>BZ12*'Cjenik RS'!$D$6</f>
        <v>0</v>
      </c>
      <c r="CA39" s="440">
        <f>CA12*'Cjenik RS'!$D$6</f>
        <v>78459.999999999985</v>
      </c>
      <c r="CB39" s="440">
        <f>CB12*'Cjenik RS'!$D$6</f>
        <v>50999</v>
      </c>
    </row>
    <row r="40" spans="1:80">
      <c r="A40" s="340" t="s">
        <v>543</v>
      </c>
      <c r="B40" s="441">
        <f>IF(B7&gt;B8,1,0)*SUM(B7-B8)*B6*'Cjenik RS'!$D$6+B29</f>
        <v>0</v>
      </c>
      <c r="C40" s="441">
        <f>IF(C7&gt;C8,1,0)*SUM(C7-C8)*C6*'Cjenik RS'!$D$6+C29</f>
        <v>0</v>
      </c>
      <c r="D40" s="441">
        <f>IF(D7&gt;D8,1,0)*SUM(D7-D8)*D6*'Cjenik RS'!$D$6+D29</f>
        <v>2000</v>
      </c>
      <c r="E40" s="441">
        <f>IF(E7&gt;E8,1,0)*SUM(E7-E8)*E6*'Cjenik RS'!$D$6+E29</f>
        <v>33989.999999999993</v>
      </c>
      <c r="F40" s="441">
        <f>IF(F7&gt;F8,1,0)*SUM(F7-F8)*F6*'Cjenik RS'!$D$6+F29</f>
        <v>58709.999999999993</v>
      </c>
      <c r="G40" s="441">
        <f>IF(G7&gt;G8,1,0)*SUM(G7-G8)*G6*'Cjenik RS'!$D$6+G29</f>
        <v>33989.999999999993</v>
      </c>
      <c r="H40" s="441">
        <f>IF(H7&gt;H8,1,0)*SUM(H7-H8)*H6*'Cjenik RS'!$D$6+H29</f>
        <v>19614.999999999996</v>
      </c>
      <c r="I40" s="441">
        <f>IF(I7&gt;I8,1,0)*SUM(I7-I8)*I6*'Cjenik RS'!$D$6+I29</f>
        <v>0</v>
      </c>
      <c r="J40" s="441">
        <f>IF(J7&gt;J8,1,0)*SUM(J7-J8)*J6*'Cjenik RS'!$D$6+J29</f>
        <v>0</v>
      </c>
      <c r="K40" s="441">
        <f>IF(K7&gt;K8,1,0)*SUM(K7-K8)*K6*'Cjenik RS'!$D$6+K29</f>
        <v>0</v>
      </c>
      <c r="L40" s="441">
        <f>IF(L7&gt;L8,1,0)*SUM(L7-L8)*L6*'Cjenik RS'!$D$6+L29</f>
        <v>0</v>
      </c>
      <c r="M40" s="441">
        <f>IF(M7&gt;M8,1,0)*SUM(M7-M8)*M6*'Cjenik RS'!$D$6+M29</f>
        <v>1</v>
      </c>
      <c r="N40" s="441">
        <f>IF(N7&gt;N8,1,0)*SUM(N7-N8)*N6*'Cjenik RS'!$D$6+N29</f>
        <v>58709.999999999993</v>
      </c>
      <c r="O40" s="441">
        <f>IF(O7&gt;O8,1,0)*SUM(O7-O8)*O6*'Cjenik RS'!$D$6+O29</f>
        <v>122027.49999999999</v>
      </c>
      <c r="P40" s="441">
        <f>IF(P7&gt;P8,1,0)*SUM(P7-P8)*P6*'Cjenik RS'!$D$6+P29</f>
        <v>46350</v>
      </c>
      <c r="Q40" s="441">
        <f>IF(Q7&gt;Q8,1,0)*SUM(Q7-Q8)*Q6*'Cjenik RS'!$D$6+Q29</f>
        <v>37079.999999999993</v>
      </c>
      <c r="R40" s="441">
        <f>IF(R7&gt;R8,1,0)*SUM(R7-R8)*R6*'Cjenik RS'!$D$6+R29</f>
        <v>240</v>
      </c>
      <c r="S40" s="441">
        <f>IF(S7&gt;S8,1,0)*SUM(S7-S8)*S6*'Cjenik RS'!$D$6+S29</f>
        <v>380</v>
      </c>
      <c r="T40" s="441">
        <f>IF(T7&gt;T8,1,0)*SUM(T7-T8)*T6*'Cjenik RS'!$D$6+T29</f>
        <v>625</v>
      </c>
      <c r="U40" s="441">
        <f>IF(U7&gt;U8,1,0)*SUM(U7-U8)*U6*'Cjenik RS'!$D$6+U29</f>
        <v>0</v>
      </c>
      <c r="V40" s="441">
        <f>IF(V7&gt;V8,1,0)*SUM(V7-V8)*V6*'Cjenik RS'!$D$6+V29</f>
        <v>625</v>
      </c>
      <c r="W40" s="441">
        <f>IF(W7&gt;W8,1,0)*SUM(W7-W8)*W6*'Cjenik RS'!$D$6+W29</f>
        <v>0</v>
      </c>
      <c r="X40" s="441">
        <f>IF(X7&gt;X8,1,0)*SUM(X7-X8)*X6*'Cjenik RS'!$D$6+X29</f>
        <v>380</v>
      </c>
      <c r="Y40" s="441">
        <f>IF(Y7&gt;Y8,1,0)*SUM(Y7-Y8)*Y6*'Cjenik RS'!$D$6+Y29</f>
        <v>380</v>
      </c>
      <c r="Z40" s="441">
        <f>IF(Z7&gt;Z8,1,0)*SUM(Z7-Z8)*Z6*'Cjenik RS'!$D$6+Z29</f>
        <v>380</v>
      </c>
      <c r="AA40" s="441">
        <f>IF(AA7&gt;AA8,1,0)*SUM(AA7-AA8)*AA6*'Cjenik RS'!$D$6+AA29</f>
        <v>33989.999999999993</v>
      </c>
      <c r="AB40" s="441">
        <f>IF(AB7&gt;AB8,1,0)*SUM(AB7-AB8)*AB6*'Cjenik RS'!$D$6+AB29</f>
        <v>0</v>
      </c>
      <c r="AC40" s="441">
        <f>IF(AC7&gt;AC8,1,0)*SUM(AC7-AC8)*AC6*'Cjenik RS'!$D$6+AC29</f>
        <v>0</v>
      </c>
      <c r="AD40" s="441">
        <f>IF(AD7&gt;AD8,1,0)*SUM(AD7-AD8)*AD6*'Cjenik RS'!$D$6+AD29</f>
        <v>0</v>
      </c>
      <c r="AE40" s="441">
        <f>IF(AE7&gt;AE8,1,0)*SUM(AE7-AE8)*AE6*'Cjenik RS'!$D$6+AE29</f>
        <v>0</v>
      </c>
      <c r="AF40" s="441">
        <f>IF(AF7&gt;AF8,1,0)*SUM(AF7-AF8)*AF6*'Cjenik RS'!$D$6+AF29</f>
        <v>0</v>
      </c>
      <c r="AG40" s="441">
        <f>IF(AG7&gt;AG8,1,0)*SUM(AG7-AG8)*AG6*'Cjenik RS'!$D$6+AG29</f>
        <v>0</v>
      </c>
      <c r="AH40" s="441">
        <f>IF(AH7&gt;AH8,1,0)*SUM(AH7-AH8)*AH6*'Cjenik RS'!$D$6+AH29</f>
        <v>0</v>
      </c>
      <c r="AI40" s="441">
        <f>IF(AI7&gt;AI8,1,0)*SUM(AI7-AI8)*AI6*'Cjenik RS'!$D$6+AI29</f>
        <v>0</v>
      </c>
      <c r="AJ40" s="441">
        <f>IF(AJ7&gt;AJ8,1,0)*SUM(AJ7-AJ8)*AJ6*'Cjenik RS'!$D$6+AJ29</f>
        <v>7776.5</v>
      </c>
      <c r="AK40" s="441">
        <f>IF(AK7&gt;AK8,1,0)*SUM(AK7-AK8)*AK6*'Cjenik RS'!$D$6+AK29</f>
        <v>7845.9999999999991</v>
      </c>
      <c r="AL40" s="441">
        <f>IF(AL7&gt;AL8,1,0)*SUM(AL7-AL8)*AL6*'Cjenik RS'!$D$6+AL29</f>
        <v>0</v>
      </c>
      <c r="AM40" s="441">
        <f>IF(AM7&gt;AM8,1,0)*SUM(AM7-AM8)*AM6*'Cjenik RS'!$D$6+AM29</f>
        <v>0</v>
      </c>
      <c r="AN40" s="441">
        <f>IF(AN7&gt;AN8,1,0)*SUM(AN7-AN8)*AN6*'Cjenik RS'!$D$6+AN29</f>
        <v>0</v>
      </c>
      <c r="AO40" s="441">
        <f>IF(AO7&gt;AO8,1,0)*SUM(AO7-AO8)*AO6*'Cjenik RS'!$D$6+AO29</f>
        <v>0</v>
      </c>
      <c r="AP40" s="441">
        <f>IF(AP7&gt;AP8,1,0)*SUM(AP7-AP8)*AP6*'Cjenik RS'!$D$6+AP29</f>
        <v>0</v>
      </c>
      <c r="AQ40" s="441">
        <f>IF(AQ7&gt;AQ8,1,0)*SUM(AQ7-AQ8)*AQ6*'Cjenik RS'!$D$6+AQ29</f>
        <v>0</v>
      </c>
      <c r="AR40" s="441">
        <f>IF(AR7&gt;AR8,1,0)*SUM(AR7-AR8)*AR6*'Cjenik RS'!$D$6+AR29</f>
        <v>0</v>
      </c>
      <c r="AS40" s="441">
        <f>IF(AS7&gt;AS8,1,0)*SUM(AS7-AS8)*AS6*'Cjenik RS'!$D$6+AS29</f>
        <v>0</v>
      </c>
      <c r="AT40" s="441">
        <f>IF(AT7&gt;AT8,1,0)*SUM(AT7-AT8)*AT6*'Cjenik RS'!$D$6+AT29</f>
        <v>380</v>
      </c>
      <c r="AU40" s="441">
        <f>IF(AU7&gt;AU8,1,0)*SUM(AU7-AU8)*AU6*'Cjenik RS'!$D$6+AU29</f>
        <v>0</v>
      </c>
      <c r="AV40" s="441">
        <f>IF(AV7&gt;AV8,1,0)*SUM(AV7-AV8)*AV6*'Cjenik RS'!$D$6+AV29</f>
        <v>0</v>
      </c>
      <c r="AW40" s="441">
        <f>IF(AW7&gt;AW8,1,0)*SUM(AW7-AW8)*AW6*'Cjenik RS'!$D$6+AW29</f>
        <v>58844.999999999993</v>
      </c>
      <c r="AX40" s="441">
        <f>IF(AX7&gt;AX8,1,0)*SUM(AX7-AX8)*AX6*'Cjenik RS'!$D$6+AX29</f>
        <v>58844.999999999993</v>
      </c>
      <c r="AY40" s="441">
        <f>IF(AY7&gt;AY8,1,0)*SUM(AY7-AY8)*AY6*'Cjenik RS'!$D$6+AY29</f>
        <v>0</v>
      </c>
      <c r="AZ40" s="441">
        <f>IF(AZ7&gt;AZ8,1,0)*SUM(AZ7-AZ8)*AZ6*'Cjenik RS'!$D$6+AZ29</f>
        <v>0</v>
      </c>
      <c r="BA40" s="441">
        <f>IF(BA7&gt;BA8,1,0)*SUM(BA7-BA8)*BA6*'Cjenik RS'!$D$6+BA29</f>
        <v>0</v>
      </c>
      <c r="BB40" s="441">
        <f>IF(BB7&gt;BB8,1,0)*SUM(BB7-BB8)*BB6*'Cjenik RS'!$D$6+BB29</f>
        <v>2500</v>
      </c>
      <c r="BC40" s="441">
        <f>IF(BC7&gt;BC8,1,0)*SUM(BC7-BC8)*BC6*'Cjenik RS'!$D$6+BC29</f>
        <v>47076</v>
      </c>
      <c r="BD40" s="441">
        <f>IF(BD7&gt;BD8,1,0)*SUM(BD7-BD8)*BD6*'Cjenik RS'!$D$6+BD29</f>
        <v>0</v>
      </c>
      <c r="BE40" s="441">
        <f>IF(BE7&gt;BE8,1,0)*SUM(BE7-BE8)*BE6*'Cjenik RS'!$D$6+BE29</f>
        <v>0</v>
      </c>
      <c r="BF40" s="441">
        <f>IF(BF7&gt;BF8,1,0)*SUM(BF7-BF8)*BF6*'Cjenik RS'!$D$6+BF29</f>
        <v>24655</v>
      </c>
      <c r="BG40" s="441">
        <f>IF(BG7&gt;BG8,1,0)*SUM(BG7-BG8)*BG6*'Cjenik RS'!$D$6+BG29</f>
        <v>0</v>
      </c>
      <c r="BH40" s="441">
        <f>IF(BH7&gt;BH8,1,0)*SUM(BH7-BH8)*BH6*'Cjenik RS'!$D$6+BH29</f>
        <v>0</v>
      </c>
      <c r="BI40" s="441">
        <f>IF(BI7&gt;BI8,1,0)*SUM(BI7-BI8)*BI6*'Cjenik RS'!$D$6+BI29</f>
        <v>0</v>
      </c>
      <c r="BJ40" s="441">
        <f>IF(BJ7&gt;BJ8,1,0)*SUM(BJ7-BJ8)*BJ6*'Cjenik RS'!$D$6+BJ29</f>
        <v>0</v>
      </c>
      <c r="BK40" s="441">
        <f>IF(BK7&gt;BK8,1,0)*SUM(BK7-BK8)*BK6*'Cjenik RS'!$D$6+BK29</f>
        <v>0</v>
      </c>
      <c r="BL40" s="441">
        <f>IF(BL7&gt;BL8,1,0)*SUM(BL7-BL8)*BL6*'Cjenik RS'!$D$6+BL29</f>
        <v>52529.999999999993</v>
      </c>
      <c r="BM40" s="441">
        <f>IF(BM7&gt;BM8,1,0)*SUM(BM7-BM8)*BM6*'Cjenik RS'!$D$6+BM29</f>
        <v>0</v>
      </c>
      <c r="BN40" s="441">
        <f>IF(BN7&gt;BN8,1,0)*SUM(BN7-BN8)*BN6*'Cjenik RS'!$D$6+BN29</f>
        <v>58844.999999999993</v>
      </c>
      <c r="BO40" s="441">
        <f>IF(BO7&gt;BO8,1,0)*SUM(BO7-BO8)*BO6*'Cjenik RS'!$D$6+BO29</f>
        <v>74536.999999999985</v>
      </c>
      <c r="BP40" s="441">
        <f>IF(BP7&gt;BP8,1,0)*SUM(BP7-BP8)*BP6*'Cjenik RS'!$D$6+BP29</f>
        <v>90229</v>
      </c>
      <c r="BQ40" s="441">
        <f>IF(BQ7&gt;BQ8,1,0)*SUM(BQ7-BQ8)*BQ6*'Cjenik RS'!$D$6+BQ29</f>
        <v>380</v>
      </c>
      <c r="BR40" s="441">
        <f>IF(BR7&gt;BR8,1,0)*SUM(BR7-BR8)*BR6*'Cjenik RS'!$D$6+BR29</f>
        <v>0</v>
      </c>
      <c r="BS40" s="441">
        <f>IF(BS7&gt;BS8,1,0)*SUM(BS7-BS8)*BS6*'Cjenik RS'!$D$6+BS29</f>
        <v>0</v>
      </c>
      <c r="BT40" s="441">
        <f>IF(BT7&gt;BT8,1,0)*SUM(BT7-BT8)*BT6*'Cjenik RS'!$D$6+BT29</f>
        <v>0</v>
      </c>
      <c r="BU40" s="441">
        <f>IF(BU7&gt;BU8,1,0)*SUM(BU7-BU8)*BU6*'Cjenik RS'!$D$6+BU29</f>
        <v>0</v>
      </c>
      <c r="BV40" s="441">
        <f>IF(BV7&gt;BV8,1,0)*SUM(BV7-BV8)*BV6*'Cjenik RS'!$D$6+BV29</f>
        <v>0</v>
      </c>
      <c r="BW40" s="441">
        <f>IF(BW7&gt;BW8,1,0)*SUM(BW7-BW8)*BW6*'Cjenik RS'!$D$6+BW29</f>
        <v>47076</v>
      </c>
      <c r="BX40" s="441">
        <f>IF(BX7&gt;BX8,1,0)*SUM(BX7-BX8)*BX6*'Cjenik RS'!$D$6+BX29</f>
        <v>0</v>
      </c>
      <c r="BY40" s="441">
        <f>IF(BY7&gt;BY8,1,0)*SUM(BY7-BY8)*BY6*'Cjenik RS'!$D$6+BY29</f>
        <v>0</v>
      </c>
      <c r="BZ40" s="441">
        <f>IF(BZ7&gt;BZ8,1,0)*SUM(BZ7-BZ8)*BZ6*'Cjenik RS'!$D$6+BZ29</f>
        <v>0</v>
      </c>
      <c r="CA40" s="441">
        <f>IF(CA7&gt;CA8,1,0)*SUM(CA7-CA8)*CA6*'Cjenik RS'!$D$6+CA29</f>
        <v>58844.999999999993</v>
      </c>
      <c r="CB40" s="441">
        <f>IF(CB7&gt;CB8,1,0)*SUM(CB7-CB8)*CB6*'Cjenik RS'!$D$6+CB29</f>
        <v>0</v>
      </c>
    </row>
    <row r="41" spans="1:80" ht="18.75" customHeight="1">
      <c r="A41" s="341" t="s">
        <v>544</v>
      </c>
      <c r="B41" s="342">
        <f>ROUND(SUM(B33:B40),2)</f>
        <v>37231.910000000003</v>
      </c>
      <c r="C41" s="343">
        <f t="shared" ref="C41:BJ41" si="44">ROUND(SUM(C33:C40),2)</f>
        <v>43034</v>
      </c>
      <c r="D41" s="343">
        <f t="shared" si="44"/>
        <v>53080</v>
      </c>
      <c r="E41" s="343">
        <f t="shared" si="44"/>
        <v>350070.87</v>
      </c>
      <c r="F41" s="343">
        <f t="shared" si="44"/>
        <v>286807.88</v>
      </c>
      <c r="G41" s="343">
        <f t="shared" si="44"/>
        <v>355307.23</v>
      </c>
      <c r="H41" s="343">
        <f t="shared" si="44"/>
        <v>260568.59</v>
      </c>
      <c r="I41" s="343">
        <f t="shared" si="44"/>
        <v>10560</v>
      </c>
      <c r="J41" s="343">
        <f t="shared" si="44"/>
        <v>92833.46</v>
      </c>
      <c r="K41" s="343">
        <f t="shared" si="44"/>
        <v>114549.1</v>
      </c>
      <c r="L41" s="343">
        <f t="shared" si="44"/>
        <v>194184.56</v>
      </c>
      <c r="M41" s="343">
        <f t="shared" si="44"/>
        <v>84207</v>
      </c>
      <c r="N41" s="343">
        <f t="shared" si="44"/>
        <v>441180.99</v>
      </c>
      <c r="O41" s="343">
        <f t="shared" si="44"/>
        <v>279228.49</v>
      </c>
      <c r="P41" s="343">
        <f t="shared" si="44"/>
        <v>615608.5</v>
      </c>
      <c r="Q41" s="343">
        <f t="shared" si="44"/>
        <v>285296.93</v>
      </c>
      <c r="R41" s="343">
        <f t="shared" si="44"/>
        <v>138997.38</v>
      </c>
      <c r="S41" s="343">
        <f t="shared" si="44"/>
        <v>231669.54</v>
      </c>
      <c r="T41" s="343">
        <f t="shared" si="44"/>
        <v>429384.37</v>
      </c>
      <c r="U41" s="343">
        <f t="shared" si="44"/>
        <v>288261.51</v>
      </c>
      <c r="V41" s="343">
        <f t="shared" si="44"/>
        <v>433056.51</v>
      </c>
      <c r="W41" s="343">
        <f t="shared" si="44"/>
        <v>261876.99</v>
      </c>
      <c r="X41" s="343">
        <f t="shared" si="44"/>
        <v>65419.31</v>
      </c>
      <c r="Y41" s="343">
        <f t="shared" si="44"/>
        <v>41462.51</v>
      </c>
      <c r="Z41" s="343">
        <f t="shared" si="44"/>
        <v>16517.72</v>
      </c>
      <c r="AA41" s="343">
        <f t="shared" si="44"/>
        <v>1031002</v>
      </c>
      <c r="AB41" s="343">
        <f t="shared" si="44"/>
        <v>431764.14</v>
      </c>
      <c r="AC41" s="343">
        <f t="shared" si="44"/>
        <v>47487.360000000001</v>
      </c>
      <c r="AD41" s="343">
        <f t="shared" si="44"/>
        <v>32837.19</v>
      </c>
      <c r="AE41" s="343">
        <f t="shared" si="44"/>
        <v>16244.07</v>
      </c>
      <c r="AF41" s="343">
        <f t="shared" si="44"/>
        <v>23117.02</v>
      </c>
      <c r="AG41" s="343">
        <f t="shared" si="44"/>
        <v>56873.74</v>
      </c>
      <c r="AH41" s="343">
        <f t="shared" si="44"/>
        <v>11095.32</v>
      </c>
      <c r="AI41" s="343">
        <f t="shared" si="44"/>
        <v>16305.99</v>
      </c>
      <c r="AJ41" s="343">
        <f t="shared" si="44"/>
        <v>404174.49</v>
      </c>
      <c r="AK41" s="343">
        <f t="shared" si="44"/>
        <v>155601.78</v>
      </c>
      <c r="AL41" s="343">
        <f t="shared" si="44"/>
        <v>36408.15</v>
      </c>
      <c r="AM41" s="343">
        <f t="shared" si="44"/>
        <v>19041.310000000001</v>
      </c>
      <c r="AN41" s="343">
        <f t="shared" si="44"/>
        <v>49970.01</v>
      </c>
      <c r="AO41" s="343">
        <f t="shared" si="44"/>
        <v>46813.99</v>
      </c>
      <c r="AP41" s="343">
        <f t="shared" si="44"/>
        <v>19853.07</v>
      </c>
      <c r="AQ41" s="343">
        <f t="shared" si="44"/>
        <v>45734.01</v>
      </c>
      <c r="AR41" s="343">
        <f t="shared" si="44"/>
        <v>33330.870000000003</v>
      </c>
      <c r="AS41" s="343">
        <f t="shared" si="44"/>
        <v>920.5</v>
      </c>
      <c r="AT41" s="343">
        <f t="shared" si="44"/>
        <v>41462.51</v>
      </c>
      <c r="AU41" s="343">
        <f t="shared" si="44"/>
        <v>10318.43</v>
      </c>
      <c r="AV41" s="343">
        <f t="shared" si="44"/>
        <v>130349.18</v>
      </c>
      <c r="AW41" s="343">
        <f t="shared" si="44"/>
        <v>182540.99</v>
      </c>
      <c r="AX41" s="343">
        <f t="shared" si="44"/>
        <v>206833.01</v>
      </c>
      <c r="AY41" s="343">
        <f t="shared" si="44"/>
        <v>53420.01</v>
      </c>
      <c r="AZ41" s="343">
        <f t="shared" si="44"/>
        <v>41071.01</v>
      </c>
      <c r="BA41" s="343">
        <f t="shared" si="44"/>
        <v>96475</v>
      </c>
      <c r="BB41" s="343">
        <f t="shared" si="44"/>
        <v>69438.990000000005</v>
      </c>
      <c r="BC41" s="344">
        <f t="shared" si="44"/>
        <v>184645</v>
      </c>
      <c r="BD41" s="343">
        <f t="shared" si="44"/>
        <v>148848.22</v>
      </c>
      <c r="BE41" s="343">
        <f t="shared" si="44"/>
        <v>74289.789999999994</v>
      </c>
      <c r="BF41" s="343">
        <f t="shared" si="44"/>
        <v>131409.28</v>
      </c>
      <c r="BG41" s="343">
        <f t="shared" si="44"/>
        <v>5746.47</v>
      </c>
      <c r="BH41" s="343">
        <f t="shared" si="44"/>
        <v>4919.3999999999996</v>
      </c>
      <c r="BI41" s="343">
        <f t="shared" si="44"/>
        <v>44000</v>
      </c>
      <c r="BJ41" s="343">
        <f t="shared" si="44"/>
        <v>19000</v>
      </c>
      <c r="BK41" s="343">
        <f t="shared" ref="BK41:BZ41" si="45">ROUND(SUM(BK33:BK40),2)</f>
        <v>52073.99</v>
      </c>
      <c r="BL41" s="343">
        <f t="shared" si="45"/>
        <v>302244.01</v>
      </c>
      <c r="BM41" s="343">
        <f t="shared" si="45"/>
        <v>35768</v>
      </c>
      <c r="BN41" s="343">
        <f t="shared" si="45"/>
        <v>197340.99</v>
      </c>
      <c r="BO41" s="343">
        <f t="shared" si="45"/>
        <v>197340.99</v>
      </c>
      <c r="BP41" s="343">
        <f t="shared" si="45"/>
        <v>213574.99</v>
      </c>
      <c r="BQ41" s="343">
        <f t="shared" si="45"/>
        <v>165229.51</v>
      </c>
      <c r="BR41" s="343">
        <f t="shared" si="45"/>
        <v>8400.01</v>
      </c>
      <c r="BS41" s="343">
        <f t="shared" si="45"/>
        <v>131500</v>
      </c>
      <c r="BT41" s="343">
        <f t="shared" si="45"/>
        <v>131500</v>
      </c>
      <c r="BU41" s="343">
        <f>ROUND(SUM(BU33:BU40),2)</f>
        <v>73640.009999999995</v>
      </c>
      <c r="BV41" s="343">
        <f>ROUND(SUM(BV33:BV40),2)</f>
        <v>73640.009999999995</v>
      </c>
      <c r="BW41" s="343">
        <f t="shared" si="45"/>
        <v>347869.38</v>
      </c>
      <c r="BX41" s="343">
        <f t="shared" si="45"/>
        <v>4800</v>
      </c>
      <c r="BY41" s="343">
        <f t="shared" si="45"/>
        <v>18410</v>
      </c>
      <c r="BZ41" s="343">
        <f t="shared" si="45"/>
        <v>12494.95</v>
      </c>
      <c r="CA41" s="343">
        <f>ROUND(SUM(CA33:CA40),2)</f>
        <v>154800.75</v>
      </c>
      <c r="CB41" s="343">
        <f>ROUND(SUM(CB33:CB40),2)</f>
        <v>60926.5</v>
      </c>
    </row>
    <row r="42" spans="1:80">
      <c r="A42" s="345"/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346"/>
      <c r="BC42" s="346"/>
      <c r="BD42" s="346"/>
      <c r="BE42" s="346"/>
      <c r="BF42" s="346"/>
      <c r="BG42" s="346"/>
      <c r="BH42" s="346"/>
      <c r="BI42" s="346"/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346"/>
      <c r="CB42" s="346"/>
    </row>
    <row r="43" spans="1:80" ht="15">
      <c r="A43" s="347" t="s">
        <v>545</v>
      </c>
      <c r="B43" s="348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349"/>
      <c r="BC43" s="350"/>
      <c r="BD43" s="349"/>
      <c r="BE43" s="349"/>
      <c r="BF43" s="349"/>
      <c r="BG43" s="349"/>
      <c r="BH43" s="349"/>
      <c r="BI43" s="349"/>
      <c r="BJ43" s="349"/>
      <c r="BK43" s="349"/>
      <c r="BL43" s="349"/>
      <c r="BM43" s="349"/>
      <c r="BN43" s="349"/>
      <c r="BO43" s="349"/>
      <c r="BP43" s="349"/>
      <c r="BQ43" s="349"/>
      <c r="BR43" s="349"/>
      <c r="BS43" s="349"/>
      <c r="BT43" s="349"/>
      <c r="BU43" s="349"/>
      <c r="BV43" s="349"/>
      <c r="BW43" s="349"/>
      <c r="BX43" s="349"/>
      <c r="BY43" s="349"/>
      <c r="BZ43" s="349"/>
      <c r="CA43" s="349"/>
      <c r="CB43" s="349"/>
    </row>
    <row r="44" spans="1:80">
      <c r="A44" s="310" t="s">
        <v>527</v>
      </c>
      <c r="B44" s="337">
        <f>B8*B18*B19</f>
        <v>78399.999999999985</v>
      </c>
      <c r="C44" s="338">
        <f>C18*C19*C8</f>
        <v>109759.99999999999</v>
      </c>
      <c r="D44" s="338">
        <f>D18*D19*D8</f>
        <v>0</v>
      </c>
      <c r="E44" s="316">
        <f t="shared" ref="E44:AM44" si="46">E18*E19*E8</f>
        <v>193535.99999999997</v>
      </c>
      <c r="F44" s="338">
        <f t="shared" si="46"/>
        <v>107519.99999999999</v>
      </c>
      <c r="G44" s="338">
        <f t="shared" si="46"/>
        <v>96767.999999999985</v>
      </c>
      <c r="H44" s="338">
        <f t="shared" si="46"/>
        <v>107519.99999999999</v>
      </c>
      <c r="I44" s="338">
        <f t="shared" si="46"/>
        <v>0</v>
      </c>
      <c r="J44" s="338">
        <f t="shared" si="46"/>
        <v>18815.999999999996</v>
      </c>
      <c r="K44" s="338">
        <f t="shared" si="46"/>
        <v>34495.999999999993</v>
      </c>
      <c r="L44" s="338">
        <f t="shared" si="46"/>
        <v>64511.999999999993</v>
      </c>
      <c r="M44" s="338">
        <f>M18*M19*M8</f>
        <v>10751.999999999998</v>
      </c>
      <c r="N44" s="338">
        <f t="shared" si="46"/>
        <v>86015.999999999985</v>
      </c>
      <c r="O44" s="338">
        <f>O18*O19*O8</f>
        <v>50175.999999999993</v>
      </c>
      <c r="P44" s="338">
        <f t="shared" si="46"/>
        <v>107519.99999999999</v>
      </c>
      <c r="Q44" s="338">
        <f t="shared" si="46"/>
        <v>30911.999999999996</v>
      </c>
      <c r="R44" s="338">
        <f t="shared" si="46"/>
        <v>109759.99999999999</v>
      </c>
      <c r="S44" s="338">
        <f t="shared" si="46"/>
        <v>250879.99999999997</v>
      </c>
      <c r="T44" s="338">
        <f t="shared" si="46"/>
        <v>297919.99999999994</v>
      </c>
      <c r="U44" s="338">
        <f>U18*U19*U8</f>
        <v>204287.99999999997</v>
      </c>
      <c r="V44" s="338">
        <f t="shared" si="46"/>
        <v>344959.99999999994</v>
      </c>
      <c r="W44" s="338">
        <f t="shared" ref="W44:AD44" si="47">W18*W19*W8</f>
        <v>78847.999999999985</v>
      </c>
      <c r="X44" s="338">
        <f t="shared" si="47"/>
        <v>0</v>
      </c>
      <c r="Y44" s="338">
        <f t="shared" si="47"/>
        <v>0</v>
      </c>
      <c r="Z44" s="338">
        <f t="shared" si="47"/>
        <v>0</v>
      </c>
      <c r="AA44" s="338">
        <f t="shared" si="47"/>
        <v>161279.99999999997</v>
      </c>
      <c r="AB44" s="338">
        <f t="shared" si="47"/>
        <v>69887.999999999985</v>
      </c>
      <c r="AC44" s="338">
        <f t="shared" si="47"/>
        <v>0</v>
      </c>
      <c r="AD44" s="338">
        <f t="shared" si="47"/>
        <v>0</v>
      </c>
      <c r="AE44" s="338">
        <f t="shared" si="46"/>
        <v>0</v>
      </c>
      <c r="AF44" s="338">
        <f t="shared" si="46"/>
        <v>0</v>
      </c>
      <c r="AG44" s="338">
        <f t="shared" si="46"/>
        <v>0</v>
      </c>
      <c r="AH44" s="338">
        <f t="shared" si="46"/>
        <v>0</v>
      </c>
      <c r="AI44" s="338">
        <f t="shared" si="46"/>
        <v>0</v>
      </c>
      <c r="AJ44" s="338">
        <f t="shared" si="46"/>
        <v>200703.99999999997</v>
      </c>
      <c r="AK44" s="338">
        <f t="shared" si="46"/>
        <v>50175.999999999993</v>
      </c>
      <c r="AL44" s="338">
        <f t="shared" si="46"/>
        <v>0</v>
      </c>
      <c r="AM44" s="338">
        <f t="shared" si="46"/>
        <v>0</v>
      </c>
      <c r="AN44" s="338">
        <f t="shared" ref="AN44:BH44" si="48">AN18*AN19*AN8</f>
        <v>0</v>
      </c>
      <c r="AO44" s="338">
        <f t="shared" si="48"/>
        <v>0</v>
      </c>
      <c r="AP44" s="338">
        <f t="shared" si="48"/>
        <v>0</v>
      </c>
      <c r="AQ44" s="338">
        <f t="shared" si="48"/>
        <v>0</v>
      </c>
      <c r="AR44" s="338">
        <f t="shared" si="48"/>
        <v>21503.999999999996</v>
      </c>
      <c r="AS44" s="338">
        <f>AS18*AS19*AS8</f>
        <v>0</v>
      </c>
      <c r="AT44" s="338">
        <f>AT18*AT19*AT8</f>
        <v>0</v>
      </c>
      <c r="AU44" s="338">
        <f t="shared" si="48"/>
        <v>0</v>
      </c>
      <c r="AV44" s="338">
        <f>AV18*AV19*AV8</f>
        <v>28671.999999999996</v>
      </c>
      <c r="AW44" s="338">
        <f>AW18*AW19*AW8</f>
        <v>16128</v>
      </c>
      <c r="AX44" s="338">
        <f>AX18*AX19*AX8</f>
        <v>35839.999999999993</v>
      </c>
      <c r="AY44" s="338">
        <f>AY18*AY19*AY8</f>
        <v>5375.9999999999991</v>
      </c>
      <c r="AZ44" s="338">
        <f>AZ18*AZ19*AZ8</f>
        <v>10751.999999999998</v>
      </c>
      <c r="BA44" s="338">
        <f t="shared" si="48"/>
        <v>18815.999999999996</v>
      </c>
      <c r="BB44" s="338">
        <f>BB18*BB19*BB8</f>
        <v>5375.9999999999991</v>
      </c>
      <c r="BC44" s="339">
        <f t="shared" si="48"/>
        <v>30911.999999999996</v>
      </c>
      <c r="BD44" s="338">
        <f>BD8*BD18*BD19</f>
        <v>44799.999999999993</v>
      </c>
      <c r="BE44" s="338">
        <f t="shared" si="48"/>
        <v>13439.999999999998</v>
      </c>
      <c r="BF44" s="338">
        <f t="shared" si="48"/>
        <v>16127.999999999996</v>
      </c>
      <c r="BG44" s="338">
        <f t="shared" si="48"/>
        <v>33600</v>
      </c>
      <c r="BH44" s="338">
        <f t="shared" si="48"/>
        <v>13440</v>
      </c>
      <c r="BI44" s="338">
        <f t="shared" ref="BI44:BQ44" si="49">BI18*BI19*BI8</f>
        <v>1612800</v>
      </c>
      <c r="BJ44" s="338">
        <f t="shared" si="49"/>
        <v>1612800</v>
      </c>
      <c r="BK44" s="338">
        <f t="shared" si="49"/>
        <v>35840</v>
      </c>
      <c r="BL44" s="338">
        <f t="shared" si="49"/>
        <v>36287.999999999993</v>
      </c>
      <c r="BM44" s="338">
        <f t="shared" si="49"/>
        <v>0</v>
      </c>
      <c r="BN44" s="338">
        <f t="shared" si="49"/>
        <v>67199.999999999985</v>
      </c>
      <c r="BO44" s="338">
        <f t="shared" si="49"/>
        <v>0</v>
      </c>
      <c r="BP44" s="338">
        <f t="shared" si="49"/>
        <v>0</v>
      </c>
      <c r="BQ44" s="338">
        <f t="shared" si="49"/>
        <v>141119.99999999997</v>
      </c>
      <c r="BR44" s="338">
        <f t="shared" ref="BR44:BX44" si="50">BR18*BR19*BR8</f>
        <v>13439.999999999998</v>
      </c>
      <c r="BS44" s="338">
        <f t="shared" si="50"/>
        <v>0</v>
      </c>
      <c r="BT44" s="338">
        <f t="shared" si="50"/>
        <v>0</v>
      </c>
      <c r="BU44" s="338">
        <f t="shared" si="50"/>
        <v>0</v>
      </c>
      <c r="BV44" s="338">
        <f t="shared" si="50"/>
        <v>0</v>
      </c>
      <c r="BW44" s="338">
        <f t="shared" si="50"/>
        <v>30911.999999999996</v>
      </c>
      <c r="BX44" s="338">
        <f t="shared" si="50"/>
        <v>5375.9999999999991</v>
      </c>
      <c r="BY44" s="338">
        <f>BY18*BY19*BY8</f>
        <v>0</v>
      </c>
      <c r="BZ44" s="338">
        <f>BZ18*BZ19*BZ8</f>
        <v>10751.999999999998</v>
      </c>
      <c r="CA44" s="338">
        <f>CA18*CA19*CA8</f>
        <v>67199.999999999985</v>
      </c>
      <c r="CB44" s="338">
        <f>CB18*CB19*CB8</f>
        <v>69887.999999999985</v>
      </c>
    </row>
    <row r="45" spans="1:80">
      <c r="A45" s="310" t="s">
        <v>546</v>
      </c>
      <c r="B45" s="337">
        <f>B8*B21</f>
        <v>4703.9999999999991</v>
      </c>
      <c r="C45" s="338">
        <f>C21*C8</f>
        <v>6585.5999999999995</v>
      </c>
      <c r="D45" s="338">
        <f>D21*D8</f>
        <v>0</v>
      </c>
      <c r="E45" s="316">
        <f t="shared" ref="E45:AM45" si="51">E21*E8</f>
        <v>11612.16</v>
      </c>
      <c r="F45" s="338">
        <f t="shared" si="51"/>
        <v>6451.1999999999989</v>
      </c>
      <c r="G45" s="338">
        <f t="shared" si="51"/>
        <v>5806.08</v>
      </c>
      <c r="H45" s="338">
        <f t="shared" si="51"/>
        <v>6451.2</v>
      </c>
      <c r="I45" s="338">
        <f t="shared" si="51"/>
        <v>0</v>
      </c>
      <c r="J45" s="338">
        <f t="shared" si="51"/>
        <v>1128.9599999999998</v>
      </c>
      <c r="K45" s="338">
        <f t="shared" si="51"/>
        <v>2069.7599999999998</v>
      </c>
      <c r="L45" s="338">
        <f t="shared" si="51"/>
        <v>3870.72</v>
      </c>
      <c r="M45" s="338">
        <f>M21*M8</f>
        <v>645.12</v>
      </c>
      <c r="N45" s="338">
        <f t="shared" si="51"/>
        <v>5160.9599999999991</v>
      </c>
      <c r="O45" s="338">
        <f>O21*O8</f>
        <v>3010.5599999999995</v>
      </c>
      <c r="P45" s="338">
        <f t="shared" si="51"/>
        <v>6451.1999999999989</v>
      </c>
      <c r="Q45" s="338">
        <f t="shared" si="51"/>
        <v>1854.7199999999998</v>
      </c>
      <c r="R45" s="338">
        <f t="shared" si="51"/>
        <v>6585.5999999999995</v>
      </c>
      <c r="S45" s="338">
        <f t="shared" si="51"/>
        <v>15052.8</v>
      </c>
      <c r="T45" s="338">
        <f t="shared" si="51"/>
        <v>17875.199999999997</v>
      </c>
      <c r="U45" s="338">
        <f>U21*U8</f>
        <v>12257.279999999997</v>
      </c>
      <c r="V45" s="338">
        <f t="shared" si="51"/>
        <v>20697.599999999995</v>
      </c>
      <c r="W45" s="338">
        <f t="shared" ref="W45:AD45" si="52">W21*W8</f>
        <v>4730.8799999999992</v>
      </c>
      <c r="X45" s="338">
        <f t="shared" si="52"/>
        <v>0</v>
      </c>
      <c r="Y45" s="338">
        <f t="shared" si="52"/>
        <v>0</v>
      </c>
      <c r="Z45" s="338">
        <f t="shared" si="52"/>
        <v>0</v>
      </c>
      <c r="AA45" s="338">
        <f t="shared" si="52"/>
        <v>9676.7999999999975</v>
      </c>
      <c r="AB45" s="338">
        <f t="shared" si="52"/>
        <v>4193.28</v>
      </c>
      <c r="AC45" s="338">
        <f t="shared" si="52"/>
        <v>0</v>
      </c>
      <c r="AD45" s="338">
        <f t="shared" si="52"/>
        <v>0</v>
      </c>
      <c r="AE45" s="338">
        <f t="shared" si="51"/>
        <v>0</v>
      </c>
      <c r="AF45" s="338">
        <f t="shared" si="51"/>
        <v>0</v>
      </c>
      <c r="AG45" s="338">
        <f t="shared" si="51"/>
        <v>0</v>
      </c>
      <c r="AH45" s="338">
        <f t="shared" si="51"/>
        <v>0</v>
      </c>
      <c r="AI45" s="338">
        <f t="shared" si="51"/>
        <v>0</v>
      </c>
      <c r="AJ45" s="338">
        <f t="shared" si="51"/>
        <v>12042.239999999998</v>
      </c>
      <c r="AK45" s="338">
        <f t="shared" si="51"/>
        <v>3010.5599999999995</v>
      </c>
      <c r="AL45" s="338">
        <f t="shared" si="51"/>
        <v>0</v>
      </c>
      <c r="AM45" s="338">
        <f t="shared" si="51"/>
        <v>0</v>
      </c>
      <c r="AN45" s="338">
        <f t="shared" ref="AN45:BH45" si="53">AN21*AN8</f>
        <v>0</v>
      </c>
      <c r="AO45" s="338">
        <f t="shared" si="53"/>
        <v>0</v>
      </c>
      <c r="AP45" s="338">
        <f t="shared" si="53"/>
        <v>0</v>
      </c>
      <c r="AQ45" s="338">
        <f t="shared" si="53"/>
        <v>0</v>
      </c>
      <c r="AR45" s="338">
        <f t="shared" si="53"/>
        <v>1290.2399999999998</v>
      </c>
      <c r="AS45" s="338">
        <f>AS21*AS8</f>
        <v>0</v>
      </c>
      <c r="AT45" s="338">
        <f>AT21*AT8</f>
        <v>0</v>
      </c>
      <c r="AU45" s="338">
        <f t="shared" si="53"/>
        <v>0</v>
      </c>
      <c r="AV45" s="338">
        <f>AV21*AV8</f>
        <v>1720.32</v>
      </c>
      <c r="AW45" s="338">
        <f>AW21*AW8</f>
        <v>967.67999999999984</v>
      </c>
      <c r="AX45" s="338">
        <f>AX21*AX8</f>
        <v>2150.4</v>
      </c>
      <c r="AY45" s="338">
        <f>AY21*AY8</f>
        <v>322.55999999999995</v>
      </c>
      <c r="AZ45" s="338">
        <f>AZ21*AZ8</f>
        <v>645.12</v>
      </c>
      <c r="BA45" s="338">
        <f t="shared" si="53"/>
        <v>1128.9599999999998</v>
      </c>
      <c r="BB45" s="338">
        <f>BB21*BB8</f>
        <v>322.56</v>
      </c>
      <c r="BC45" s="339">
        <f t="shared" si="53"/>
        <v>1854.7199999999998</v>
      </c>
      <c r="BD45" s="338">
        <f>BD8*BD21</f>
        <v>2687.9999999999995</v>
      </c>
      <c r="BE45" s="338">
        <f t="shared" si="53"/>
        <v>806.39999999999986</v>
      </c>
      <c r="BF45" s="338">
        <f t="shared" si="53"/>
        <v>967.67999999999984</v>
      </c>
      <c r="BG45" s="338">
        <f t="shared" si="53"/>
        <v>2015.9999999999998</v>
      </c>
      <c r="BH45" s="338">
        <f t="shared" si="53"/>
        <v>806.39999999999986</v>
      </c>
      <c r="BI45" s="338">
        <f t="shared" ref="BI45:BQ45" si="54">BI21*BI8</f>
        <v>96767.999999999985</v>
      </c>
      <c r="BJ45" s="338">
        <f t="shared" si="54"/>
        <v>96767.999999999985</v>
      </c>
      <c r="BK45" s="338">
        <f t="shared" si="54"/>
        <v>2150.3999999999996</v>
      </c>
      <c r="BL45" s="338">
        <f t="shared" si="54"/>
        <v>2177.2800000000002</v>
      </c>
      <c r="BM45" s="338">
        <f t="shared" si="54"/>
        <v>0</v>
      </c>
      <c r="BN45" s="338">
        <f t="shared" si="54"/>
        <v>4031.9999999999991</v>
      </c>
      <c r="BO45" s="338">
        <f t="shared" si="54"/>
        <v>0</v>
      </c>
      <c r="BP45" s="338">
        <f t="shared" si="54"/>
        <v>0</v>
      </c>
      <c r="BQ45" s="338">
        <f t="shared" si="54"/>
        <v>8467.2000000000007</v>
      </c>
      <c r="BR45" s="338">
        <f t="shared" ref="BR45:BX45" si="55">BR21*BR8</f>
        <v>806.39999999999986</v>
      </c>
      <c r="BS45" s="338">
        <f t="shared" si="55"/>
        <v>0</v>
      </c>
      <c r="BT45" s="338">
        <f t="shared" si="55"/>
        <v>0</v>
      </c>
      <c r="BU45" s="338">
        <f t="shared" si="55"/>
        <v>0</v>
      </c>
      <c r="BV45" s="338">
        <f t="shared" si="55"/>
        <v>0</v>
      </c>
      <c r="BW45" s="338">
        <f t="shared" si="55"/>
        <v>1854.7199999999998</v>
      </c>
      <c r="BX45" s="338">
        <f t="shared" si="55"/>
        <v>322.55999999999995</v>
      </c>
      <c r="BY45" s="338">
        <f>BY21*BY8</f>
        <v>0</v>
      </c>
      <c r="BZ45" s="338">
        <f>BZ21*BZ8</f>
        <v>645.11999999999989</v>
      </c>
      <c r="CA45" s="338">
        <f>CA21*CA8</f>
        <v>4031.9999999999991</v>
      </c>
      <c r="CB45" s="338">
        <f>CB21*CB8</f>
        <v>4193.28</v>
      </c>
    </row>
    <row r="46" spans="1:80">
      <c r="A46" s="310" t="s">
        <v>531</v>
      </c>
      <c r="B46" s="337">
        <f>B22*B23</f>
        <v>1600</v>
      </c>
      <c r="C46" s="338">
        <f>C22*C23</f>
        <v>2820</v>
      </c>
      <c r="D46" s="338">
        <f>D22*D23</f>
        <v>0</v>
      </c>
      <c r="E46" s="316">
        <f t="shared" ref="E46:AM46" si="56">E22*E23</f>
        <v>14100</v>
      </c>
      <c r="F46" s="338">
        <f t="shared" si="56"/>
        <v>5740</v>
      </c>
      <c r="G46" s="338">
        <f t="shared" si="56"/>
        <v>4560</v>
      </c>
      <c r="H46" s="338">
        <f t="shared" si="56"/>
        <v>5740</v>
      </c>
      <c r="I46" s="338">
        <f t="shared" si="56"/>
        <v>0</v>
      </c>
      <c r="J46" s="338">
        <f t="shared" si="56"/>
        <v>0</v>
      </c>
      <c r="K46" s="338">
        <f t="shared" si="56"/>
        <v>0</v>
      </c>
      <c r="L46" s="338">
        <f t="shared" si="56"/>
        <v>0</v>
      </c>
      <c r="M46" s="338">
        <f>M22*M23</f>
        <v>0</v>
      </c>
      <c r="N46" s="338">
        <f t="shared" si="56"/>
        <v>3000</v>
      </c>
      <c r="O46" s="338">
        <f>O22*O23</f>
        <v>0</v>
      </c>
      <c r="P46" s="338">
        <f t="shared" si="56"/>
        <v>20400</v>
      </c>
      <c r="Q46" s="338">
        <f t="shared" si="56"/>
        <v>1000</v>
      </c>
      <c r="R46" s="338">
        <f t="shared" si="56"/>
        <v>5640</v>
      </c>
      <c r="S46" s="338">
        <f t="shared" si="56"/>
        <v>7650</v>
      </c>
      <c r="T46" s="338">
        <f t="shared" si="56"/>
        <v>12750</v>
      </c>
      <c r="U46" s="338">
        <f>U22*U23</f>
        <v>7650</v>
      </c>
      <c r="V46" s="338">
        <f t="shared" si="56"/>
        <v>12750</v>
      </c>
      <c r="W46" s="338">
        <f t="shared" ref="W46:AD46" si="57">W22*W23</f>
        <v>5100</v>
      </c>
      <c r="X46" s="338">
        <f t="shared" si="57"/>
        <v>5700</v>
      </c>
      <c r="Y46" s="338">
        <f t="shared" si="57"/>
        <v>3800</v>
      </c>
      <c r="Z46" s="338">
        <f t="shared" si="57"/>
        <v>1900</v>
      </c>
      <c r="AA46" s="338">
        <f t="shared" si="57"/>
        <v>5740</v>
      </c>
      <c r="AB46" s="338">
        <f t="shared" si="57"/>
        <v>20400</v>
      </c>
      <c r="AC46" s="338">
        <f t="shared" si="57"/>
        <v>0</v>
      </c>
      <c r="AD46" s="338">
        <f t="shared" si="57"/>
        <v>0</v>
      </c>
      <c r="AE46" s="338">
        <f t="shared" si="56"/>
        <v>0</v>
      </c>
      <c r="AF46" s="338">
        <f t="shared" si="56"/>
        <v>0</v>
      </c>
      <c r="AG46" s="338">
        <f t="shared" si="56"/>
        <v>0</v>
      </c>
      <c r="AH46" s="338">
        <f t="shared" si="56"/>
        <v>380</v>
      </c>
      <c r="AI46" s="338">
        <f t="shared" si="56"/>
        <v>0</v>
      </c>
      <c r="AJ46" s="338">
        <f t="shared" si="56"/>
        <v>18700</v>
      </c>
      <c r="AK46" s="338">
        <f t="shared" si="56"/>
        <v>6000</v>
      </c>
      <c r="AL46" s="338">
        <f t="shared" si="56"/>
        <v>0</v>
      </c>
      <c r="AM46" s="338">
        <f t="shared" si="56"/>
        <v>0</v>
      </c>
      <c r="AN46" s="338">
        <f t="shared" ref="AN46:BH46" si="58">AN22*AN23</f>
        <v>0</v>
      </c>
      <c r="AO46" s="338">
        <f t="shared" si="58"/>
        <v>0</v>
      </c>
      <c r="AP46" s="338">
        <f t="shared" si="58"/>
        <v>0</v>
      </c>
      <c r="AQ46" s="338">
        <f t="shared" si="58"/>
        <v>0</v>
      </c>
      <c r="AR46" s="338">
        <f t="shared" si="58"/>
        <v>0</v>
      </c>
      <c r="AS46" s="338">
        <f>AS22*AS23</f>
        <v>0</v>
      </c>
      <c r="AT46" s="338">
        <f>AT22*AT23</f>
        <v>3800</v>
      </c>
      <c r="AU46" s="338">
        <f t="shared" si="58"/>
        <v>0</v>
      </c>
      <c r="AV46" s="338">
        <f>AV22*AV23</f>
        <v>1880</v>
      </c>
      <c r="AW46" s="338">
        <f>AW22*AW23</f>
        <v>250</v>
      </c>
      <c r="AX46" s="338">
        <f>AX22*AX23</f>
        <v>3000</v>
      </c>
      <c r="AY46" s="338">
        <f>AY22*AY23</f>
        <v>0</v>
      </c>
      <c r="AZ46" s="338">
        <f>AZ22*AZ23</f>
        <v>0</v>
      </c>
      <c r="BA46" s="338">
        <f t="shared" si="58"/>
        <v>0</v>
      </c>
      <c r="BB46" s="338">
        <f>BB22*BB23</f>
        <v>0</v>
      </c>
      <c r="BC46" s="339">
        <f t="shared" si="58"/>
        <v>1000</v>
      </c>
      <c r="BD46" s="338">
        <f>BD22*BD23</f>
        <v>1600</v>
      </c>
      <c r="BE46" s="338">
        <f t="shared" si="58"/>
        <v>1000</v>
      </c>
      <c r="BF46" s="338">
        <f t="shared" si="58"/>
        <v>1000</v>
      </c>
      <c r="BG46" s="338">
        <f t="shared" si="58"/>
        <v>0</v>
      </c>
      <c r="BH46" s="338">
        <f t="shared" si="58"/>
        <v>0</v>
      </c>
      <c r="BI46" s="338">
        <f t="shared" ref="BI46:BQ46" si="59">BI22*BI23</f>
        <v>0</v>
      </c>
      <c r="BJ46" s="338">
        <f t="shared" si="59"/>
        <v>0</v>
      </c>
      <c r="BK46" s="338">
        <f t="shared" si="59"/>
        <v>0</v>
      </c>
      <c r="BL46" s="338">
        <f t="shared" si="59"/>
        <v>20400</v>
      </c>
      <c r="BM46" s="338">
        <f t="shared" si="59"/>
        <v>0</v>
      </c>
      <c r="BN46" s="338">
        <f t="shared" si="59"/>
        <v>0</v>
      </c>
      <c r="BO46" s="338">
        <f t="shared" si="59"/>
        <v>0</v>
      </c>
      <c r="BP46" s="338">
        <f t="shared" si="59"/>
        <v>0</v>
      </c>
      <c r="BQ46" s="338">
        <f t="shared" si="59"/>
        <v>7650</v>
      </c>
      <c r="BR46" s="338">
        <f t="shared" ref="BR46:BX46" si="60">BR22*BR23</f>
        <v>0</v>
      </c>
      <c r="BS46" s="338">
        <f t="shared" si="60"/>
        <v>0</v>
      </c>
      <c r="BT46" s="338">
        <f t="shared" si="60"/>
        <v>0</v>
      </c>
      <c r="BU46" s="338">
        <f t="shared" si="60"/>
        <v>0</v>
      </c>
      <c r="BV46" s="338">
        <f t="shared" si="60"/>
        <v>0</v>
      </c>
      <c r="BW46" s="338">
        <f t="shared" si="60"/>
        <v>1000</v>
      </c>
      <c r="BX46" s="338">
        <f t="shared" si="60"/>
        <v>0</v>
      </c>
      <c r="BY46" s="338">
        <f>BY22*BY23</f>
        <v>0</v>
      </c>
      <c r="BZ46" s="338">
        <f>BZ22*BZ23</f>
        <v>200</v>
      </c>
      <c r="CA46" s="338">
        <f>CA22*CA23</f>
        <v>0</v>
      </c>
      <c r="CB46" s="338">
        <f>CB22*CB23</f>
        <v>1200</v>
      </c>
    </row>
    <row r="47" spans="1:80">
      <c r="A47" s="310" t="s">
        <v>547</v>
      </c>
      <c r="B47" s="337">
        <f>B27*B28</f>
        <v>0</v>
      </c>
      <c r="C47" s="338">
        <f>C27*C28</f>
        <v>0</v>
      </c>
      <c r="D47" s="338">
        <f>D27*D28</f>
        <v>0</v>
      </c>
      <c r="E47" s="316">
        <f t="shared" ref="E47:AM47" si="61">E27*E28</f>
        <v>0</v>
      </c>
      <c r="F47" s="338">
        <f t="shared" si="61"/>
        <v>0</v>
      </c>
      <c r="G47" s="338">
        <f t="shared" si="61"/>
        <v>0</v>
      </c>
      <c r="H47" s="338">
        <f t="shared" si="61"/>
        <v>0</v>
      </c>
      <c r="I47" s="338">
        <f t="shared" si="61"/>
        <v>0</v>
      </c>
      <c r="J47" s="338">
        <f t="shared" si="61"/>
        <v>0</v>
      </c>
      <c r="K47" s="338">
        <f t="shared" si="61"/>
        <v>0</v>
      </c>
      <c r="L47" s="338">
        <f t="shared" si="61"/>
        <v>0</v>
      </c>
      <c r="M47" s="338">
        <f>M27*M28</f>
        <v>0</v>
      </c>
      <c r="N47" s="338">
        <f t="shared" si="61"/>
        <v>8000</v>
      </c>
      <c r="O47" s="338">
        <f>O27*O28</f>
        <v>0</v>
      </c>
      <c r="P47" s="338">
        <f t="shared" si="61"/>
        <v>0</v>
      </c>
      <c r="Q47" s="338">
        <f t="shared" si="61"/>
        <v>0</v>
      </c>
      <c r="R47" s="338">
        <f t="shared" si="61"/>
        <v>0</v>
      </c>
      <c r="S47" s="338">
        <f t="shared" si="61"/>
        <v>0</v>
      </c>
      <c r="T47" s="338">
        <f t="shared" si="61"/>
        <v>0</v>
      </c>
      <c r="U47" s="338">
        <f>U27*U28</f>
        <v>0</v>
      </c>
      <c r="V47" s="338">
        <f t="shared" si="61"/>
        <v>0</v>
      </c>
      <c r="W47" s="338">
        <f t="shared" ref="W47:AD47" si="62">W27*W28</f>
        <v>0</v>
      </c>
      <c r="X47" s="338">
        <f t="shared" si="62"/>
        <v>0</v>
      </c>
      <c r="Y47" s="338">
        <f t="shared" si="62"/>
        <v>0</v>
      </c>
      <c r="Z47" s="338">
        <f t="shared" si="62"/>
        <v>0</v>
      </c>
      <c r="AA47" s="338">
        <f t="shared" si="62"/>
        <v>0</v>
      </c>
      <c r="AB47" s="338">
        <f t="shared" si="62"/>
        <v>0</v>
      </c>
      <c r="AC47" s="338">
        <f t="shared" si="62"/>
        <v>0</v>
      </c>
      <c r="AD47" s="338">
        <f t="shared" si="62"/>
        <v>0</v>
      </c>
      <c r="AE47" s="338">
        <f t="shared" si="61"/>
        <v>0</v>
      </c>
      <c r="AF47" s="338">
        <f t="shared" si="61"/>
        <v>0</v>
      </c>
      <c r="AG47" s="338">
        <f t="shared" si="61"/>
        <v>0</v>
      </c>
      <c r="AH47" s="338">
        <f t="shared" si="61"/>
        <v>0</v>
      </c>
      <c r="AI47" s="338">
        <f t="shared" si="61"/>
        <v>0</v>
      </c>
      <c r="AJ47" s="338">
        <f t="shared" si="61"/>
        <v>0</v>
      </c>
      <c r="AK47" s="338">
        <f t="shared" si="61"/>
        <v>0</v>
      </c>
      <c r="AL47" s="338">
        <f t="shared" si="61"/>
        <v>0</v>
      </c>
      <c r="AM47" s="338">
        <f t="shared" si="61"/>
        <v>0</v>
      </c>
      <c r="AN47" s="338">
        <f t="shared" ref="AN47:BH47" si="63">AN27*AN28</f>
        <v>0</v>
      </c>
      <c r="AO47" s="338">
        <f t="shared" si="63"/>
        <v>0</v>
      </c>
      <c r="AP47" s="338">
        <f t="shared" si="63"/>
        <v>27900</v>
      </c>
      <c r="AQ47" s="338">
        <f t="shared" si="63"/>
        <v>0</v>
      </c>
      <c r="AR47" s="338">
        <f t="shared" si="63"/>
        <v>0</v>
      </c>
      <c r="AS47" s="338">
        <f>AS27*AS28</f>
        <v>7000</v>
      </c>
      <c r="AT47" s="338">
        <f>AT27*AT28</f>
        <v>0</v>
      </c>
      <c r="AU47" s="338">
        <f t="shared" si="63"/>
        <v>0</v>
      </c>
      <c r="AV47" s="338">
        <f>AV27*AV28</f>
        <v>0</v>
      </c>
      <c r="AW47" s="338">
        <f>AW27*AW28</f>
        <v>0</v>
      </c>
      <c r="AX47" s="338">
        <f>AX27*AX28</f>
        <v>0</v>
      </c>
      <c r="AY47" s="338">
        <f>AY27*AY28</f>
        <v>0</v>
      </c>
      <c r="AZ47" s="338">
        <f>AZ27*AZ28</f>
        <v>0</v>
      </c>
      <c r="BA47" s="338">
        <f t="shared" si="63"/>
        <v>0</v>
      </c>
      <c r="BB47" s="338">
        <f>BB27*BB28</f>
        <v>0</v>
      </c>
      <c r="BC47" s="339">
        <f t="shared" si="63"/>
        <v>0</v>
      </c>
      <c r="BD47" s="338">
        <f>BD27*BD28</f>
        <v>0</v>
      </c>
      <c r="BE47" s="338">
        <f t="shared" si="63"/>
        <v>0</v>
      </c>
      <c r="BF47" s="338">
        <f t="shared" si="63"/>
        <v>0</v>
      </c>
      <c r="BG47" s="338">
        <f t="shared" si="63"/>
        <v>0</v>
      </c>
      <c r="BH47" s="338">
        <f t="shared" si="63"/>
        <v>0</v>
      </c>
      <c r="BI47" s="338">
        <f t="shared" ref="BI47:BQ47" si="64">BI27*BI28</f>
        <v>0</v>
      </c>
      <c r="BJ47" s="338">
        <f t="shared" si="64"/>
        <v>0</v>
      </c>
      <c r="BK47" s="338">
        <f t="shared" si="64"/>
        <v>0</v>
      </c>
      <c r="BL47" s="338">
        <f t="shared" si="64"/>
        <v>0</v>
      </c>
      <c r="BM47" s="338">
        <f t="shared" si="64"/>
        <v>0</v>
      </c>
      <c r="BN47" s="338">
        <f t="shared" si="64"/>
        <v>0</v>
      </c>
      <c r="BO47" s="338">
        <f t="shared" si="64"/>
        <v>0</v>
      </c>
      <c r="BP47" s="338">
        <f t="shared" si="64"/>
        <v>0</v>
      </c>
      <c r="BQ47" s="338">
        <f t="shared" si="64"/>
        <v>0</v>
      </c>
      <c r="BR47" s="338">
        <f t="shared" ref="BR47:BX47" si="65">BR27*BR28</f>
        <v>0</v>
      </c>
      <c r="BS47" s="338">
        <f t="shared" si="65"/>
        <v>0</v>
      </c>
      <c r="BT47" s="338">
        <f t="shared" si="65"/>
        <v>0</v>
      </c>
      <c r="BU47" s="338">
        <f t="shared" si="65"/>
        <v>0</v>
      </c>
      <c r="BV47" s="338">
        <f t="shared" si="65"/>
        <v>0</v>
      </c>
      <c r="BW47" s="338">
        <f t="shared" si="65"/>
        <v>0</v>
      </c>
      <c r="BX47" s="338">
        <f t="shared" si="65"/>
        <v>0</v>
      </c>
      <c r="BY47" s="338">
        <f>BY27*BY28</f>
        <v>0</v>
      </c>
      <c r="BZ47" s="338">
        <f>BZ27*BZ28</f>
        <v>0</v>
      </c>
      <c r="CA47" s="338">
        <f>CA27*CA28</f>
        <v>0</v>
      </c>
      <c r="CB47" s="338">
        <f>CB27*CB28</f>
        <v>0</v>
      </c>
    </row>
    <row r="48" spans="1:80">
      <c r="A48" s="351" t="s">
        <v>543</v>
      </c>
      <c r="B48" s="352">
        <f>B29+B30</f>
        <v>0</v>
      </c>
      <c r="C48" s="353">
        <f>C30+C29</f>
        <v>0</v>
      </c>
      <c r="D48" s="353">
        <f>D30+D29</f>
        <v>2000</v>
      </c>
      <c r="E48" s="354">
        <f t="shared" ref="E48:AM48" si="66">E30+E29</f>
        <v>0</v>
      </c>
      <c r="F48" s="353">
        <f t="shared" si="66"/>
        <v>0</v>
      </c>
      <c r="G48" s="353">
        <f t="shared" si="66"/>
        <v>0</v>
      </c>
      <c r="H48" s="353">
        <f t="shared" si="66"/>
        <v>0</v>
      </c>
      <c r="I48" s="353">
        <f t="shared" si="66"/>
        <v>0</v>
      </c>
      <c r="J48" s="353">
        <f t="shared" si="66"/>
        <v>0</v>
      </c>
      <c r="K48" s="353">
        <f t="shared" si="66"/>
        <v>0</v>
      </c>
      <c r="L48" s="353">
        <f t="shared" si="66"/>
        <v>0</v>
      </c>
      <c r="M48" s="353">
        <f>M30+M29</f>
        <v>1</v>
      </c>
      <c r="N48" s="353">
        <f t="shared" si="66"/>
        <v>2000</v>
      </c>
      <c r="O48" s="353">
        <f>O30+O29</f>
        <v>0</v>
      </c>
      <c r="P48" s="353">
        <f t="shared" si="66"/>
        <v>0</v>
      </c>
      <c r="Q48" s="353">
        <f t="shared" si="66"/>
        <v>0</v>
      </c>
      <c r="R48" s="353">
        <f t="shared" si="66"/>
        <v>240</v>
      </c>
      <c r="S48" s="353">
        <f t="shared" si="66"/>
        <v>380</v>
      </c>
      <c r="T48" s="353">
        <f t="shared" si="66"/>
        <v>625</v>
      </c>
      <c r="U48" s="353">
        <f>U30+U29</f>
        <v>0</v>
      </c>
      <c r="V48" s="353">
        <f t="shared" si="66"/>
        <v>625</v>
      </c>
      <c r="W48" s="353">
        <f t="shared" ref="W48:AD48" si="67">W30+W29</f>
        <v>0</v>
      </c>
      <c r="X48" s="353">
        <f t="shared" si="67"/>
        <v>380</v>
      </c>
      <c r="Y48" s="353">
        <f t="shared" si="67"/>
        <v>380</v>
      </c>
      <c r="Z48" s="353">
        <f t="shared" si="67"/>
        <v>380</v>
      </c>
      <c r="AA48" s="353">
        <f t="shared" si="67"/>
        <v>0</v>
      </c>
      <c r="AB48" s="353">
        <f t="shared" si="67"/>
        <v>0</v>
      </c>
      <c r="AC48" s="353">
        <f t="shared" si="67"/>
        <v>0</v>
      </c>
      <c r="AD48" s="353">
        <f t="shared" si="67"/>
        <v>1500</v>
      </c>
      <c r="AE48" s="353">
        <f t="shared" si="66"/>
        <v>0</v>
      </c>
      <c r="AF48" s="353">
        <f t="shared" si="66"/>
        <v>0</v>
      </c>
      <c r="AG48" s="353">
        <f t="shared" si="66"/>
        <v>0</v>
      </c>
      <c r="AH48" s="353">
        <f t="shared" si="66"/>
        <v>0</v>
      </c>
      <c r="AI48" s="353">
        <f t="shared" si="66"/>
        <v>0</v>
      </c>
      <c r="AJ48" s="353">
        <f t="shared" si="66"/>
        <v>380</v>
      </c>
      <c r="AK48" s="353">
        <f t="shared" si="66"/>
        <v>0</v>
      </c>
      <c r="AL48" s="353">
        <f t="shared" si="66"/>
        <v>0</v>
      </c>
      <c r="AM48" s="353">
        <f t="shared" si="66"/>
        <v>0</v>
      </c>
      <c r="AN48" s="353">
        <f t="shared" ref="AN48:BH48" si="68">AN30+AN29</f>
        <v>3000</v>
      </c>
      <c r="AO48" s="353">
        <f t="shared" si="68"/>
        <v>3000</v>
      </c>
      <c r="AP48" s="353">
        <f t="shared" si="68"/>
        <v>0</v>
      </c>
      <c r="AQ48" s="353">
        <f t="shared" si="68"/>
        <v>0</v>
      </c>
      <c r="AR48" s="353">
        <f t="shared" si="68"/>
        <v>0</v>
      </c>
      <c r="AS48" s="353">
        <f>AS30+AS29</f>
        <v>0</v>
      </c>
      <c r="AT48" s="353">
        <f>AT30+AT29</f>
        <v>380</v>
      </c>
      <c r="AU48" s="353">
        <f t="shared" si="68"/>
        <v>0</v>
      </c>
      <c r="AV48" s="353">
        <f>AV30+AV29</f>
        <v>2000</v>
      </c>
      <c r="AW48" s="353">
        <f>AW30+AW29</f>
        <v>0</v>
      </c>
      <c r="AX48" s="353">
        <f>AX30+AX29</f>
        <v>0</v>
      </c>
      <c r="AY48" s="353">
        <f>AY30+AY29</f>
        <v>0</v>
      </c>
      <c r="AZ48" s="353">
        <f>AZ30+AZ29</f>
        <v>0</v>
      </c>
      <c r="BA48" s="353">
        <f t="shared" si="68"/>
        <v>0</v>
      </c>
      <c r="BB48" s="353">
        <f>BB30+BB29</f>
        <v>2500</v>
      </c>
      <c r="BC48" s="355">
        <f t="shared" si="68"/>
        <v>0</v>
      </c>
      <c r="BD48" s="353">
        <f>BD29+BD30</f>
        <v>0</v>
      </c>
      <c r="BE48" s="353">
        <f t="shared" si="68"/>
        <v>0</v>
      </c>
      <c r="BF48" s="353">
        <f t="shared" si="68"/>
        <v>0</v>
      </c>
      <c r="BG48" s="353">
        <f t="shared" si="68"/>
        <v>0</v>
      </c>
      <c r="BH48" s="353">
        <f t="shared" si="68"/>
        <v>0</v>
      </c>
      <c r="BI48" s="353">
        <f t="shared" ref="BI48:BQ48" si="69">BI30+BI29</f>
        <v>0</v>
      </c>
      <c r="BJ48" s="353">
        <f t="shared" si="69"/>
        <v>0</v>
      </c>
      <c r="BK48" s="353">
        <f t="shared" si="69"/>
        <v>0</v>
      </c>
      <c r="BL48" s="353">
        <f t="shared" si="69"/>
        <v>0</v>
      </c>
      <c r="BM48" s="353">
        <f t="shared" si="69"/>
        <v>0</v>
      </c>
      <c r="BN48" s="353">
        <f t="shared" si="69"/>
        <v>0</v>
      </c>
      <c r="BO48" s="353">
        <f t="shared" si="69"/>
        <v>0</v>
      </c>
      <c r="BP48" s="353">
        <f t="shared" si="69"/>
        <v>0</v>
      </c>
      <c r="BQ48" s="353">
        <f t="shared" si="69"/>
        <v>380</v>
      </c>
      <c r="BR48" s="353">
        <f t="shared" ref="BR48:BX48" si="70">BR30+BR29</f>
        <v>7</v>
      </c>
      <c r="BS48" s="353">
        <f t="shared" si="70"/>
        <v>0</v>
      </c>
      <c r="BT48" s="353">
        <f t="shared" si="70"/>
        <v>0</v>
      </c>
      <c r="BU48" s="353">
        <f t="shared" si="70"/>
        <v>0</v>
      </c>
      <c r="BV48" s="353">
        <f t="shared" si="70"/>
        <v>0</v>
      </c>
      <c r="BW48" s="353">
        <f t="shared" si="70"/>
        <v>0</v>
      </c>
      <c r="BX48" s="353">
        <f t="shared" si="70"/>
        <v>0</v>
      </c>
      <c r="BY48" s="353">
        <f>BY30+BY29</f>
        <v>0</v>
      </c>
      <c r="BZ48" s="353">
        <f>BZ30+BZ29</f>
        <v>0</v>
      </c>
      <c r="CA48" s="353">
        <f>CA30+CA29</f>
        <v>0</v>
      </c>
      <c r="CB48" s="353">
        <f>CB30+CB29</f>
        <v>0</v>
      </c>
    </row>
    <row r="49" spans="1:80" ht="18.75" customHeight="1">
      <c r="A49" s="341" t="s">
        <v>548</v>
      </c>
      <c r="B49" s="342">
        <f>ROUND(SUM(B44:B48),2)</f>
        <v>84704</v>
      </c>
      <c r="C49" s="343">
        <f>ROUND(SUM(C44:C48),2)</f>
        <v>119165.6</v>
      </c>
      <c r="D49" s="343">
        <f>ROUND(SUM(D44:D48),2)</f>
        <v>2000</v>
      </c>
      <c r="E49" s="343">
        <f t="shared" ref="E49:AM49" si="71">ROUND(SUM(E44:E48),2)</f>
        <v>219248.16</v>
      </c>
      <c r="F49" s="343">
        <f t="shared" si="71"/>
        <v>119711.2</v>
      </c>
      <c r="G49" s="343">
        <f t="shared" si="71"/>
        <v>107134.08</v>
      </c>
      <c r="H49" s="343">
        <f t="shared" si="71"/>
        <v>119711.2</v>
      </c>
      <c r="I49" s="343">
        <f t="shared" si="71"/>
        <v>0</v>
      </c>
      <c r="J49" s="343">
        <f t="shared" si="71"/>
        <v>19944.96</v>
      </c>
      <c r="K49" s="343">
        <f t="shared" si="71"/>
        <v>36565.760000000002</v>
      </c>
      <c r="L49" s="343">
        <f t="shared" si="71"/>
        <v>68382.720000000001</v>
      </c>
      <c r="M49" s="343">
        <f>ROUND(SUM(M44:M48),2)</f>
        <v>11398.12</v>
      </c>
      <c r="N49" s="343">
        <f t="shared" si="71"/>
        <v>104176.96000000001</v>
      </c>
      <c r="O49" s="343">
        <f>ROUND(SUM(O44:O48),2)</f>
        <v>53186.559999999998</v>
      </c>
      <c r="P49" s="343">
        <f t="shared" si="71"/>
        <v>134371.20000000001</v>
      </c>
      <c r="Q49" s="343">
        <f t="shared" si="71"/>
        <v>33766.720000000001</v>
      </c>
      <c r="R49" s="343">
        <f t="shared" si="71"/>
        <v>122225.60000000001</v>
      </c>
      <c r="S49" s="343">
        <f t="shared" si="71"/>
        <v>273962.8</v>
      </c>
      <c r="T49" s="343">
        <f t="shared" si="71"/>
        <v>329170.2</v>
      </c>
      <c r="U49" s="343">
        <f>ROUND(SUM(U44:U48),2)</f>
        <v>224195.28</v>
      </c>
      <c r="V49" s="343">
        <f t="shared" si="71"/>
        <v>379032.6</v>
      </c>
      <c r="W49" s="343">
        <f t="shared" ref="W49:AD49" si="72">ROUND(SUM(W44:W48),2)</f>
        <v>88678.88</v>
      </c>
      <c r="X49" s="343">
        <f t="shared" si="72"/>
        <v>6080</v>
      </c>
      <c r="Y49" s="343">
        <f t="shared" si="72"/>
        <v>4180</v>
      </c>
      <c r="Z49" s="343">
        <f t="shared" si="72"/>
        <v>2280</v>
      </c>
      <c r="AA49" s="343">
        <f t="shared" si="72"/>
        <v>176696.8</v>
      </c>
      <c r="AB49" s="343">
        <f t="shared" si="71"/>
        <v>94481.279999999999</v>
      </c>
      <c r="AC49" s="343">
        <f t="shared" si="72"/>
        <v>0</v>
      </c>
      <c r="AD49" s="343">
        <f t="shared" si="72"/>
        <v>1500</v>
      </c>
      <c r="AE49" s="343">
        <f t="shared" si="71"/>
        <v>0</v>
      </c>
      <c r="AF49" s="343">
        <f t="shared" si="71"/>
        <v>0</v>
      </c>
      <c r="AG49" s="343">
        <f t="shared" si="71"/>
        <v>0</v>
      </c>
      <c r="AH49" s="343">
        <f t="shared" si="71"/>
        <v>380</v>
      </c>
      <c r="AI49" s="343">
        <f t="shared" si="71"/>
        <v>0</v>
      </c>
      <c r="AJ49" s="343">
        <f t="shared" si="71"/>
        <v>231826.24</v>
      </c>
      <c r="AK49" s="343">
        <f t="shared" si="71"/>
        <v>59186.559999999998</v>
      </c>
      <c r="AL49" s="343">
        <f t="shared" si="71"/>
        <v>0</v>
      </c>
      <c r="AM49" s="343">
        <f t="shared" si="71"/>
        <v>0</v>
      </c>
      <c r="AN49" s="343">
        <f t="shared" ref="AN49:BJ49" si="73">ROUND(SUM(AN44:AN48),2)</f>
        <v>3000</v>
      </c>
      <c r="AO49" s="343">
        <f t="shared" si="73"/>
        <v>3000</v>
      </c>
      <c r="AP49" s="343">
        <f t="shared" si="73"/>
        <v>27900</v>
      </c>
      <c r="AQ49" s="343">
        <f t="shared" si="73"/>
        <v>0</v>
      </c>
      <c r="AR49" s="343">
        <f t="shared" si="73"/>
        <v>22794.240000000002</v>
      </c>
      <c r="AS49" s="343">
        <f t="shared" si="73"/>
        <v>7000</v>
      </c>
      <c r="AT49" s="343">
        <f t="shared" si="73"/>
        <v>4180</v>
      </c>
      <c r="AU49" s="343">
        <f t="shared" si="73"/>
        <v>0</v>
      </c>
      <c r="AV49" s="343">
        <f>ROUND(SUM(AV44:AV48),2)</f>
        <v>34272.32</v>
      </c>
      <c r="AW49" s="343">
        <f>ROUND(SUM(AW44:AW48),2)</f>
        <v>17345.68</v>
      </c>
      <c r="AX49" s="343">
        <f>ROUND(SUM(AX44:AX48),2)</f>
        <v>40990.400000000001</v>
      </c>
      <c r="AY49" s="343">
        <f>ROUND(SUM(AY44:AY48),2)</f>
        <v>5698.56</v>
      </c>
      <c r="AZ49" s="343">
        <f>ROUND(SUM(AZ44:AZ48),2)</f>
        <v>11397.12</v>
      </c>
      <c r="BA49" s="343">
        <f t="shared" si="73"/>
        <v>19944.96</v>
      </c>
      <c r="BB49" s="343">
        <f>ROUND(SUM(BB44:BB48),2)</f>
        <v>8198.56</v>
      </c>
      <c r="BC49" s="344">
        <f t="shared" si="73"/>
        <v>33766.720000000001</v>
      </c>
      <c r="BD49" s="343">
        <f>ROUND(SUM(BD44:BD48),2)</f>
        <v>49088</v>
      </c>
      <c r="BE49" s="343">
        <f t="shared" si="73"/>
        <v>15246.4</v>
      </c>
      <c r="BF49" s="343">
        <f t="shared" si="73"/>
        <v>18095.68</v>
      </c>
      <c r="BG49" s="343">
        <f t="shared" si="73"/>
        <v>35616</v>
      </c>
      <c r="BH49" s="343">
        <f t="shared" si="73"/>
        <v>14246.4</v>
      </c>
      <c r="BI49" s="343">
        <f t="shared" si="73"/>
        <v>1709568</v>
      </c>
      <c r="BJ49" s="343">
        <f t="shared" si="73"/>
        <v>1709568</v>
      </c>
      <c r="BK49" s="343">
        <f t="shared" ref="BK49:BT49" si="74">ROUND(SUM(BK44:BK48),2)</f>
        <v>37990.400000000001</v>
      </c>
      <c r="BL49" s="343">
        <f t="shared" si="74"/>
        <v>58865.279999999999</v>
      </c>
      <c r="BM49" s="343">
        <f t="shared" si="74"/>
        <v>0</v>
      </c>
      <c r="BN49" s="343">
        <f t="shared" si="74"/>
        <v>71232</v>
      </c>
      <c r="BO49" s="343">
        <f t="shared" si="74"/>
        <v>0</v>
      </c>
      <c r="BP49" s="343">
        <f t="shared" si="74"/>
        <v>0</v>
      </c>
      <c r="BQ49" s="343">
        <f t="shared" si="74"/>
        <v>157617.20000000001</v>
      </c>
      <c r="BR49" s="343">
        <f t="shared" si="74"/>
        <v>14253.4</v>
      </c>
      <c r="BS49" s="343">
        <f t="shared" si="74"/>
        <v>0</v>
      </c>
      <c r="BT49" s="343">
        <f t="shared" si="74"/>
        <v>0</v>
      </c>
      <c r="BU49" s="343">
        <f t="shared" ref="BU49:CA49" si="75">ROUND(SUM(BU44:BU48),2)</f>
        <v>0</v>
      </c>
      <c r="BV49" s="343">
        <f t="shared" si="75"/>
        <v>0</v>
      </c>
      <c r="BW49" s="343">
        <f t="shared" si="75"/>
        <v>33766.720000000001</v>
      </c>
      <c r="BX49" s="343">
        <f t="shared" si="75"/>
        <v>5698.56</v>
      </c>
      <c r="BY49" s="343">
        <f t="shared" si="75"/>
        <v>0</v>
      </c>
      <c r="BZ49" s="343">
        <f t="shared" si="75"/>
        <v>11597.12</v>
      </c>
      <c r="CA49" s="343">
        <f t="shared" si="75"/>
        <v>71232</v>
      </c>
      <c r="CB49" s="343">
        <f>ROUND(SUM(CB44:CB48),2)</f>
        <v>75281.279999999999</v>
      </c>
    </row>
    <row r="50" spans="1:80" ht="9" customHeight="1">
      <c r="A50" s="356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57"/>
      <c r="CA50" s="357"/>
      <c r="CB50" s="357"/>
    </row>
    <row r="51" spans="1:80" ht="16.5" customHeight="1">
      <c r="A51" s="358" t="s">
        <v>549</v>
      </c>
      <c r="B51" s="359">
        <f t="shared" ref="B51:AH51" si="76">ROUND((B41+B49),2)</f>
        <v>121935.91</v>
      </c>
      <c r="C51" s="359">
        <f t="shared" si="76"/>
        <v>162199.6</v>
      </c>
      <c r="D51" s="359">
        <f t="shared" si="76"/>
        <v>55080</v>
      </c>
      <c r="E51" s="359">
        <f t="shared" si="76"/>
        <v>569319.03</v>
      </c>
      <c r="F51" s="359">
        <f t="shared" si="76"/>
        <v>406519.08</v>
      </c>
      <c r="G51" s="359">
        <f t="shared" si="76"/>
        <v>462441.31</v>
      </c>
      <c r="H51" s="359">
        <f t="shared" si="76"/>
        <v>380279.79</v>
      </c>
      <c r="I51" s="359">
        <f t="shared" si="76"/>
        <v>10560</v>
      </c>
      <c r="J51" s="359">
        <f t="shared" si="76"/>
        <v>112778.42</v>
      </c>
      <c r="K51" s="359">
        <f t="shared" si="76"/>
        <v>151114.85999999999</v>
      </c>
      <c r="L51" s="359">
        <f t="shared" si="76"/>
        <v>262567.28000000003</v>
      </c>
      <c r="M51" s="359">
        <f t="shared" si="76"/>
        <v>95605.119999999995</v>
      </c>
      <c r="N51" s="359">
        <f t="shared" si="76"/>
        <v>545357.94999999995</v>
      </c>
      <c r="O51" s="359">
        <f t="shared" si="76"/>
        <v>332415.05</v>
      </c>
      <c r="P51" s="359">
        <f t="shared" si="76"/>
        <v>749979.7</v>
      </c>
      <c r="Q51" s="359">
        <f t="shared" si="76"/>
        <v>319063.65000000002</v>
      </c>
      <c r="R51" s="359">
        <f t="shared" si="76"/>
        <v>261222.98</v>
      </c>
      <c r="S51" s="359">
        <f t="shared" si="76"/>
        <v>505632.34</v>
      </c>
      <c r="T51" s="359">
        <f t="shared" si="76"/>
        <v>758554.57</v>
      </c>
      <c r="U51" s="359">
        <f t="shared" si="76"/>
        <v>512456.79</v>
      </c>
      <c r="V51" s="359">
        <f t="shared" si="76"/>
        <v>812089.11</v>
      </c>
      <c r="W51" s="359">
        <f t="shared" si="76"/>
        <v>350555.87</v>
      </c>
      <c r="X51" s="359">
        <f t="shared" si="76"/>
        <v>71499.31</v>
      </c>
      <c r="Y51" s="359">
        <f t="shared" si="76"/>
        <v>45642.51</v>
      </c>
      <c r="Z51" s="359">
        <f t="shared" si="76"/>
        <v>18797.72</v>
      </c>
      <c r="AA51" s="359">
        <f t="shared" si="76"/>
        <v>1207698.8</v>
      </c>
      <c r="AB51" s="359">
        <f>ROUND((AB41+AB49),2)</f>
        <v>526245.42000000004</v>
      </c>
      <c r="AC51" s="359">
        <f t="shared" si="76"/>
        <v>47487.360000000001</v>
      </c>
      <c r="AD51" s="359">
        <f t="shared" si="76"/>
        <v>34337.19</v>
      </c>
      <c r="AE51" s="359">
        <f t="shared" si="76"/>
        <v>16244.07</v>
      </c>
      <c r="AF51" s="359">
        <f t="shared" si="76"/>
        <v>23117.02</v>
      </c>
      <c r="AG51" s="359">
        <f t="shared" si="76"/>
        <v>56873.74</v>
      </c>
      <c r="AH51" s="359">
        <f t="shared" si="76"/>
        <v>11475.32</v>
      </c>
      <c r="AI51" s="359">
        <f t="shared" ref="AI51:BH51" si="77">ROUND((AI41+AI49),2)</f>
        <v>16305.99</v>
      </c>
      <c r="AJ51" s="359">
        <f t="shared" si="77"/>
        <v>636000.73</v>
      </c>
      <c r="AK51" s="359">
        <f t="shared" si="77"/>
        <v>214788.34</v>
      </c>
      <c r="AL51" s="359">
        <f t="shared" si="77"/>
        <v>36408.15</v>
      </c>
      <c r="AM51" s="359">
        <f t="shared" si="77"/>
        <v>19041.310000000001</v>
      </c>
      <c r="AN51" s="359">
        <f t="shared" si="77"/>
        <v>52970.01</v>
      </c>
      <c r="AO51" s="359">
        <f t="shared" si="77"/>
        <v>49813.99</v>
      </c>
      <c r="AP51" s="359">
        <f t="shared" si="77"/>
        <v>47753.07</v>
      </c>
      <c r="AQ51" s="359">
        <f t="shared" si="77"/>
        <v>45734.01</v>
      </c>
      <c r="AR51" s="359">
        <f t="shared" si="77"/>
        <v>56125.11</v>
      </c>
      <c r="AS51" s="359">
        <f>ROUND((AS41+AS49),2)</f>
        <v>7920.5</v>
      </c>
      <c r="AT51" s="359">
        <f>ROUND((AT41+AT49),2)</f>
        <v>45642.51</v>
      </c>
      <c r="AU51" s="359">
        <f t="shared" si="77"/>
        <v>10318.43</v>
      </c>
      <c r="AV51" s="359">
        <f t="shared" si="77"/>
        <v>164621.5</v>
      </c>
      <c r="AW51" s="359">
        <f t="shared" si="77"/>
        <v>199886.67</v>
      </c>
      <c r="AX51" s="359">
        <f t="shared" si="77"/>
        <v>247823.41</v>
      </c>
      <c r="AY51" s="359">
        <f t="shared" si="77"/>
        <v>59118.57</v>
      </c>
      <c r="AZ51" s="359">
        <f t="shared" si="77"/>
        <v>52468.13</v>
      </c>
      <c r="BA51" s="359">
        <f t="shared" si="77"/>
        <v>116419.96</v>
      </c>
      <c r="BB51" s="359">
        <f t="shared" si="77"/>
        <v>77637.55</v>
      </c>
      <c r="BC51" s="359">
        <f t="shared" si="77"/>
        <v>218411.72</v>
      </c>
      <c r="BD51" s="359">
        <f t="shared" si="77"/>
        <v>197936.22</v>
      </c>
      <c r="BE51" s="359">
        <f t="shared" si="77"/>
        <v>89536.19</v>
      </c>
      <c r="BF51" s="359">
        <f>ROUND((BF41+BF49),2)</f>
        <v>149504.95999999999</v>
      </c>
      <c r="BG51" s="359">
        <f t="shared" si="77"/>
        <v>41362.47</v>
      </c>
      <c r="BH51" s="359">
        <f t="shared" si="77"/>
        <v>19165.8</v>
      </c>
      <c r="BI51" s="359">
        <f t="shared" ref="BI51:BQ51" si="78">ROUND((BI41+BI49),2)</f>
        <v>1753568</v>
      </c>
      <c r="BJ51" s="359">
        <f t="shared" si="78"/>
        <v>1728568</v>
      </c>
      <c r="BK51" s="359">
        <f t="shared" si="78"/>
        <v>90064.39</v>
      </c>
      <c r="BL51" s="359">
        <f t="shared" si="78"/>
        <v>361109.29</v>
      </c>
      <c r="BM51" s="359">
        <f t="shared" si="78"/>
        <v>35768</v>
      </c>
      <c r="BN51" s="359">
        <f t="shared" si="78"/>
        <v>268572.99</v>
      </c>
      <c r="BO51" s="359">
        <f t="shared" si="78"/>
        <v>197340.99</v>
      </c>
      <c r="BP51" s="359">
        <f t="shared" si="78"/>
        <v>213574.99</v>
      </c>
      <c r="BQ51" s="359">
        <f t="shared" si="78"/>
        <v>322846.71000000002</v>
      </c>
      <c r="BR51" s="359">
        <f t="shared" ref="BR51:BX51" si="79">ROUND((BR41+BR49),2)</f>
        <v>22653.41</v>
      </c>
      <c r="BS51" s="359">
        <f t="shared" si="79"/>
        <v>131500</v>
      </c>
      <c r="BT51" s="359">
        <f t="shared" si="79"/>
        <v>131500</v>
      </c>
      <c r="BU51" s="359">
        <f t="shared" si="79"/>
        <v>73640.009999999995</v>
      </c>
      <c r="BV51" s="359">
        <f t="shared" si="79"/>
        <v>73640.009999999995</v>
      </c>
      <c r="BW51" s="359">
        <f t="shared" si="79"/>
        <v>381636.1</v>
      </c>
      <c r="BX51" s="359">
        <f t="shared" si="79"/>
        <v>10498.56</v>
      </c>
      <c r="BY51" s="359">
        <f>ROUND((BY41+BY49),2)</f>
        <v>18410</v>
      </c>
      <c r="BZ51" s="359">
        <f>ROUND((BZ41+BZ49),2)</f>
        <v>24092.07</v>
      </c>
      <c r="CA51" s="359">
        <f>ROUND((CA41+CA49),2)</f>
        <v>226032.75</v>
      </c>
      <c r="CB51" s="359">
        <f>ROUND((CB41+CB49),2)</f>
        <v>136207.78</v>
      </c>
    </row>
    <row r="52" spans="1:80" ht="13.5" customHeight="1">
      <c r="A52" s="356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</row>
    <row r="53" spans="1:80" ht="19.5" customHeight="1">
      <c r="A53" s="347" t="s">
        <v>550</v>
      </c>
      <c r="B53" s="361">
        <f t="shared" ref="B53:AH53" si="80">ROUND((B51/B8),2)</f>
        <v>69.680000000000007</v>
      </c>
      <c r="C53" s="361">
        <f t="shared" si="80"/>
        <v>92.69</v>
      </c>
      <c r="D53" s="361">
        <f t="shared" si="80"/>
        <v>31.47</v>
      </c>
      <c r="E53" s="362">
        <f t="shared" si="80"/>
        <v>474.43</v>
      </c>
      <c r="F53" s="361">
        <f t="shared" si="80"/>
        <v>508.15</v>
      </c>
      <c r="G53" s="361">
        <f t="shared" si="80"/>
        <v>385.37</v>
      </c>
      <c r="H53" s="361">
        <f t="shared" si="80"/>
        <v>253.52</v>
      </c>
      <c r="I53" s="361">
        <f t="shared" si="80"/>
        <v>35.200000000000003</v>
      </c>
      <c r="J53" s="361">
        <f t="shared" si="80"/>
        <v>161.11000000000001</v>
      </c>
      <c r="K53" s="361">
        <f t="shared" si="80"/>
        <v>215.88</v>
      </c>
      <c r="L53" s="361">
        <f t="shared" si="80"/>
        <v>291.74</v>
      </c>
      <c r="M53" s="361">
        <f t="shared" si="80"/>
        <v>159.34</v>
      </c>
      <c r="N53" s="361">
        <f t="shared" si="80"/>
        <v>681.7</v>
      </c>
      <c r="O53" s="361">
        <f t="shared" si="80"/>
        <v>415.52</v>
      </c>
      <c r="P53" s="361">
        <f t="shared" si="80"/>
        <v>749.98</v>
      </c>
      <c r="Q53" s="361">
        <f t="shared" si="80"/>
        <v>277.45</v>
      </c>
      <c r="R53" s="361">
        <f t="shared" si="80"/>
        <v>149.27000000000001</v>
      </c>
      <c r="S53" s="361">
        <f t="shared" si="80"/>
        <v>288.93</v>
      </c>
      <c r="T53" s="361">
        <f t="shared" si="80"/>
        <v>433.46</v>
      </c>
      <c r="U53" s="361">
        <f t="shared" si="80"/>
        <v>427.05</v>
      </c>
      <c r="V53" s="361">
        <f t="shared" si="80"/>
        <v>464.05</v>
      </c>
      <c r="W53" s="361">
        <f t="shared" si="80"/>
        <v>876.39</v>
      </c>
      <c r="X53" s="361">
        <f t="shared" si="80"/>
        <v>119.17</v>
      </c>
      <c r="Y53" s="361">
        <f t="shared" si="80"/>
        <v>76.069999999999993</v>
      </c>
      <c r="Z53" s="361">
        <f t="shared" si="80"/>
        <v>31.33</v>
      </c>
      <c r="AA53" s="361">
        <f t="shared" si="80"/>
        <v>1006.42</v>
      </c>
      <c r="AB53" s="361">
        <f>ROUND((AB51/AB8),2)</f>
        <v>809.61</v>
      </c>
      <c r="AC53" s="361">
        <f t="shared" si="80"/>
        <v>105.53</v>
      </c>
      <c r="AD53" s="361">
        <f t="shared" si="80"/>
        <v>343.37</v>
      </c>
      <c r="AE53" s="361">
        <f t="shared" si="80"/>
        <v>40.61</v>
      </c>
      <c r="AF53" s="361">
        <f t="shared" si="80"/>
        <v>57.79</v>
      </c>
      <c r="AG53" s="361">
        <f t="shared" si="80"/>
        <v>113.75</v>
      </c>
      <c r="AH53" s="361">
        <f t="shared" si="80"/>
        <v>28.69</v>
      </c>
      <c r="AI53" s="361">
        <f t="shared" ref="AI53:BH53" si="81">ROUND((AI51/AI8),2)</f>
        <v>46.59</v>
      </c>
      <c r="AJ53" s="361">
        <f t="shared" si="81"/>
        <v>397.5</v>
      </c>
      <c r="AK53" s="361">
        <f t="shared" si="81"/>
        <v>268.49</v>
      </c>
      <c r="AL53" s="361">
        <f t="shared" si="81"/>
        <v>91.02</v>
      </c>
      <c r="AM53" s="361">
        <f t="shared" si="81"/>
        <v>47.6</v>
      </c>
      <c r="AN53" s="361">
        <f t="shared" si="81"/>
        <v>66.209999999999994</v>
      </c>
      <c r="AO53" s="361">
        <f t="shared" si="81"/>
        <v>62.27</v>
      </c>
      <c r="AP53" s="361">
        <f t="shared" si="81"/>
        <v>59.69</v>
      </c>
      <c r="AQ53" s="361">
        <f t="shared" si="81"/>
        <v>57.17</v>
      </c>
      <c r="AR53" s="361">
        <f t="shared" si="81"/>
        <v>70.16</v>
      </c>
      <c r="AS53" s="361">
        <f>ROUND((AS51/AS8),2)</f>
        <v>31.68</v>
      </c>
      <c r="AT53" s="361">
        <f>ROUND((AT51/AT8),2)</f>
        <v>76.069999999999993</v>
      </c>
      <c r="AU53" s="361">
        <f t="shared" si="81"/>
        <v>25.8</v>
      </c>
      <c r="AV53" s="361">
        <f t="shared" si="81"/>
        <v>205.78</v>
      </c>
      <c r="AW53" s="361">
        <f t="shared" si="81"/>
        <v>199.89</v>
      </c>
      <c r="AX53" s="361">
        <f t="shared" si="81"/>
        <v>247.82</v>
      </c>
      <c r="AY53" s="361">
        <f t="shared" si="81"/>
        <v>147.80000000000001</v>
      </c>
      <c r="AZ53" s="361">
        <f t="shared" si="81"/>
        <v>87.45</v>
      </c>
      <c r="BA53" s="361">
        <f t="shared" si="81"/>
        <v>166.31</v>
      </c>
      <c r="BB53" s="361">
        <f t="shared" si="81"/>
        <v>258.79000000000002</v>
      </c>
      <c r="BC53" s="361">
        <f t="shared" si="81"/>
        <v>189.92</v>
      </c>
      <c r="BD53" s="361">
        <f t="shared" si="81"/>
        <v>197.94</v>
      </c>
      <c r="BE53" s="361">
        <f t="shared" si="81"/>
        <v>179.07</v>
      </c>
      <c r="BF53" s="361">
        <f>ROUND((BF51/BF8),2)</f>
        <v>249.17</v>
      </c>
      <c r="BG53" s="361">
        <f t="shared" si="81"/>
        <v>55.15</v>
      </c>
      <c r="BH53" s="361">
        <f t="shared" si="81"/>
        <v>31.94</v>
      </c>
      <c r="BI53" s="361">
        <f t="shared" ref="BI53:BQ53" si="82">ROUND((BI51/BI8),2)</f>
        <v>24.36</v>
      </c>
      <c r="BJ53" s="361">
        <f t="shared" si="82"/>
        <v>24.01</v>
      </c>
      <c r="BK53" s="361">
        <f t="shared" si="82"/>
        <v>112.58</v>
      </c>
      <c r="BL53" s="361">
        <f t="shared" si="82"/>
        <v>401.23</v>
      </c>
      <c r="BM53" s="361">
        <f t="shared" si="82"/>
        <v>44.71</v>
      </c>
      <c r="BN53" s="361">
        <f t="shared" si="82"/>
        <v>268.57</v>
      </c>
      <c r="BO53" s="361">
        <f t="shared" si="82"/>
        <v>246.68</v>
      </c>
      <c r="BP53" s="361">
        <f t="shared" si="82"/>
        <v>355.96</v>
      </c>
      <c r="BQ53" s="361">
        <f t="shared" si="82"/>
        <v>184.48</v>
      </c>
      <c r="BR53" s="361">
        <f t="shared" ref="BR53:BX53" si="83">ROUND((BR51/BR8),2)</f>
        <v>45.31</v>
      </c>
      <c r="BS53" s="361">
        <f t="shared" si="83"/>
        <v>164.38</v>
      </c>
      <c r="BT53" s="361">
        <f t="shared" si="83"/>
        <v>164.38</v>
      </c>
      <c r="BU53" s="361">
        <f t="shared" si="83"/>
        <v>92.05</v>
      </c>
      <c r="BV53" s="361">
        <f t="shared" si="83"/>
        <v>92.05</v>
      </c>
      <c r="BW53" s="361">
        <f t="shared" si="83"/>
        <v>331.86</v>
      </c>
      <c r="BX53" s="361">
        <f t="shared" si="83"/>
        <v>52.49</v>
      </c>
      <c r="BY53" s="361">
        <f>ROUND((BY51/BY8),2)</f>
        <v>46.03</v>
      </c>
      <c r="BZ53" s="361">
        <f>ROUND((BZ51/BZ8),2)</f>
        <v>60.23</v>
      </c>
      <c r="CA53" s="361">
        <f>ROUND((CA51/CA8),2)</f>
        <v>226.03</v>
      </c>
      <c r="CB53" s="361">
        <f>ROUND((CB51/CB8),2)</f>
        <v>209.55</v>
      </c>
    </row>
    <row r="54" spans="1:80" ht="18.75">
      <c r="A54" s="363" t="s">
        <v>551</v>
      </c>
      <c r="B54" s="364">
        <f>ROUND((B53*'Devizni tecaj, porez i gorivo'!$B$12),2)</f>
        <v>17.420000000000002</v>
      </c>
      <c r="C54" s="364">
        <f>ROUND((C53*'Devizni tecaj, porez i gorivo'!$B$12),2)</f>
        <v>23.17</v>
      </c>
      <c r="D54" s="364">
        <f>ROUND((D53*'Devizni tecaj, porez i gorivo'!$B$12),2)</f>
        <v>7.87</v>
      </c>
      <c r="E54" s="364">
        <f>ROUND((E53*'Devizni tecaj, porez i gorivo'!$B$12),2)</f>
        <v>118.61</v>
      </c>
      <c r="F54" s="364">
        <f>ROUND((F53*'Devizni tecaj, porez i gorivo'!$B$12),2)</f>
        <v>127.04</v>
      </c>
      <c r="G54" s="364">
        <f>ROUND((G53*'Devizni tecaj, porez i gorivo'!$B$12),2)</f>
        <v>96.34</v>
      </c>
      <c r="H54" s="364">
        <f>ROUND((H53*'Devizni tecaj, porez i gorivo'!$B$12),2)</f>
        <v>63.38</v>
      </c>
      <c r="I54" s="364">
        <f>ROUND((I53*'Devizni tecaj, porez i gorivo'!$B$12),2)</f>
        <v>8.8000000000000007</v>
      </c>
      <c r="J54" s="364">
        <f>ROUND((J53*'Devizni tecaj, porez i gorivo'!$B$12),2)</f>
        <v>40.28</v>
      </c>
      <c r="K54" s="364">
        <f>ROUND((K53*'Devizni tecaj, porez i gorivo'!$B$12),2)</f>
        <v>53.97</v>
      </c>
      <c r="L54" s="364">
        <f>ROUND((L53*'Devizni tecaj, porez i gorivo'!$B$12),2)</f>
        <v>72.94</v>
      </c>
      <c r="M54" s="364">
        <f>ROUND((M53*'Devizni tecaj, porez i gorivo'!$B$12),2)</f>
        <v>39.840000000000003</v>
      </c>
      <c r="N54" s="364">
        <f>ROUND((N53*'Devizni tecaj, porez i gorivo'!$B$12),2)</f>
        <v>170.43</v>
      </c>
      <c r="O54" s="364">
        <f>ROUND((O53*'Devizni tecaj, porez i gorivo'!$B$12),2)</f>
        <v>103.88</v>
      </c>
      <c r="P54" s="364">
        <f>ROUND((P53*'Devizni tecaj, porez i gorivo'!$B$12),2)</f>
        <v>187.5</v>
      </c>
      <c r="Q54" s="364">
        <f>ROUND((Q53*'Devizni tecaj, porez i gorivo'!$B$12),2)</f>
        <v>69.36</v>
      </c>
      <c r="R54" s="364">
        <f>ROUND((R53*'Devizni tecaj, porez i gorivo'!$B$12),2)</f>
        <v>37.32</v>
      </c>
      <c r="S54" s="364">
        <f>ROUND((S53*'Devizni tecaj, porez i gorivo'!$B$12),2)</f>
        <v>72.23</v>
      </c>
      <c r="T54" s="364">
        <f>ROUND((T53*'Devizni tecaj, porez i gorivo'!$B$12),2)</f>
        <v>108.37</v>
      </c>
      <c r="U54" s="364">
        <f>ROUND((U53*'Devizni tecaj, porez i gorivo'!$B$12),2)</f>
        <v>106.76</v>
      </c>
      <c r="V54" s="364">
        <f>ROUND((V53*'Devizni tecaj, porez i gorivo'!$B$12),2)</f>
        <v>116.01</v>
      </c>
      <c r="W54" s="364">
        <f>ROUND((W53*'Devizni tecaj, porez i gorivo'!$B$12),2)</f>
        <v>219.1</v>
      </c>
      <c r="X54" s="364">
        <f>ROUND((X53*'Devizni tecaj, porez i gorivo'!$B$12),2)</f>
        <v>29.79</v>
      </c>
      <c r="Y54" s="364">
        <f>ROUND((Y53*'Devizni tecaj, porez i gorivo'!$B$12),2)</f>
        <v>19.02</v>
      </c>
      <c r="Z54" s="364">
        <f>ROUND((Z53*'Devizni tecaj, porez i gorivo'!$B$12),2)</f>
        <v>7.83</v>
      </c>
      <c r="AA54" s="364">
        <f>ROUND((AA53*'Devizni tecaj, porez i gorivo'!$B$12),2)</f>
        <v>251.61</v>
      </c>
      <c r="AB54" s="364">
        <f>ROUND((AB53*'Devizni tecaj, porez i gorivo'!$B$12),2)</f>
        <v>202.4</v>
      </c>
      <c r="AC54" s="364">
        <f>ROUND((AC53*'Devizni tecaj, porez i gorivo'!$B$12),2)</f>
        <v>26.38</v>
      </c>
      <c r="AD54" s="364">
        <f>ROUND((AD53*'Devizni tecaj, porez i gorivo'!$B$12),2)</f>
        <v>85.84</v>
      </c>
      <c r="AE54" s="364">
        <f>ROUND((AE53*'Devizni tecaj, porez i gorivo'!$B$12),2)</f>
        <v>10.15</v>
      </c>
      <c r="AF54" s="364">
        <f>ROUND((AF53*'Devizni tecaj, porez i gorivo'!$B$12),2)</f>
        <v>14.45</v>
      </c>
      <c r="AG54" s="364">
        <f>ROUND((AG53*'Devizni tecaj, porez i gorivo'!$B$12),2)</f>
        <v>28.44</v>
      </c>
      <c r="AH54" s="364">
        <f>ROUND((AH53*'Devizni tecaj, porez i gorivo'!$B$12),2)</f>
        <v>7.17</v>
      </c>
      <c r="AI54" s="364">
        <f>ROUND((AI53*'Devizni tecaj, porez i gorivo'!$B$12),2)</f>
        <v>11.65</v>
      </c>
      <c r="AJ54" s="364">
        <f>ROUND((AJ53*'Devizni tecaj, porez i gorivo'!$B$12),2)</f>
        <v>99.38</v>
      </c>
      <c r="AK54" s="364">
        <f>ROUND((AK53*'Devizni tecaj, porez i gorivo'!$B$12),2)</f>
        <v>67.12</v>
      </c>
      <c r="AL54" s="364">
        <f>ROUND((AL53*'Devizni tecaj, porez i gorivo'!$B$12),2)</f>
        <v>22.76</v>
      </c>
      <c r="AM54" s="364">
        <f>ROUND((AM53*'Devizni tecaj, porez i gorivo'!$B$12),2)</f>
        <v>11.9</v>
      </c>
      <c r="AN54" s="364">
        <f>ROUND((AN53*'Devizni tecaj, porez i gorivo'!$B$12),2)</f>
        <v>16.55</v>
      </c>
      <c r="AO54" s="364">
        <f>ROUND((AO53*'Devizni tecaj, porez i gorivo'!$B$12),2)</f>
        <v>15.57</v>
      </c>
      <c r="AP54" s="364">
        <f>ROUND((AP53*'Devizni tecaj, porez i gorivo'!$B$12),2)</f>
        <v>14.92</v>
      </c>
      <c r="AQ54" s="364">
        <f>ROUND((AQ53*'Devizni tecaj, porez i gorivo'!$B$12),2)</f>
        <v>14.29</v>
      </c>
      <c r="AR54" s="364">
        <f>ROUND((AR53*'Devizni tecaj, porez i gorivo'!$B$12),2)</f>
        <v>17.54</v>
      </c>
      <c r="AS54" s="364">
        <f>ROUND((AS53*'Devizni tecaj, porez i gorivo'!$B$12),2)</f>
        <v>7.92</v>
      </c>
      <c r="AT54" s="364">
        <f>ROUND((AT53*'Devizni tecaj, porez i gorivo'!$B$12),2)</f>
        <v>19.02</v>
      </c>
      <c r="AU54" s="364">
        <f>ROUND((AU53*'Devizni tecaj, porez i gorivo'!$B$12),2)</f>
        <v>6.45</v>
      </c>
      <c r="AV54" s="364">
        <f>ROUND((AV53*'Devizni tecaj, porez i gorivo'!$B$12),2)</f>
        <v>51.45</v>
      </c>
      <c r="AW54" s="364">
        <f>ROUND((AW53*'Devizni tecaj, porez i gorivo'!$B$12),2)</f>
        <v>49.97</v>
      </c>
      <c r="AX54" s="364">
        <f>ROUND((AX53*'Devizni tecaj, porez i gorivo'!$B$12),2)</f>
        <v>61.96</v>
      </c>
      <c r="AY54" s="364">
        <f>ROUND((AY53*'Devizni tecaj, porez i gorivo'!$B$12),2)</f>
        <v>36.950000000000003</v>
      </c>
      <c r="AZ54" s="364">
        <f>ROUND((AZ53*'Devizni tecaj, porez i gorivo'!$B$12),2)</f>
        <v>21.86</v>
      </c>
      <c r="BA54" s="364">
        <f>ROUND((BA53*'Devizni tecaj, porez i gorivo'!$B$12),2)</f>
        <v>41.58</v>
      </c>
      <c r="BB54" s="364">
        <f>ROUND((BB53*'Devizni tecaj, porez i gorivo'!$B$12),2)</f>
        <v>64.7</v>
      </c>
      <c r="BC54" s="364">
        <f>ROUND((BC53*'Devizni tecaj, porez i gorivo'!$B$12),2)</f>
        <v>47.48</v>
      </c>
      <c r="BD54" s="364">
        <f>ROUND((BD53*'Devizni tecaj, porez i gorivo'!$B$12),2)</f>
        <v>49.49</v>
      </c>
      <c r="BE54" s="364">
        <f>ROUND((BE53*'Devizni tecaj, porez i gorivo'!$B$12),2)</f>
        <v>44.77</v>
      </c>
      <c r="BF54" s="364">
        <f>ROUND((BF53*'Devizni tecaj, porez i gorivo'!$B$12),2)</f>
        <v>62.29</v>
      </c>
      <c r="BG54" s="364">
        <f>ROUND((BG53*'Devizni tecaj, porez i gorivo'!$B$12),2)</f>
        <v>13.79</v>
      </c>
      <c r="BH54" s="364">
        <f>ROUND((BH53*'Devizni tecaj, porez i gorivo'!$B$12),2)</f>
        <v>7.99</v>
      </c>
      <c r="BI54" s="364">
        <f>ROUND((BI53*'Devizni tecaj, porez i gorivo'!$B$12),2)</f>
        <v>6.09</v>
      </c>
      <c r="BJ54" s="364">
        <f>ROUND((BJ53*'Devizni tecaj, porez i gorivo'!$B$12),2)</f>
        <v>6</v>
      </c>
      <c r="BK54" s="364">
        <f>ROUND((BK53*'Devizni tecaj, porez i gorivo'!$B$12),2)</f>
        <v>28.15</v>
      </c>
      <c r="BL54" s="364">
        <f>ROUND((BL53*'Devizni tecaj, porez i gorivo'!$B$12),2)</f>
        <v>100.31</v>
      </c>
      <c r="BM54" s="364">
        <f>ROUND((BM53*'Devizni tecaj, porez i gorivo'!$B$12),2)</f>
        <v>11.18</v>
      </c>
      <c r="BN54" s="364">
        <f>ROUND((BN53*'Devizni tecaj, porez i gorivo'!$B$12),2)</f>
        <v>67.14</v>
      </c>
      <c r="BO54" s="364">
        <f>ROUND((BO53*'Devizni tecaj, porez i gorivo'!$B$12),2)</f>
        <v>61.67</v>
      </c>
      <c r="BP54" s="364">
        <f>ROUND((BP53*'Devizni tecaj, porez i gorivo'!$B$12),2)</f>
        <v>88.99</v>
      </c>
      <c r="BQ54" s="364">
        <f>ROUND((BQ53*'Devizni tecaj, porez i gorivo'!$B$12),2)</f>
        <v>46.12</v>
      </c>
      <c r="BR54" s="364">
        <f>ROUND((BR53*'Devizni tecaj, porez i gorivo'!$B$12),2)</f>
        <v>11.33</v>
      </c>
      <c r="BS54" s="364">
        <f>ROUND((BS53*'Devizni tecaj, porez i gorivo'!$B$12),2)</f>
        <v>41.1</v>
      </c>
      <c r="BT54" s="364">
        <f>ROUND((BT53*'Devizni tecaj, porez i gorivo'!$B$12),2)</f>
        <v>41.1</v>
      </c>
      <c r="BU54" s="364">
        <f>ROUND((BU53*'Devizni tecaj, porez i gorivo'!$B$12),2)</f>
        <v>23.01</v>
      </c>
      <c r="BV54" s="364">
        <f>ROUND((BV53*'Devizni tecaj, porez i gorivo'!$B$12),2)</f>
        <v>23.01</v>
      </c>
      <c r="BW54" s="364">
        <f>ROUND((BW53*'Devizni tecaj, porez i gorivo'!$B$12),2)</f>
        <v>82.97</v>
      </c>
      <c r="BX54" s="364">
        <f>ROUND((BX53*'Devizni tecaj, porez i gorivo'!$B$12),2)</f>
        <v>13.12</v>
      </c>
      <c r="BY54" s="364">
        <f>ROUND((BY53*'Devizni tecaj, porez i gorivo'!$B$12),2)</f>
        <v>11.51</v>
      </c>
      <c r="BZ54" s="364">
        <f>ROUND((BZ53*'Devizni tecaj, porez i gorivo'!$B$12),2)</f>
        <v>15.06</v>
      </c>
      <c r="CA54" s="364">
        <f>ROUND((CA53*'Devizni tecaj, porez i gorivo'!$B$12),2)</f>
        <v>56.51</v>
      </c>
      <c r="CB54" s="364">
        <f>ROUND((CB53*'Devizni tecaj, porez i gorivo'!$B$12),2)</f>
        <v>52.39</v>
      </c>
    </row>
    <row r="55" spans="1:80" ht="18.75">
      <c r="A55" s="365" t="s">
        <v>552</v>
      </c>
      <c r="B55" s="366">
        <f>ROUND(SUM(B53:B54),2)</f>
        <v>87.1</v>
      </c>
      <c r="C55" s="366">
        <f t="shared" ref="C55:BJ55" si="84">ROUND(SUM(C53:C54),2)</f>
        <v>115.86</v>
      </c>
      <c r="D55" s="366">
        <f t="shared" si="84"/>
        <v>39.340000000000003</v>
      </c>
      <c r="E55" s="367">
        <f t="shared" si="84"/>
        <v>593.04</v>
      </c>
      <c r="F55" s="366">
        <f t="shared" si="84"/>
        <v>635.19000000000005</v>
      </c>
      <c r="G55" s="366">
        <f t="shared" si="84"/>
        <v>481.71</v>
      </c>
      <c r="H55" s="366">
        <f t="shared" si="84"/>
        <v>316.89999999999998</v>
      </c>
      <c r="I55" s="366">
        <f t="shared" si="84"/>
        <v>44</v>
      </c>
      <c r="J55" s="366">
        <f t="shared" si="84"/>
        <v>201.39</v>
      </c>
      <c r="K55" s="366">
        <f t="shared" si="84"/>
        <v>269.85000000000002</v>
      </c>
      <c r="L55" s="366">
        <f t="shared" si="84"/>
        <v>364.68</v>
      </c>
      <c r="M55" s="366">
        <f t="shared" si="84"/>
        <v>199.18</v>
      </c>
      <c r="N55" s="366">
        <f t="shared" si="84"/>
        <v>852.13</v>
      </c>
      <c r="O55" s="366">
        <f t="shared" si="84"/>
        <v>519.4</v>
      </c>
      <c r="P55" s="366">
        <f t="shared" si="84"/>
        <v>937.48</v>
      </c>
      <c r="Q55" s="366">
        <f t="shared" si="84"/>
        <v>346.81</v>
      </c>
      <c r="R55" s="366">
        <f t="shared" si="84"/>
        <v>186.59</v>
      </c>
      <c r="S55" s="366">
        <f t="shared" si="84"/>
        <v>361.16</v>
      </c>
      <c r="T55" s="366">
        <f t="shared" si="84"/>
        <v>541.83000000000004</v>
      </c>
      <c r="U55" s="366">
        <f t="shared" si="84"/>
        <v>533.80999999999995</v>
      </c>
      <c r="V55" s="366">
        <f t="shared" si="84"/>
        <v>580.05999999999995</v>
      </c>
      <c r="W55" s="366">
        <f t="shared" si="84"/>
        <v>1095.49</v>
      </c>
      <c r="X55" s="366">
        <f t="shared" si="84"/>
        <v>148.96</v>
      </c>
      <c r="Y55" s="366">
        <f t="shared" si="84"/>
        <v>95.09</v>
      </c>
      <c r="Z55" s="366">
        <f t="shared" si="84"/>
        <v>39.159999999999997</v>
      </c>
      <c r="AA55" s="366">
        <f t="shared" si="84"/>
        <v>1258.03</v>
      </c>
      <c r="AB55" s="366">
        <f t="shared" si="84"/>
        <v>1012.01</v>
      </c>
      <c r="AC55" s="366">
        <f t="shared" si="84"/>
        <v>131.91</v>
      </c>
      <c r="AD55" s="366">
        <f t="shared" si="84"/>
        <v>429.21</v>
      </c>
      <c r="AE55" s="366">
        <f t="shared" si="84"/>
        <v>50.76</v>
      </c>
      <c r="AF55" s="366">
        <f t="shared" si="84"/>
        <v>72.239999999999995</v>
      </c>
      <c r="AG55" s="366">
        <f t="shared" si="84"/>
        <v>142.19</v>
      </c>
      <c r="AH55" s="366">
        <f t="shared" si="84"/>
        <v>35.86</v>
      </c>
      <c r="AI55" s="366">
        <f t="shared" si="84"/>
        <v>58.24</v>
      </c>
      <c r="AJ55" s="366">
        <f t="shared" si="84"/>
        <v>496.88</v>
      </c>
      <c r="AK55" s="366">
        <f t="shared" si="84"/>
        <v>335.61</v>
      </c>
      <c r="AL55" s="366">
        <f t="shared" si="84"/>
        <v>113.78</v>
      </c>
      <c r="AM55" s="366">
        <f t="shared" si="84"/>
        <v>59.5</v>
      </c>
      <c r="AN55" s="366">
        <f t="shared" si="84"/>
        <v>82.76</v>
      </c>
      <c r="AO55" s="366">
        <f t="shared" si="84"/>
        <v>77.84</v>
      </c>
      <c r="AP55" s="366">
        <f t="shared" si="84"/>
        <v>74.61</v>
      </c>
      <c r="AQ55" s="366">
        <f t="shared" si="84"/>
        <v>71.459999999999994</v>
      </c>
      <c r="AR55" s="366">
        <f t="shared" si="84"/>
        <v>87.7</v>
      </c>
      <c r="AS55" s="366">
        <f t="shared" si="84"/>
        <v>39.6</v>
      </c>
      <c r="AT55" s="366">
        <f t="shared" si="84"/>
        <v>95.09</v>
      </c>
      <c r="AU55" s="366">
        <f t="shared" si="84"/>
        <v>32.25</v>
      </c>
      <c r="AV55" s="366">
        <f t="shared" si="84"/>
        <v>257.23</v>
      </c>
      <c r="AW55" s="366">
        <f t="shared" si="84"/>
        <v>249.86</v>
      </c>
      <c r="AX55" s="366">
        <f t="shared" si="84"/>
        <v>309.77999999999997</v>
      </c>
      <c r="AY55" s="366">
        <f t="shared" si="84"/>
        <v>184.75</v>
      </c>
      <c r="AZ55" s="366">
        <f t="shared" si="84"/>
        <v>109.31</v>
      </c>
      <c r="BA55" s="366">
        <f t="shared" si="84"/>
        <v>207.89</v>
      </c>
      <c r="BB55" s="366">
        <f t="shared" si="84"/>
        <v>323.49</v>
      </c>
      <c r="BC55" s="366">
        <f t="shared" si="84"/>
        <v>237.4</v>
      </c>
      <c r="BD55" s="366">
        <f>ROUND(SUM(BD53:BD54),2)</f>
        <v>247.43</v>
      </c>
      <c r="BE55" s="366">
        <f t="shared" si="84"/>
        <v>223.84</v>
      </c>
      <c r="BF55" s="366">
        <f t="shared" si="84"/>
        <v>311.45999999999998</v>
      </c>
      <c r="BG55" s="366">
        <f t="shared" si="84"/>
        <v>68.94</v>
      </c>
      <c r="BH55" s="366">
        <f t="shared" si="84"/>
        <v>39.93</v>
      </c>
      <c r="BI55" s="366">
        <f t="shared" si="84"/>
        <v>30.45</v>
      </c>
      <c r="BJ55" s="366">
        <f t="shared" si="84"/>
        <v>30.01</v>
      </c>
      <c r="BK55" s="366">
        <f t="shared" ref="BK55:BZ55" si="85">ROUND(SUM(BK53:BK54),2)</f>
        <v>140.72999999999999</v>
      </c>
      <c r="BL55" s="366">
        <f t="shared" si="85"/>
        <v>501.54</v>
      </c>
      <c r="BM55" s="366">
        <f t="shared" si="85"/>
        <v>55.89</v>
      </c>
      <c r="BN55" s="366">
        <f t="shared" si="85"/>
        <v>335.71</v>
      </c>
      <c r="BO55" s="366">
        <f t="shared" si="85"/>
        <v>308.35000000000002</v>
      </c>
      <c r="BP55" s="366">
        <f t="shared" si="85"/>
        <v>444.95</v>
      </c>
      <c r="BQ55" s="366">
        <f t="shared" si="85"/>
        <v>230.6</v>
      </c>
      <c r="BR55" s="366">
        <f t="shared" si="85"/>
        <v>56.64</v>
      </c>
      <c r="BS55" s="366">
        <f t="shared" si="85"/>
        <v>205.48</v>
      </c>
      <c r="BT55" s="366">
        <f t="shared" si="85"/>
        <v>205.48</v>
      </c>
      <c r="BU55" s="366">
        <f>ROUND(SUM(BU53:BU54),2)</f>
        <v>115.06</v>
      </c>
      <c r="BV55" s="366">
        <f>ROUND(SUM(BV53:BV54),2)</f>
        <v>115.06</v>
      </c>
      <c r="BW55" s="366">
        <f t="shared" si="85"/>
        <v>414.83</v>
      </c>
      <c r="BX55" s="366">
        <f t="shared" si="85"/>
        <v>65.61</v>
      </c>
      <c r="BY55" s="366">
        <f t="shared" si="85"/>
        <v>57.54</v>
      </c>
      <c r="BZ55" s="366">
        <f t="shared" si="85"/>
        <v>75.290000000000006</v>
      </c>
      <c r="CA55" s="366">
        <f>ROUND(SUM(CA53:CA54),2)</f>
        <v>282.54000000000002</v>
      </c>
      <c r="CB55" s="366">
        <f>ROUND(SUM(CB53:CB54),2)</f>
        <v>261.94</v>
      </c>
    </row>
    <row r="56" spans="1:80">
      <c r="A56" s="245"/>
      <c r="E56" s="293"/>
      <c r="AA56" s="293"/>
      <c r="BS56" s="495"/>
      <c r="BT56" s="495"/>
      <c r="BU56" s="495"/>
      <c r="BV56" s="495"/>
    </row>
    <row r="57" spans="1:80">
      <c r="A57" s="245"/>
      <c r="E57" s="293"/>
      <c r="AA57" s="293"/>
      <c r="BS57" s="495"/>
      <c r="BT57" s="495"/>
      <c r="BU57" s="495"/>
      <c r="BV57" s="495"/>
    </row>
    <row r="58" spans="1:80">
      <c r="A58" s="245"/>
      <c r="E58" s="293"/>
      <c r="AA58" s="293"/>
      <c r="BS58" s="495"/>
      <c r="BT58" s="495"/>
      <c r="BU58" s="495"/>
      <c r="BV58" s="495"/>
    </row>
  </sheetData>
  <sheetProtection selectLockedCells="1"/>
  <phoneticPr fontId="1" type="noConversion"/>
  <pageMargins left="0.98425196850393704" right="0.39370078740157483" top="0.39370078740157483" bottom="0.39370078740157483" header="0.19685039370078741" footer="0.19685039370078741"/>
  <pageSetup paperSize="9" scale="95" pageOrder="overThenDown" orientation="portrait" horizontalDpi="300" verticalDpi="300" r:id="rId1"/>
  <headerFooter alignWithMargins="0">
    <oddHeader>&amp;C&amp;8STANDARD REDOVNOG ODRŽAVANJA CESTA 2009.&amp;R&amp;8&amp;D</oddHeader>
    <oddFooter>&amp;L&amp;8&amp;F&amp;C&amp;8&amp;A&amp;R&amp;8&amp;P /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4"/>
  </sheetPr>
  <dimension ref="A1:E29"/>
  <sheetViews>
    <sheetView view="pageLayout" zoomScaleNormal="115" workbookViewId="0">
      <selection activeCell="B22" sqref="B22"/>
    </sheetView>
  </sheetViews>
  <sheetFormatPr defaultRowHeight="12.75"/>
  <cols>
    <col min="1" max="1" width="6.7109375" style="179" customWidth="1"/>
    <col min="2" max="2" width="70.7109375" style="180" customWidth="1"/>
    <col min="3" max="3" width="12.7109375" style="181" customWidth="1"/>
    <col min="4" max="4" width="18.7109375" style="368" hidden="1" customWidth="1"/>
    <col min="5" max="5" width="14.7109375" style="181" hidden="1" customWidth="1"/>
    <col min="6" max="16384" width="9.140625" style="181"/>
  </cols>
  <sheetData>
    <row r="1" spans="1:5" ht="4.9000000000000004" customHeight="1"/>
    <row r="2" spans="1:5" s="645" customFormat="1" ht="4.9000000000000004" customHeight="1">
      <c r="A2" s="643"/>
      <c r="B2" s="644"/>
    </row>
    <row r="3" spans="1:5" ht="20.100000000000001" customHeight="1">
      <c r="A3" s="849" t="s">
        <v>553</v>
      </c>
      <c r="B3" s="849"/>
      <c r="C3" s="849"/>
    </row>
    <row r="4" spans="1:5" ht="4.9000000000000004" customHeight="1" thickBot="1">
      <c r="A4" s="186"/>
      <c r="B4" s="641"/>
      <c r="C4" s="641"/>
      <c r="E4" s="641"/>
    </row>
    <row r="5" spans="1:5" s="189" customFormat="1" ht="15.75" customHeight="1" thickBot="1">
      <c r="A5" s="186"/>
      <c r="B5" s="187" t="s">
        <v>270</v>
      </c>
      <c r="C5" s="188" t="s">
        <v>15</v>
      </c>
      <c r="E5" s="646"/>
    </row>
    <row r="6" spans="1:5" ht="12" customHeight="1" thickBot="1">
      <c r="A6" s="186"/>
      <c r="B6" s="641"/>
      <c r="C6" s="641"/>
      <c r="E6" s="641"/>
    </row>
    <row r="7" spans="1:5" ht="12.75" customHeight="1">
      <c r="A7" s="850" t="s">
        <v>272</v>
      </c>
      <c r="B7" s="852" t="s">
        <v>455</v>
      </c>
      <c r="C7" s="852" t="s">
        <v>554</v>
      </c>
      <c r="D7" s="854" t="s">
        <v>555</v>
      </c>
      <c r="E7" s="847" t="s">
        <v>556</v>
      </c>
    </row>
    <row r="8" spans="1:5" ht="13.5" thickBot="1">
      <c r="A8" s="851"/>
      <c r="B8" s="853"/>
      <c r="C8" s="853"/>
      <c r="D8" s="855"/>
      <c r="E8" s="848"/>
    </row>
    <row r="9" spans="1:5" s="193" customFormat="1" ht="15">
      <c r="A9" s="190" t="str">
        <f>'[2]Nabavna cijena'!$A$7</f>
        <v>1.</v>
      </c>
      <c r="B9" s="195" t="str">
        <f>'[2]Nabavna cijena'!$B$12</f>
        <v>Rovokopač (bager) na kotačima</v>
      </c>
      <c r="C9" s="196">
        <f>'[2]Cijena sata rada'!G$53</f>
        <v>461.09</v>
      </c>
      <c r="D9" s="373">
        <v>39.57</v>
      </c>
      <c r="E9" s="374">
        <v>281.81</v>
      </c>
    </row>
    <row r="10" spans="1:5" s="193" customFormat="1" ht="15">
      <c r="A10" s="194" t="str">
        <f>'[2]Nabavna cijena'!$A$8</f>
        <v>2.</v>
      </c>
      <c r="B10" s="195" t="str">
        <f>'[2]Nabavna cijena'!$B$13</f>
        <v>Rovokopač - utovarivač</v>
      </c>
      <c r="C10" s="196">
        <f>'[2]Cijena sata rada'!H$53</f>
        <v>294.52</v>
      </c>
      <c r="D10" s="375">
        <v>61.94</v>
      </c>
      <c r="E10" s="374">
        <v>244.21</v>
      </c>
    </row>
    <row r="11" spans="1:5" s="193" customFormat="1" ht="15">
      <c r="A11" s="194" t="str">
        <f>'[2]Nabavna cijena'!$A$9</f>
        <v>3.</v>
      </c>
      <c r="B11" s="195" t="str">
        <f>'[2]Nabavna cijena'!$B$14</f>
        <v>Pneumatski čekić</v>
      </c>
      <c r="C11" s="196">
        <f>'[2]Cijena sata rada'!I$53</f>
        <v>57.2</v>
      </c>
      <c r="D11" s="375">
        <v>22.76</v>
      </c>
      <c r="E11" s="374">
        <v>209.15</v>
      </c>
    </row>
    <row r="12" spans="1:5" s="193" customFormat="1" ht="15">
      <c r="A12" s="194" t="str">
        <f>'[2]Nabavna cijena'!$A$10</f>
        <v>4.</v>
      </c>
      <c r="B12" s="195" t="str">
        <f>'[2]Nabavna cijena'!$B$18</f>
        <v>Rezač asfalta</v>
      </c>
      <c r="C12" s="196">
        <f>'[2]Cijena sata rada'!M$53</f>
        <v>129.26</v>
      </c>
      <c r="D12" s="375">
        <v>317.92</v>
      </c>
      <c r="E12" s="374">
        <v>143.02000000000001</v>
      </c>
    </row>
    <row r="13" spans="1:5" s="193" customFormat="1" ht="15">
      <c r="A13" s="194" t="str">
        <f>'[2]Nabavna cijena'!$A$11</f>
        <v>5.</v>
      </c>
      <c r="B13" s="195" t="str">
        <f>'[2]Nabavna cijena'!$B$23</f>
        <v>Kamion do 2 t</v>
      </c>
      <c r="C13" s="196">
        <f>'[2]Cijena sata rada'!R$53</f>
        <v>262.23</v>
      </c>
      <c r="D13" s="375">
        <v>271.3</v>
      </c>
      <c r="E13" s="374">
        <v>56.98</v>
      </c>
    </row>
    <row r="14" spans="1:5" s="193" customFormat="1" ht="15">
      <c r="A14" s="194" t="str">
        <f>'[2]Nabavna cijena'!$A$12</f>
        <v>6.</v>
      </c>
      <c r="B14" s="195" t="str">
        <f>'[2]Nabavna cijena'!$B$27</f>
        <v>Teretni automobil nosivosti 3,5-12 t sa dizalicom</v>
      </c>
      <c r="C14" s="196">
        <v>450.8</v>
      </c>
      <c r="D14" s="375">
        <v>226.86</v>
      </c>
      <c r="E14" s="374">
        <v>101.37</v>
      </c>
    </row>
    <row r="15" spans="1:5" s="193" customFormat="1" ht="15">
      <c r="A15" s="194" t="str">
        <f>'[2]Nabavna cijena'!$A$13</f>
        <v>7.</v>
      </c>
      <c r="B15" s="195" t="str">
        <f>'[2]Nabavna cijena'!$B$56</f>
        <v>Betonska miješalica</v>
      </c>
      <c r="C15" s="196">
        <f>'[2]Cijena sata rada'!AY$53</f>
        <v>117.76</v>
      </c>
      <c r="D15" s="375">
        <v>158.44</v>
      </c>
      <c r="E15" s="374">
        <v>130.38</v>
      </c>
    </row>
    <row r="16" spans="1:5" s="193" customFormat="1" ht="15">
      <c r="A16" s="194" t="str">
        <f>'[2]Nabavna cijena'!$A$14</f>
        <v>8.</v>
      </c>
      <c r="B16" s="195" t="str">
        <f>'[2]Nabavna cijena'!$B$57</f>
        <v>Pumpa za vodu</v>
      </c>
      <c r="C16" s="196">
        <f>'[2]Cijena sata rada'!AZ$53</f>
        <v>72.150000000000006</v>
      </c>
      <c r="D16" s="375">
        <v>56.98</v>
      </c>
      <c r="E16" s="374">
        <v>161.19999999999999</v>
      </c>
    </row>
    <row r="17" spans="1:5" s="193" customFormat="1" ht="15">
      <c r="A17" s="194" t="str">
        <f>'[2]Nabavna cijena'!$A$15</f>
        <v>9.</v>
      </c>
      <c r="B17" s="195" t="str">
        <f>'[2]Nabavna cijena'!$B$58</f>
        <v>Vibroploča</v>
      </c>
      <c r="C17" s="196">
        <f>'[2]Cijena sata rada'!BA$53</f>
        <v>135.9</v>
      </c>
      <c r="D17" s="375">
        <v>108.17</v>
      </c>
      <c r="E17" s="374">
        <v>425.24</v>
      </c>
    </row>
    <row r="18" spans="1:5" s="193" customFormat="1" ht="15">
      <c r="A18" s="194" t="str">
        <f>'[2]Nabavna cijena'!$A$16</f>
        <v>10.</v>
      </c>
      <c r="B18" s="195" t="str">
        <f>'[2]Nabavna cijena'!$B$71</f>
        <v>Mini rovokopač (bager)</v>
      </c>
      <c r="C18" s="196">
        <f>'[2]Cijena sata rada'!BN$53</f>
        <v>330.84</v>
      </c>
      <c r="D18" s="375">
        <v>141.09</v>
      </c>
      <c r="E18" s="374">
        <v>450.93</v>
      </c>
    </row>
    <row r="19" spans="1:5" s="193" customFormat="1" ht="15">
      <c r="A19" s="194" t="str">
        <f>'[2]Nabavna cijena'!$A$17</f>
        <v>11.</v>
      </c>
      <c r="B19" s="195" t="str">
        <f>'[2]Nabavna cijena'!$B$72</f>
        <v>Mini utovarivač</v>
      </c>
      <c r="C19" s="196">
        <f>'[2]Cijena sata rada'!BO$53</f>
        <v>326.10000000000002</v>
      </c>
      <c r="D19" s="375">
        <v>174</v>
      </c>
      <c r="E19" s="374">
        <v>87.54</v>
      </c>
    </row>
    <row r="20" spans="1:5" s="193" customFormat="1" ht="15">
      <c r="A20" s="194" t="str">
        <f>'[2]Nabavna cijena'!$A$18</f>
        <v>12.</v>
      </c>
      <c r="B20" s="195" t="str">
        <f>'[2]Nabavna cijena'!$B$74</f>
        <v>Teretni automobil nosivosti do 3,5t</v>
      </c>
      <c r="C20" s="196">
        <f>'[2]Cijena sata rada'!BQ$53</f>
        <v>297.11</v>
      </c>
      <c r="D20" s="375">
        <v>79.13</v>
      </c>
      <c r="E20" s="374">
        <v>82.94</v>
      </c>
    </row>
    <row r="21" spans="1:5" s="193" customFormat="1" ht="15">
      <c r="A21" s="194" t="str">
        <f>'[2]Nabavna cijena'!$A$19</f>
        <v>13.</v>
      </c>
      <c r="B21" s="195" t="str">
        <f>'[2]Nabavna cijena'!B63</f>
        <v>Hidraulična košara</v>
      </c>
      <c r="C21" s="196">
        <f>'[2]Cijena sata rada'!BF53</f>
        <v>457.94</v>
      </c>
      <c r="D21" s="375">
        <v>449.45</v>
      </c>
      <c r="E21" s="374">
        <v>102.94</v>
      </c>
    </row>
    <row r="22" spans="1:5" ht="18" customHeight="1">
      <c r="C22" s="368"/>
    </row>
    <row r="23" spans="1:5">
      <c r="C23" s="368"/>
    </row>
    <row r="27" spans="1:5">
      <c r="B27" s="180" t="s">
        <v>894</v>
      </c>
    </row>
    <row r="29" spans="1:5">
      <c r="B29" s="180" t="s">
        <v>895</v>
      </c>
    </row>
  </sheetData>
  <sheetProtection selectLockedCells="1"/>
  <mergeCells count="6">
    <mergeCell ref="E7:E8"/>
    <mergeCell ref="A3:C3"/>
    <mergeCell ref="A7:A8"/>
    <mergeCell ref="B7:B8"/>
    <mergeCell ref="C7:C8"/>
    <mergeCell ref="D7:D8"/>
  </mergeCells>
  <conditionalFormatting sqref="C9:C21">
    <cfRule type="cellIs" dxfId="10" priority="2" stopIfTrue="1" operator="lessThan">
      <formula>#REF!</formula>
    </cfRule>
  </conditionalFormatting>
  <conditionalFormatting sqref="B9:B21">
    <cfRule type="cellIs" dxfId="9" priority="1" stopIfTrue="1" operator="notEqual">
      <formula>#REF!</formula>
    </cfRule>
  </conditionalFormatting>
  <pageMargins left="0.98425196850393704" right="0.39370078740157483" top="0.39370078740157483" bottom="0.39370078740157483" header="0.19685039370078741" footer="0.19685039370078741"/>
  <pageSetup paperSize="9" scale="96" orientation="portrait" r:id="rId1"/>
  <headerFooter alignWithMargins="0">
    <oddHeader>&amp;LPERUŠIĆ d.o.o.&amp;C&amp;8ODRŽAVANJE OBJEKATA U VLASNIŠTVU I SUVLASNIŠTVU 2021./2022.</oddHeader>
    <oddFooter>&amp;L&amp;8&amp;F&amp;R&amp;8&amp;P /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4"/>
  </sheetPr>
  <dimension ref="A1:E91"/>
  <sheetViews>
    <sheetView zoomScale="115" zoomScaleNormal="115" workbookViewId="0">
      <selection activeCell="B10" sqref="B10"/>
    </sheetView>
  </sheetViews>
  <sheetFormatPr defaultRowHeight="12.75"/>
  <cols>
    <col min="1" max="1" width="6.7109375" style="179" customWidth="1"/>
    <col min="2" max="2" width="70.7109375" style="180" customWidth="1"/>
    <col min="3" max="3" width="12.7109375" style="181" customWidth="1"/>
    <col min="4" max="4" width="18.7109375" style="368" hidden="1" customWidth="1"/>
    <col min="5" max="5" width="14.7109375" style="181" hidden="1" customWidth="1"/>
    <col min="6" max="16384" width="9.140625" style="181"/>
  </cols>
  <sheetData>
    <row r="1" spans="1:5" ht="4.9000000000000004" customHeight="1"/>
    <row r="2" spans="1:5" s="371" customFormat="1" ht="4.9000000000000004" customHeight="1">
      <c r="A2" s="369"/>
      <c r="B2" s="370"/>
    </row>
    <row r="3" spans="1:5" ht="20.100000000000001" customHeight="1">
      <c r="A3" s="849" t="s">
        <v>553</v>
      </c>
      <c r="B3" s="849"/>
      <c r="C3" s="849"/>
    </row>
    <row r="4" spans="1:5" ht="4.9000000000000004" customHeight="1" thickBot="1">
      <c r="A4" s="186"/>
      <c r="B4" s="185"/>
      <c r="C4" s="185"/>
      <c r="E4" s="185"/>
    </row>
    <row r="5" spans="1:5" s="189" customFormat="1" ht="15.75" customHeight="1" thickBot="1">
      <c r="A5" s="186"/>
      <c r="B5" s="187" t="s">
        <v>270</v>
      </c>
      <c r="C5" s="188" t="s">
        <v>15</v>
      </c>
      <c r="E5" s="372"/>
    </row>
    <row r="6" spans="1:5" ht="12" customHeight="1" thickBot="1">
      <c r="A6" s="186"/>
      <c r="B6" s="185"/>
      <c r="C6" s="185"/>
      <c r="E6" s="185"/>
    </row>
    <row r="7" spans="1:5" ht="12.75" customHeight="1">
      <c r="A7" s="850" t="s">
        <v>272</v>
      </c>
      <c r="B7" s="852" t="s">
        <v>455</v>
      </c>
      <c r="C7" s="852" t="s">
        <v>554</v>
      </c>
      <c r="D7" s="854" t="s">
        <v>555</v>
      </c>
      <c r="E7" s="847" t="s">
        <v>556</v>
      </c>
    </row>
    <row r="8" spans="1:5" ht="13.5" thickBot="1">
      <c r="A8" s="851"/>
      <c r="B8" s="853"/>
      <c r="C8" s="853"/>
      <c r="D8" s="855"/>
      <c r="E8" s="848"/>
    </row>
    <row r="9" spans="1:5" s="193" customFormat="1" ht="15">
      <c r="A9" s="190" t="str">
        <f>'Nabavna cijena'!$A$7</f>
        <v>1.</v>
      </c>
      <c r="B9" s="191" t="str">
        <f>'Nabavna cijena'!$B$7</f>
        <v>Ophodarsko vozilo</v>
      </c>
      <c r="C9" s="192">
        <f>'Cijena sata rada'!B$53</f>
        <v>69.680000000000007</v>
      </c>
      <c r="D9" s="373">
        <v>39.57</v>
      </c>
      <c r="E9" s="374">
        <v>281.81</v>
      </c>
    </row>
    <row r="10" spans="1:5" s="193" customFormat="1" ht="15">
      <c r="A10" s="194" t="str">
        <f>'Nabavna cijena'!$A$8</f>
        <v>2.</v>
      </c>
      <c r="B10" s="195" t="str">
        <f>'Nabavna cijena'!$B$8</f>
        <v>Vozilo za vage (citroen jumper)</v>
      </c>
      <c r="C10" s="196">
        <f>'Cijena sata rada'!C$53</f>
        <v>92.69</v>
      </c>
      <c r="D10" s="375">
        <v>61.94</v>
      </c>
      <c r="E10" s="374">
        <v>244.21</v>
      </c>
    </row>
    <row r="11" spans="1:5" s="193" customFormat="1" ht="15">
      <c r="A11" s="194" t="str">
        <f>'Nabavna cijena'!$A$9</f>
        <v>3.</v>
      </c>
      <c r="B11" s="195" t="str">
        <f>'Nabavna cijena'!$B$9</f>
        <v>Vage</v>
      </c>
      <c r="C11" s="196">
        <f>'Cijena sata rada'!D$53</f>
        <v>31.47</v>
      </c>
      <c r="D11" s="375">
        <v>22.76</v>
      </c>
      <c r="E11" s="374">
        <v>209.15</v>
      </c>
    </row>
    <row r="12" spans="1:5" s="193" customFormat="1" ht="15">
      <c r="A12" s="194" t="str">
        <f>'Nabavna cijena'!$A$10</f>
        <v>4.</v>
      </c>
      <c r="B12" s="195" t="str">
        <f>'Nabavna cijena'!$B$10</f>
        <v>Grejder</v>
      </c>
      <c r="C12" s="196">
        <f>'Cijena sata rada'!E$53</f>
        <v>474.43</v>
      </c>
      <c r="D12" s="375">
        <v>317.92</v>
      </c>
      <c r="E12" s="374">
        <v>143.02000000000001</v>
      </c>
    </row>
    <row r="13" spans="1:5" s="193" customFormat="1" ht="15">
      <c r="A13" s="194" t="str">
        <f>'Nabavna cijena'!$A$11</f>
        <v>5.</v>
      </c>
      <c r="B13" s="195" t="str">
        <f>'Nabavna cijena'!$B$11</f>
        <v>Utovarivač</v>
      </c>
      <c r="C13" s="196">
        <f>'Cijena sata rada'!F$53</f>
        <v>508.15</v>
      </c>
      <c r="D13" s="375">
        <v>271.3</v>
      </c>
      <c r="E13" s="374">
        <v>56.98</v>
      </c>
    </row>
    <row r="14" spans="1:5" s="193" customFormat="1" ht="15">
      <c r="A14" s="194" t="str">
        <f>'Nabavna cijena'!$A$12</f>
        <v>6.</v>
      </c>
      <c r="B14" s="195" t="str">
        <f>'Nabavna cijena'!$B$12</f>
        <v>Rovokopač (bager) na kotačima</v>
      </c>
      <c r="C14" s="196">
        <f>'Cijena sata rada'!G$53</f>
        <v>385.37</v>
      </c>
      <c r="D14" s="375">
        <v>226.86</v>
      </c>
      <c r="E14" s="374">
        <v>101.37</v>
      </c>
    </row>
    <row r="15" spans="1:5" s="193" customFormat="1" ht="15">
      <c r="A15" s="194" t="str">
        <f>'Nabavna cijena'!$A$13</f>
        <v>7.</v>
      </c>
      <c r="B15" s="195" t="str">
        <f>'Nabavna cijena'!$B$13</f>
        <v>Rovokopač - utovarivač</v>
      </c>
      <c r="C15" s="196">
        <f>'Cijena sata rada'!H$53</f>
        <v>253.52</v>
      </c>
      <c r="D15" s="375">
        <v>158.44</v>
      </c>
      <c r="E15" s="374">
        <v>130.38</v>
      </c>
    </row>
    <row r="16" spans="1:5" s="193" customFormat="1" ht="15">
      <c r="A16" s="194" t="str">
        <f>'Nabavna cijena'!$A$14</f>
        <v>8.</v>
      </c>
      <c r="B16" s="195" t="str">
        <f>'Nabavna cijena'!$B$14</f>
        <v>Pneumatski čekić</v>
      </c>
      <c r="C16" s="196">
        <f>'Cijena sata rada'!I$53</f>
        <v>35.200000000000003</v>
      </c>
      <c r="D16" s="375">
        <v>56.98</v>
      </c>
      <c r="E16" s="374">
        <v>161.19999999999999</v>
      </c>
    </row>
    <row r="17" spans="1:5" s="193" customFormat="1" ht="15">
      <c r="A17" s="194" t="str">
        <f>'Nabavna cijena'!$A$15</f>
        <v>9.</v>
      </c>
      <c r="B17" s="195" t="str">
        <f>'Nabavna cijena'!$B$15</f>
        <v>Valjak do 2 t</v>
      </c>
      <c r="C17" s="196">
        <f>'Cijena sata rada'!J$53</f>
        <v>161.11000000000001</v>
      </c>
      <c r="D17" s="375">
        <v>108.17</v>
      </c>
      <c r="E17" s="374">
        <v>425.24</v>
      </c>
    </row>
    <row r="18" spans="1:5" s="193" customFormat="1" ht="15">
      <c r="A18" s="194" t="str">
        <f>'Nabavna cijena'!$A$16</f>
        <v>10.</v>
      </c>
      <c r="B18" s="195" t="str">
        <f>'Nabavna cijena'!$B$16</f>
        <v>Valjak 2-6 t</v>
      </c>
      <c r="C18" s="196">
        <f>'Cijena sata rada'!K$53</f>
        <v>215.88</v>
      </c>
      <c r="D18" s="375">
        <v>141.09</v>
      </c>
      <c r="E18" s="374">
        <v>450.93</v>
      </c>
    </row>
    <row r="19" spans="1:5" s="193" customFormat="1" ht="15">
      <c r="A19" s="194" t="str">
        <f>'Nabavna cijena'!$A$17</f>
        <v>11.</v>
      </c>
      <c r="B19" s="195" t="str">
        <f>'Nabavna cijena'!$B$17</f>
        <v>Valjak &gt; 6 t</v>
      </c>
      <c r="C19" s="196">
        <f>'Cijena sata rada'!L$53</f>
        <v>291.74</v>
      </c>
      <c r="D19" s="375">
        <v>174</v>
      </c>
      <c r="E19" s="374">
        <v>87.54</v>
      </c>
    </row>
    <row r="20" spans="1:5" s="193" customFormat="1" ht="15">
      <c r="A20" s="194" t="str">
        <f>'Nabavna cijena'!$A$18</f>
        <v>12.</v>
      </c>
      <c r="B20" s="195" t="str">
        <f>'Nabavna cijena'!$B$18</f>
        <v>Rezač asfalta</v>
      </c>
      <c r="C20" s="196">
        <f>'Cijena sata rada'!M$53</f>
        <v>159.34</v>
      </c>
      <c r="D20" s="375">
        <v>79.13</v>
      </c>
      <c r="E20" s="374">
        <v>82.94</v>
      </c>
    </row>
    <row r="21" spans="1:5" s="193" customFormat="1" ht="15">
      <c r="A21" s="194" t="str">
        <f>'Nabavna cijena'!$A$19</f>
        <v>13.</v>
      </c>
      <c r="B21" s="195" t="str">
        <f>'Nabavna cijena'!$B$19</f>
        <v>Freza za asfalt</v>
      </c>
      <c r="C21" s="196">
        <f>'Cijena sata rada'!N$53</f>
        <v>681.7</v>
      </c>
      <c r="D21" s="375">
        <v>449.45</v>
      </c>
      <c r="E21" s="374">
        <v>102.94</v>
      </c>
    </row>
    <row r="22" spans="1:5" s="193" customFormat="1" ht="15">
      <c r="A22" s="194" t="str">
        <f>'Nabavna cijena'!$A$20</f>
        <v>14.</v>
      </c>
      <c r="B22" s="195" t="str">
        <f>'Nabavna cijena'!$B$20</f>
        <v>Cisterna za bitumensku emulziju s rampom za prskanje</v>
      </c>
      <c r="C22" s="196">
        <f>'Cijena sata rada'!O$53</f>
        <v>415.52</v>
      </c>
      <c r="D22" s="375">
        <v>94.34</v>
      </c>
      <c r="E22" s="374">
        <v>188.34</v>
      </c>
    </row>
    <row r="23" spans="1:5" s="193" customFormat="1" ht="15">
      <c r="A23" s="194" t="str">
        <f>'Nabavna cijena'!$A$21</f>
        <v>15.</v>
      </c>
      <c r="B23" s="195" t="str">
        <f>'Nabavna cijena'!$B$21</f>
        <v xml:space="preserve">Finišer širine polaganja asfalta 5,0-7,0 m </v>
      </c>
      <c r="C23" s="196">
        <f>'Cijena sata rada'!P$53</f>
        <v>749.98</v>
      </c>
      <c r="D23" s="375">
        <v>475.14</v>
      </c>
      <c r="E23" s="374">
        <v>216.96</v>
      </c>
    </row>
    <row r="24" spans="1:5" s="193" customFormat="1" ht="15">
      <c r="A24" s="194" t="str">
        <f>'Nabavna cijena'!$A$22</f>
        <v>16.</v>
      </c>
      <c r="B24" s="195" t="str">
        <f>'Nabavna cijena'!$B$22</f>
        <v>Finišer za remiks</v>
      </c>
      <c r="C24" s="196">
        <f>'Cijena sata rada'!Q53</f>
        <v>277.45</v>
      </c>
      <c r="D24" s="375"/>
      <c r="E24" s="374"/>
    </row>
    <row r="25" spans="1:5" s="193" customFormat="1" ht="15">
      <c r="A25" s="194" t="str">
        <f>'Nabavna cijena'!$A$23</f>
        <v>17.</v>
      </c>
      <c r="B25" s="195" t="str">
        <f>'Nabavna cijena'!$B$23</f>
        <v>Kamion do 2 t</v>
      </c>
      <c r="C25" s="196">
        <f>'Cijena sata rada'!R$53</f>
        <v>149.27000000000001</v>
      </c>
      <c r="D25" s="375">
        <v>116.31</v>
      </c>
      <c r="E25" s="374">
        <v>21.04</v>
      </c>
    </row>
    <row r="26" spans="1:5" s="193" customFormat="1" ht="15">
      <c r="A26" s="194" t="str">
        <f>'Nabavna cijena'!$A$24</f>
        <v>18.</v>
      </c>
      <c r="B26" s="195" t="str">
        <f>'Nabavna cijena'!$B$24</f>
        <v>Teretni automobil nosivosti 3,5 - 12 t</v>
      </c>
      <c r="C26" s="196">
        <f>'Cijena sata rada'!S$53</f>
        <v>288.93</v>
      </c>
      <c r="D26" s="375">
        <v>220.88</v>
      </c>
      <c r="E26" s="374">
        <v>36.159999999999997</v>
      </c>
    </row>
    <row r="27" spans="1:5" s="193" customFormat="1" ht="15">
      <c r="A27" s="194" t="str">
        <f>'Nabavna cijena'!$A$25</f>
        <v>19.</v>
      </c>
      <c r="B27" s="195" t="str">
        <f>'Nabavna cijena'!$B$25</f>
        <v>Teretni automobil nosivosti &gt; 12 t</v>
      </c>
      <c r="C27" s="196">
        <f>'Cijena sata rada'!T$53</f>
        <v>433.46</v>
      </c>
      <c r="D27" s="375">
        <v>254.28</v>
      </c>
      <c r="E27" s="374">
        <v>41.42</v>
      </c>
    </row>
    <row r="28" spans="1:5" s="193" customFormat="1" ht="15">
      <c r="A28" s="194" t="str">
        <f>'Nabavna cijena'!$A$26</f>
        <v>20.</v>
      </c>
      <c r="B28" s="195" t="str">
        <f>'Nabavna cijena'!$B$26</f>
        <v>Teretni automobil cisterna</v>
      </c>
      <c r="C28" s="196">
        <f>'Cijena sata rada'!U$53</f>
        <v>427.05</v>
      </c>
      <c r="D28" s="375">
        <v>241.8</v>
      </c>
      <c r="E28" s="374">
        <v>55.23</v>
      </c>
    </row>
    <row r="29" spans="1:5" s="193" customFormat="1" ht="15">
      <c r="A29" s="194" t="str">
        <f>'Nabavna cijena'!$A$27</f>
        <v>21.</v>
      </c>
      <c r="B29" s="195" t="str">
        <f>'Nabavna cijena'!$B$27</f>
        <v>Teretni automobil nosivosti 3,5-12 t sa dizalicom</v>
      </c>
      <c r="C29" s="196">
        <f>'Cijena sata rada'!V$53</f>
        <v>464.05</v>
      </c>
      <c r="D29" s="375">
        <v>21.04</v>
      </c>
      <c r="E29" s="374">
        <v>19.36</v>
      </c>
    </row>
    <row r="30" spans="1:5" s="193" customFormat="1" ht="15">
      <c r="A30" s="194" t="str">
        <f>'Nabavna cijena'!$A$28</f>
        <v>22.</v>
      </c>
      <c r="B30" s="195" t="str">
        <f>'Nabavna cijena'!$B$28</f>
        <v>Autodizalica 28 t</v>
      </c>
      <c r="C30" s="196">
        <f>'Cijena sata rada'!W$53</f>
        <v>876.39</v>
      </c>
      <c r="D30" s="375">
        <v>527.03</v>
      </c>
      <c r="E30" s="374">
        <v>11.84</v>
      </c>
    </row>
    <row r="31" spans="1:5" s="193" customFormat="1" ht="15">
      <c r="A31" s="194" t="str">
        <f>'Nabavna cijena'!$A$29</f>
        <v>23.</v>
      </c>
      <c r="B31" s="195" t="str">
        <f>'Nabavna cijena'!$B$29</f>
        <v>Prikolica za prijevoz stroja nosivosti 24 t</v>
      </c>
      <c r="C31" s="196">
        <f>'Cijena sata rada'!X$53</f>
        <v>119.17</v>
      </c>
      <c r="D31" s="375">
        <v>80.61</v>
      </c>
      <c r="E31" s="374">
        <v>209.59</v>
      </c>
    </row>
    <row r="32" spans="1:5" s="193" customFormat="1" ht="15">
      <c r="A32" s="194" t="str">
        <f>'Nabavna cijena'!$A$30</f>
        <v>24.</v>
      </c>
      <c r="B32" s="195" t="str">
        <f>'Nabavna cijena'!$B$30</f>
        <v>Prikolica za prijevoz stroja nosivosti 7 t</v>
      </c>
      <c r="C32" s="196">
        <f>'Cijena sata rada'!Y$53</f>
        <v>76.069999999999993</v>
      </c>
      <c r="D32" s="375">
        <v>69.56</v>
      </c>
      <c r="E32" s="374">
        <v>490.13</v>
      </c>
    </row>
    <row r="33" spans="1:5" s="193" customFormat="1" ht="15">
      <c r="A33" s="194" t="str">
        <f>'Nabavna cijena'!$A$31</f>
        <v>25.</v>
      </c>
      <c r="B33" s="195" t="str">
        <f>'Nabavna cijena'!$B$31</f>
        <v>Prikolica za prijevoz stroja nosivosti 3,5 t</v>
      </c>
      <c r="C33" s="196">
        <f>'Cijena sata rada'!Z$53</f>
        <v>31.33</v>
      </c>
      <c r="D33" s="375">
        <v>28.26</v>
      </c>
      <c r="E33" s="374">
        <v>80.61</v>
      </c>
    </row>
    <row r="34" spans="1:5" s="193" customFormat="1" ht="15">
      <c r="A34" s="194" t="str">
        <f>'Nabavna cijena'!$A$32</f>
        <v>26.</v>
      </c>
      <c r="B34" s="195" t="str">
        <f>'Nabavna cijena'!$B$32</f>
        <v>Specijalni stroj (Mulag)</v>
      </c>
      <c r="C34" s="196">
        <f>'Cijena sata rada'!AA$53</f>
        <v>1006.42</v>
      </c>
      <c r="D34" s="375">
        <v>384.32</v>
      </c>
      <c r="E34" s="374">
        <v>69.56</v>
      </c>
    </row>
    <row r="35" spans="1:5" s="193" customFormat="1" ht="15">
      <c r="A35" s="194" t="str">
        <f>'Nabavna cijena'!$A$33</f>
        <v>27.</v>
      </c>
      <c r="B35" s="195" t="str">
        <f>'Nabavna cijena'!$B$33</f>
        <v>Snježna freza (samohodna)</v>
      </c>
      <c r="C35" s="196">
        <f>'Cijena sata rada'!AB53</f>
        <v>809.61</v>
      </c>
      <c r="D35" s="375"/>
      <c r="E35" s="374"/>
    </row>
    <row r="36" spans="1:5" s="193" customFormat="1" ht="15">
      <c r="A36" s="194" t="str">
        <f>'Nabavna cijena'!$A$34</f>
        <v>28.</v>
      </c>
      <c r="B36" s="195" t="str">
        <f>'Nabavna cijena'!$B$34</f>
        <v>Odbacivač snijega</v>
      </c>
      <c r="C36" s="196">
        <f>'Cijena sata rada'!AC$53</f>
        <v>105.53</v>
      </c>
      <c r="D36" s="375">
        <v>70.13</v>
      </c>
      <c r="E36" s="374">
        <v>206.41</v>
      </c>
    </row>
    <row r="37" spans="1:5" s="193" customFormat="1" ht="15">
      <c r="A37" s="194" t="str">
        <f>'Nabavna cijena'!$A$35</f>
        <v>29.</v>
      </c>
      <c r="B37" s="195" t="str">
        <f>'Nabavna cijena'!$B$35</f>
        <v>Uređaj za pripremu sredstva za mokro posipanje</v>
      </c>
      <c r="C37" s="196">
        <f>'Cijena sata rada'!AD$53</f>
        <v>343.37</v>
      </c>
      <c r="D37" s="375">
        <v>236.16</v>
      </c>
      <c r="E37" s="374">
        <v>116.71</v>
      </c>
    </row>
    <row r="38" spans="1:5" s="193" customFormat="1" ht="15">
      <c r="A38" s="194" t="str">
        <f>'Nabavna cijena'!$A$36</f>
        <v>30.</v>
      </c>
      <c r="B38" s="195" t="str">
        <f>'Nabavna cijena'!$B$36</f>
        <v>Manja ralica</v>
      </c>
      <c r="C38" s="196">
        <f>'Cijena sata rada'!AE$53</f>
        <v>40.61</v>
      </c>
      <c r="D38" s="375">
        <v>36.159999999999997</v>
      </c>
      <c r="E38" s="374">
        <v>53.26</v>
      </c>
    </row>
    <row r="39" spans="1:5" s="193" customFormat="1" ht="15">
      <c r="A39" s="194" t="str">
        <f>'Nabavna cijena'!$A$37</f>
        <v>31.</v>
      </c>
      <c r="B39" s="195" t="str">
        <f>'Nabavna cijena'!$B$37</f>
        <v>Snježni plug radne širine do 3,5 m</v>
      </c>
      <c r="C39" s="196">
        <f>'Cijena sata rada'!AF$53</f>
        <v>57.79</v>
      </c>
      <c r="D39" s="375">
        <v>41.42</v>
      </c>
      <c r="E39" s="374">
        <v>36.159999999999997</v>
      </c>
    </row>
    <row r="40" spans="1:5" s="193" customFormat="1" ht="15">
      <c r="A40" s="194" t="str">
        <f>'Nabavna cijena'!$A$38</f>
        <v>32.</v>
      </c>
      <c r="B40" s="195" t="str">
        <f>'Nabavna cijena'!$B$38</f>
        <v>Silosni posipač zapremine 6,0 m3</v>
      </c>
      <c r="C40" s="196">
        <f>'Cijena sata rada'!AG$53</f>
        <v>113.75</v>
      </c>
      <c r="D40" s="375">
        <v>55.23</v>
      </c>
      <c r="E40" s="374">
        <v>70.13</v>
      </c>
    </row>
    <row r="41" spans="1:5" s="193" customFormat="1" ht="15">
      <c r="A41" s="194" t="str">
        <f>'Nabavna cijena'!$A$39</f>
        <v>33.</v>
      </c>
      <c r="B41" s="195" t="str">
        <f>'Nabavna cijena'!$B$39</f>
        <v>Vučni posipač</v>
      </c>
      <c r="C41" s="196">
        <f>'Cijena sata rada'!AH$53</f>
        <v>28.69</v>
      </c>
      <c r="D41" s="375">
        <v>19.36</v>
      </c>
      <c r="E41" s="374">
        <v>234.06</v>
      </c>
    </row>
    <row r="42" spans="1:5" s="193" customFormat="1" ht="15">
      <c r="A42" s="194" t="str">
        <f>'Nabavna cijena'!$A$40</f>
        <v>34.</v>
      </c>
      <c r="B42" s="195" t="str">
        <f>'Nabavna cijena'!$B$40</f>
        <v>Silosni posipač zapremine 1,0 m3</v>
      </c>
      <c r="C42" s="196">
        <f>'Cijena sata rada'!AI$53</f>
        <v>46.59</v>
      </c>
      <c r="D42" s="375">
        <v>118.35</v>
      </c>
      <c r="E42" s="374">
        <v>357.23</v>
      </c>
    </row>
    <row r="43" spans="1:5" s="193" customFormat="1" ht="15">
      <c r="A43" s="194" t="str">
        <f>'Nabavna cijena'!$A$41</f>
        <v>35.</v>
      </c>
      <c r="B43" s="195" t="str">
        <f>'Nabavna cijena'!$B$41</f>
        <v>Specijalni stroj (Unimog)</v>
      </c>
      <c r="C43" s="196">
        <f>'Cijena sata rada'!AJ$53</f>
        <v>397.5</v>
      </c>
      <c r="D43" s="375">
        <v>231.03</v>
      </c>
      <c r="E43" s="374">
        <v>686.67</v>
      </c>
    </row>
    <row r="44" spans="1:5" s="193" customFormat="1" ht="15">
      <c r="A44" s="194" t="str">
        <f>'Nabavna cijena'!$A$42</f>
        <v>36.</v>
      </c>
      <c r="B44" s="195" t="str">
        <f>'Nabavna cijena'!$B$42</f>
        <v>Traktor</v>
      </c>
      <c r="C44" s="196">
        <f>'Cijena sata rada'!AK$53</f>
        <v>268.49</v>
      </c>
      <c r="D44" s="375">
        <v>129.84</v>
      </c>
      <c r="E44" s="374">
        <v>50.09</v>
      </c>
    </row>
    <row r="45" spans="1:5" s="193" customFormat="1" ht="15">
      <c r="A45" s="194" t="str">
        <f>'Nabavna cijena'!$A$43</f>
        <v>37.</v>
      </c>
      <c r="B45" s="195" t="str">
        <f>'Nabavna cijena'!$B$43</f>
        <v>Silosni posipač za specijalni stroj (Unimog)</v>
      </c>
      <c r="C45" s="196">
        <f>'Cijena sata rada'!AL$53</f>
        <v>91.02</v>
      </c>
      <c r="D45" s="375">
        <v>53.26</v>
      </c>
      <c r="E45" s="374">
        <v>50.09</v>
      </c>
    </row>
    <row r="46" spans="1:5" s="193" customFormat="1" ht="15">
      <c r="A46" s="194" t="str">
        <f>'Nabavna cijena'!$A$44</f>
        <v>38.</v>
      </c>
      <c r="B46" s="195" t="str">
        <f>'Nabavna cijena'!$B$44</f>
        <v>Snježni plug za specijani stroj (Unimog)</v>
      </c>
      <c r="C46" s="196">
        <f>'Cijena sata rada'!AM$53</f>
        <v>47.6</v>
      </c>
      <c r="D46" s="375">
        <v>36.159999999999997</v>
      </c>
      <c r="E46" s="374">
        <v>49.12</v>
      </c>
    </row>
    <row r="47" spans="1:5" s="193" customFormat="1" ht="15">
      <c r="A47" s="194" t="str">
        <f>'Nabavna cijena'!$A$45</f>
        <v>39.</v>
      </c>
      <c r="B47" s="195" t="str">
        <f>'Nabavna cijena'!$B$45</f>
        <v>Hidraulička ruka sa kosilicom za specijalni stroj (Unimog)</v>
      </c>
      <c r="C47" s="196">
        <f>'Cijena sata rada'!AN$53</f>
        <v>66.209999999999994</v>
      </c>
      <c r="D47" s="375">
        <v>50.09</v>
      </c>
      <c r="E47" s="374">
        <v>46.76</v>
      </c>
    </row>
    <row r="48" spans="1:5" s="193" customFormat="1" ht="15">
      <c r="A48" s="194" t="str">
        <f>'Nabavna cijena'!$A$46</f>
        <v>40.</v>
      </c>
      <c r="B48" s="195" t="str">
        <f>'Nabavna cijena'!$B$46</f>
        <v>Hidraulička ruka sa kosilicom za traktor</v>
      </c>
      <c r="C48" s="196">
        <f>'Cijena sata rada'!AO$53</f>
        <v>62.27</v>
      </c>
      <c r="D48" s="375">
        <v>50.09</v>
      </c>
      <c r="E48" s="374">
        <v>31.14</v>
      </c>
    </row>
    <row r="49" spans="1:5" s="193" customFormat="1" ht="15">
      <c r="A49" s="194" t="str">
        <f>'Nabavna cijena'!$A$47</f>
        <v>41.</v>
      </c>
      <c r="B49" s="195" t="str">
        <f>'Nabavna cijena'!$B$47</f>
        <v>Četka za kolnik za specijalni stroj (Unimog)</v>
      </c>
      <c r="C49" s="196">
        <f>'Cijena sata rada'!AP$53</f>
        <v>59.69</v>
      </c>
      <c r="D49" s="375">
        <v>49.12</v>
      </c>
      <c r="E49" s="374">
        <v>11.84</v>
      </c>
    </row>
    <row r="50" spans="1:5" s="193" customFormat="1" ht="15">
      <c r="A50" s="194" t="str">
        <f>'Nabavna cijena'!$A$48</f>
        <v>42.</v>
      </c>
      <c r="B50" s="195" t="str">
        <f>'Nabavna cijena'!$B$48</f>
        <v>Hidraulička ruka sa škarama za rezanje granja za specijalni stroj (Unimog)</v>
      </c>
      <c r="C50" s="196">
        <f>'Cijena sata rada'!AQ$53</f>
        <v>57.17</v>
      </c>
      <c r="D50" s="375">
        <v>46.76</v>
      </c>
      <c r="E50" s="374">
        <v>65.209999999999994</v>
      </c>
    </row>
    <row r="51" spans="1:5" s="193" customFormat="1" ht="15">
      <c r="A51" s="194" t="str">
        <f>'Nabavna cijena'!$A$49</f>
        <v>43.</v>
      </c>
      <c r="B51" s="195" t="str">
        <f>'Nabavna cijena'!$B$49</f>
        <v>Mlin za granje (drobilica)</v>
      </c>
      <c r="C51" s="196">
        <f>'Cijena sata rada'!AR$53</f>
        <v>70.16</v>
      </c>
      <c r="D51" s="375">
        <v>31.14</v>
      </c>
      <c r="E51" s="374">
        <v>73.8</v>
      </c>
    </row>
    <row r="52" spans="1:5" s="193" customFormat="1" ht="15">
      <c r="A52" s="194" t="str">
        <f>'Nabavna cijena'!$A$50</f>
        <v>44.</v>
      </c>
      <c r="B52" s="195" t="str">
        <f>'Nabavna cijena'!B50</f>
        <v>Motorna pila</v>
      </c>
      <c r="C52" s="196">
        <f>'Cijena sata rada'!AS53</f>
        <v>31.68</v>
      </c>
      <c r="D52" s="375"/>
      <c r="E52" s="374"/>
    </row>
    <row r="53" spans="1:5" s="193" customFormat="1" ht="15">
      <c r="A53" s="194" t="str">
        <f>'Nabavna cijena'!$A$51</f>
        <v>45.</v>
      </c>
      <c r="B53" s="195" t="str">
        <f>'Nabavna cijena'!B51</f>
        <v>Traktorska prikolica</v>
      </c>
      <c r="C53" s="196">
        <f>'Cijena sata rada'!AT53</f>
        <v>76.069999999999993</v>
      </c>
      <c r="D53" s="375"/>
      <c r="E53" s="374"/>
    </row>
    <row r="54" spans="1:5" s="193" customFormat="1" ht="15">
      <c r="A54" s="194" t="str">
        <f>'Nabavna cijena'!$A$52</f>
        <v>46.</v>
      </c>
      <c r="B54" s="195" t="str">
        <f>'Nabavna cijena'!$B$52</f>
        <v>Traktorska utovarna korpa</v>
      </c>
      <c r="C54" s="196">
        <f>'Cijena sata rada'!AU$53</f>
        <v>25.8</v>
      </c>
      <c r="D54" s="375">
        <v>11.54</v>
      </c>
      <c r="E54" s="374">
        <v>60.37</v>
      </c>
    </row>
    <row r="55" spans="1:5" s="193" customFormat="1" ht="15">
      <c r="A55" s="194" t="str">
        <f>'Nabavna cijena'!$A$53</f>
        <v>47.</v>
      </c>
      <c r="B55" s="195" t="str">
        <f>'Nabavna cijena'!$B$53</f>
        <v>Freza za uklanjanje nadvišenih dijelova bankine</v>
      </c>
      <c r="C55" s="196">
        <f>'Cijena sata rada'!AV$53</f>
        <v>205.78</v>
      </c>
      <c r="D55" s="375">
        <v>126.63</v>
      </c>
      <c r="E55" s="374">
        <v>35.75</v>
      </c>
    </row>
    <row r="56" spans="1:5" s="193" customFormat="1" ht="15">
      <c r="A56" s="194" t="str">
        <f>'Nabavna cijena'!$A$54</f>
        <v>48.</v>
      </c>
      <c r="B56" s="195" t="str">
        <f>'Nabavna cijena'!$B$54</f>
        <v>Freza za fuge SSF 12</v>
      </c>
      <c r="C56" s="196">
        <f>'Cijena sata rada'!AW$53</f>
        <v>199.89</v>
      </c>
      <c r="D56" s="375">
        <v>133.02000000000001</v>
      </c>
      <c r="E56" s="374">
        <v>191.48</v>
      </c>
    </row>
    <row r="57" spans="1:5" s="193" customFormat="1" ht="15">
      <c r="A57" s="194" t="str">
        <f>'Nabavna cijena'!$A$55</f>
        <v>49.</v>
      </c>
      <c r="B57" s="195" t="str">
        <f>'Nabavna cijena'!$B$55</f>
        <v>Stroj za fugiranje RWK 190/150</v>
      </c>
      <c r="C57" s="196">
        <f>'Cijena sata rada'!AX$53</f>
        <v>247.82</v>
      </c>
      <c r="D57" s="375">
        <v>162.46</v>
      </c>
      <c r="E57" s="374">
        <v>50.99</v>
      </c>
    </row>
    <row r="58" spans="1:5" s="193" customFormat="1" ht="15">
      <c r="A58" s="194" t="str">
        <f>'Nabavna cijena'!$A$56</f>
        <v>50.</v>
      </c>
      <c r="B58" s="195" t="str">
        <f>'Nabavna cijena'!$B$56</f>
        <v>Betonska miješalica</v>
      </c>
      <c r="C58" s="196">
        <f>'Cijena sata rada'!AY$53</f>
        <v>147.80000000000001</v>
      </c>
      <c r="D58" s="375">
        <v>64.900000000000006</v>
      </c>
      <c r="E58" s="374">
        <v>22.76</v>
      </c>
    </row>
    <row r="59" spans="1:5" s="193" customFormat="1" ht="15">
      <c r="A59" s="194" t="str">
        <f>'Nabavna cijena'!$A$57</f>
        <v>51.</v>
      </c>
      <c r="B59" s="195" t="str">
        <f>'Nabavna cijena'!$B$57</f>
        <v>Pumpa za vodu</v>
      </c>
      <c r="C59" s="196">
        <f>'Cijena sata rada'!AZ$53</f>
        <v>87.45</v>
      </c>
      <c r="D59" s="375">
        <v>38.57</v>
      </c>
      <c r="E59" s="374">
        <v>210.04</v>
      </c>
    </row>
    <row r="60" spans="1:5" s="193" customFormat="1" ht="15">
      <c r="A60" s="194" t="str">
        <f>'Nabavna cijena'!$A$58</f>
        <v>52.</v>
      </c>
      <c r="B60" s="195" t="str">
        <f>'Nabavna cijena'!$B$58</f>
        <v>Vibroploča</v>
      </c>
      <c r="C60" s="196">
        <f>'Cijena sata rada'!BA$53</f>
        <v>166.31</v>
      </c>
      <c r="D60" s="375">
        <v>72.010000000000005</v>
      </c>
      <c r="E60" s="374">
        <v>114.83</v>
      </c>
    </row>
    <row r="61" spans="1:5" s="193" customFormat="1" ht="15">
      <c r="A61" s="194" t="str">
        <f>'Nabavna cijena'!$A$59</f>
        <v>53.</v>
      </c>
      <c r="B61" s="195" t="str">
        <f>'Nabavna cijena'!$B$59</f>
        <v>Skidač oznaka na kolniku</v>
      </c>
      <c r="C61" s="196">
        <f>'Cijena sata rada'!BB$53</f>
        <v>258.79000000000002</v>
      </c>
      <c r="D61" s="375">
        <v>215.27</v>
      </c>
      <c r="E61" s="374">
        <v>9.6300000000000008</v>
      </c>
    </row>
    <row r="62" spans="1:5" s="193" customFormat="1" ht="25.5">
      <c r="A62" s="194" t="str">
        <f>'Nabavna cijena'!$A$60</f>
        <v>54.</v>
      </c>
      <c r="B62" s="195" t="str">
        <f>'Nabavna cijena'!$B$60</f>
        <v>Ručno vođeni stroj za nanošenje boje sa bezračnim "Airless" rasprskavajućim pištoljem</v>
      </c>
      <c r="C62" s="196">
        <f>'Cijena sata rada'!BC$53</f>
        <v>189.92</v>
      </c>
      <c r="D62" s="375">
        <v>211</v>
      </c>
      <c r="E62" s="374">
        <v>18.27</v>
      </c>
    </row>
    <row r="63" spans="1:5" s="193" customFormat="1" ht="15">
      <c r="A63" s="194" t="str">
        <f>'Nabavna cijena'!$A$61</f>
        <v>55.</v>
      </c>
      <c r="B63" s="195" t="str">
        <f>'Nabavna cijena'!B61</f>
        <v>Trokolica</v>
      </c>
      <c r="C63" s="196">
        <f>'Cijena sata rada'!BD53</f>
        <v>197.94</v>
      </c>
      <c r="D63" s="375"/>
      <c r="E63" s="374"/>
    </row>
    <row r="64" spans="1:5" s="193" customFormat="1" ht="15">
      <c r="A64" s="194" t="str">
        <f>'Nabavna cijena'!$A$62</f>
        <v>56.</v>
      </c>
      <c r="B64" s="195" t="str">
        <f>'Nabavna cijena'!$B$62</f>
        <v>Pokretni kompresor s priključcima</v>
      </c>
      <c r="C64" s="196">
        <f>'Cijena sata rada'!BE$53</f>
        <v>179.07</v>
      </c>
      <c r="D64" s="375">
        <v>121.7</v>
      </c>
      <c r="E64" s="374">
        <v>118.19</v>
      </c>
    </row>
    <row r="65" spans="1:5" s="193" customFormat="1" ht="15">
      <c r="A65" s="194" t="str">
        <f>'Nabavna cijena'!$A$63</f>
        <v>57.</v>
      </c>
      <c r="B65" s="195" t="str">
        <f>'Nabavna cijena'!B63</f>
        <v>Hidraulična košara</v>
      </c>
      <c r="C65" s="196">
        <f>'Cijena sata rada'!BF53</f>
        <v>249.17</v>
      </c>
      <c r="D65" s="375"/>
      <c r="E65" s="374"/>
    </row>
    <row r="66" spans="1:5" s="193" customFormat="1" ht="15">
      <c r="A66" s="194" t="str">
        <f>'Nabavna cijena'!$A$64</f>
        <v>58.</v>
      </c>
      <c r="B66" s="195" t="str">
        <f>'Nabavna cijena'!$B$64</f>
        <v>Pokretni semafor</v>
      </c>
      <c r="C66" s="196">
        <f>'Cijena sata rada'!BG$53</f>
        <v>55.15</v>
      </c>
      <c r="D66" s="375">
        <v>9.76</v>
      </c>
      <c r="E66" s="374"/>
    </row>
    <row r="67" spans="1:5" s="193" customFormat="1" ht="15.75" thickBot="1">
      <c r="A67" s="194" t="str">
        <f>'Nabavna cijena'!$A$65</f>
        <v>59.</v>
      </c>
      <c r="B67" s="195" t="str">
        <f>'Nabavna cijena'!$B$65</f>
        <v>Prijenosni agregat za struju s priključcima</v>
      </c>
      <c r="C67" s="196">
        <f>'Cijena sata rada'!BH$53</f>
        <v>31.94</v>
      </c>
      <c r="D67" s="376">
        <v>22.36</v>
      </c>
      <c r="E67" s="377"/>
    </row>
    <row r="68" spans="1:5" s="193" customFormat="1" ht="15">
      <c r="A68" s="194" t="str">
        <f>'Nabavna cijena'!$A$66</f>
        <v>60.</v>
      </c>
      <c r="B68" s="195" t="str">
        <f>'Nabavna cijena'!$B$66</f>
        <v>Silos za sol</v>
      </c>
      <c r="C68" s="196">
        <f>'Cijena sata rada'!BI$53</f>
        <v>24.36</v>
      </c>
      <c r="D68" s="378"/>
      <c r="E68" s="379"/>
    </row>
    <row r="69" spans="1:5" s="193" customFormat="1" ht="15">
      <c r="A69" s="194" t="str">
        <f>'Nabavna cijena'!$A$67</f>
        <v>61.</v>
      </c>
      <c r="B69" s="195" t="str">
        <f>'Nabavna cijena'!$B$67</f>
        <v>Nadstrešnica za sol</v>
      </c>
      <c r="C69" s="196">
        <f>'Cijena sata rada'!BJ$53</f>
        <v>24.01</v>
      </c>
      <c r="D69" s="378"/>
      <c r="E69" s="379"/>
    </row>
    <row r="70" spans="1:5" s="193" customFormat="1" ht="15">
      <c r="A70" s="194" t="str">
        <f>'Nabavna cijena'!$A$68</f>
        <v>62.</v>
      </c>
      <c r="B70" s="195" t="str">
        <f>'Nabavna cijena'!$B$68</f>
        <v>Termokontejner za asfalt (6t)</v>
      </c>
      <c r="C70" s="196">
        <f>'Cijena sata rada'!BK$53</f>
        <v>112.58</v>
      </c>
      <c r="D70" s="378"/>
      <c r="E70" s="379"/>
    </row>
    <row r="71" spans="1:5" s="193" customFormat="1" ht="15">
      <c r="A71" s="194" t="str">
        <f>'Nabavna cijena'!$A$69</f>
        <v>63.</v>
      </c>
      <c r="B71" s="195" t="str">
        <f>'Nabavna cijena'!$B$69</f>
        <v>Mali finišer širine polaganja asfalta 0,5-3,2 m</v>
      </c>
      <c r="C71" s="196">
        <f>'Cijena sata rada'!BL$53</f>
        <v>401.23</v>
      </c>
      <c r="D71" s="378"/>
      <c r="E71" s="379"/>
    </row>
    <row r="72" spans="1:5" s="193" customFormat="1" ht="15">
      <c r="A72" s="194" t="str">
        <f>'Nabavna cijena'!$A$70</f>
        <v>64.</v>
      </c>
      <c r="B72" s="195" t="str">
        <f>'Nabavna cijena'!$B$70</f>
        <v>Malčer - rotositnilica za bager</v>
      </c>
      <c r="C72" s="196">
        <f>'Cijena sata rada'!BM$53</f>
        <v>44.71</v>
      </c>
      <c r="D72" s="378"/>
      <c r="E72" s="379"/>
    </row>
    <row r="73" spans="1:5" s="193" customFormat="1" ht="15">
      <c r="A73" s="194" t="str">
        <f>'Nabavna cijena'!$A$71</f>
        <v>65.</v>
      </c>
      <c r="B73" s="195" t="str">
        <f>'Nabavna cijena'!$B$71</f>
        <v>Mini rovokopač (bager)</v>
      </c>
      <c r="C73" s="196">
        <f>'Cijena sata rada'!BN$53</f>
        <v>268.57</v>
      </c>
      <c r="D73" s="378"/>
      <c r="E73" s="379"/>
    </row>
    <row r="74" spans="1:5" s="193" customFormat="1" ht="15">
      <c r="A74" s="194" t="str">
        <f>'Nabavna cijena'!$A$72</f>
        <v>66.</v>
      </c>
      <c r="B74" s="195" t="str">
        <f>'Nabavna cijena'!$B$72</f>
        <v>Mini utovarivač</v>
      </c>
      <c r="C74" s="196">
        <f>'Cijena sata rada'!BO$53</f>
        <v>246.68</v>
      </c>
      <c r="D74" s="378"/>
      <c r="E74" s="379"/>
    </row>
    <row r="75" spans="1:5" s="193" customFormat="1" ht="15">
      <c r="A75" s="194" t="str">
        <f>'Nabavna cijena'!$A$73</f>
        <v>67.</v>
      </c>
      <c r="B75" s="195" t="str">
        <f>'Nabavna cijena'!$B$73</f>
        <v>Stroj za izradu bankina</v>
      </c>
      <c r="C75" s="196">
        <f>'Cijena sata rada'!BP$53</f>
        <v>355.96</v>
      </c>
      <c r="D75" s="378"/>
      <c r="E75" s="379"/>
    </row>
    <row r="76" spans="1:5" s="193" customFormat="1" ht="15">
      <c r="A76" s="194" t="str">
        <f>'Nabavna cijena'!$A$74</f>
        <v>68.</v>
      </c>
      <c r="B76" s="195" t="str">
        <f>'Nabavna cijena'!$B$74</f>
        <v>Teretni automobil nosivosti do 3,5t</v>
      </c>
      <c r="C76" s="196">
        <f>'Cijena sata rada'!BQ$53</f>
        <v>184.48</v>
      </c>
      <c r="D76" s="378"/>
      <c r="E76" s="379"/>
    </row>
    <row r="77" spans="1:5" s="193" customFormat="1" ht="15">
      <c r="A77" s="194" t="str">
        <f>'Nabavna cijena'!$A$75</f>
        <v>69.</v>
      </c>
      <c r="B77" s="195" t="str">
        <f>'Nabavna cijena'!$B$75</f>
        <v>Ručni trimer za travu</v>
      </c>
      <c r="C77" s="196">
        <f>'Cijena sata rada'!BR$53</f>
        <v>45.31</v>
      </c>
      <c r="D77" s="378"/>
      <c r="E77" s="379"/>
    </row>
    <row r="78" spans="1:5" s="193" customFormat="1" ht="15">
      <c r="A78" s="194" t="str">
        <f>'Nabavna cijena'!$A$76</f>
        <v>70.</v>
      </c>
      <c r="B78" s="195" t="str">
        <f>'Nabavna cijena'!$B$76</f>
        <v>Priključak za specijalni stroj (Unimog) - usisavač trave</v>
      </c>
      <c r="C78" s="196">
        <f>'Cijena sata rada'!BS$53</f>
        <v>164.38</v>
      </c>
      <c r="D78" s="378"/>
      <c r="E78" s="379"/>
    </row>
    <row r="79" spans="1:5" s="193" customFormat="1" ht="15">
      <c r="A79" s="194" t="str">
        <f>'Nabavna cijena'!$A$77</f>
        <v>71.</v>
      </c>
      <c r="B79" s="195" t="str">
        <f>'Nabavna cijena'!$B$77</f>
        <v>Priključak za traktor - usisavač trave</v>
      </c>
      <c r="C79" s="196">
        <f>'Cijena sata rada'!BT$53</f>
        <v>164.38</v>
      </c>
      <c r="D79" s="378"/>
      <c r="E79" s="379"/>
    </row>
    <row r="80" spans="1:5" s="193" customFormat="1" ht="15">
      <c r="A80" s="194" t="str">
        <f>'Nabavna cijena'!$A$78</f>
        <v>72.</v>
      </c>
      <c r="B80" s="195" t="str">
        <f>'Nabavna cijena'!$B$78</f>
        <v>Priključak za specijalni stroj (Unimog)  - prikolica za skupljanje usisane trave</v>
      </c>
      <c r="C80" s="196">
        <f>'Cijena sata rada'!BU$53</f>
        <v>92.05</v>
      </c>
      <c r="D80" s="378"/>
      <c r="E80" s="379"/>
    </row>
    <row r="81" spans="1:5" s="193" customFormat="1" ht="15">
      <c r="A81" s="194" t="str">
        <f>'Nabavna cijena'!$A$79</f>
        <v>73.</v>
      </c>
      <c r="B81" s="195" t="str">
        <f>'Nabavna cijena'!$B$79</f>
        <v>Priključak za traktor  - prikolica za skupljanje usisane trave</v>
      </c>
      <c r="C81" s="196">
        <f>'Cijena sata rada'!BV$53</f>
        <v>92.05</v>
      </c>
      <c r="D81" s="378"/>
      <c r="E81" s="379"/>
    </row>
    <row r="82" spans="1:5" s="193" customFormat="1" ht="15">
      <c r="A82" s="194" t="str">
        <f>'Nabavna cijena'!$A$80</f>
        <v>74.</v>
      </c>
      <c r="B82" s="195" t="str">
        <f>'Nabavna cijena'!$B$80</f>
        <v>Samohodni stroj za oznake na kolniku + Amakos</v>
      </c>
      <c r="C82" s="196">
        <f>'Cijena sata rada'!BW$53</f>
        <v>331.86</v>
      </c>
      <c r="D82" s="378"/>
      <c r="E82" s="379"/>
    </row>
    <row r="83" spans="1:5" s="193" customFormat="1" ht="15">
      <c r="A83" s="194" t="str">
        <f>'Nabavna cijena'!$A$81</f>
        <v>75.</v>
      </c>
      <c r="B83" s="195" t="str">
        <f>'Nabavna cijena'!$B$81</f>
        <v>Pervibrator</v>
      </c>
      <c r="C83" s="196">
        <f>'Cijena sata rada'!BX$53</f>
        <v>52.49</v>
      </c>
      <c r="D83" s="378"/>
      <c r="E83" s="379"/>
    </row>
    <row r="84" spans="1:5" s="193" customFormat="1" ht="15">
      <c r="A84" s="194" t="str">
        <f>'Nabavna cijena'!$A$82</f>
        <v>76.</v>
      </c>
      <c r="B84" s="195" t="str">
        <f>'Nabavna cijena'!$B$82</f>
        <v>Četka za mini utovarivač</v>
      </c>
      <c r="C84" s="196">
        <f>'Cijena sata rada'!BY$53</f>
        <v>46.03</v>
      </c>
      <c r="D84" s="378"/>
      <c r="E84" s="379"/>
    </row>
    <row r="85" spans="1:5" s="193" customFormat="1" ht="15.75" thickBot="1">
      <c r="A85" s="197" t="str">
        <f>'Nabavna cijena'!$A$83</f>
        <v>77.</v>
      </c>
      <c r="B85" s="198" t="str">
        <f>'Nabavna cijena'!$B$83</f>
        <v>Ručna prijenosna prskalica za bitumensku emulziju</v>
      </c>
      <c r="C85" s="199">
        <f>'Cijena sata rada'!BZ$53</f>
        <v>60.23</v>
      </c>
      <c r="D85" s="378"/>
      <c r="E85" s="379"/>
    </row>
    <row r="86" spans="1:5" ht="12.75" customHeight="1">
      <c r="A86" s="856" t="s">
        <v>272</v>
      </c>
      <c r="B86" s="852" t="s">
        <v>557</v>
      </c>
      <c r="C86" s="838" t="s">
        <v>558</v>
      </c>
      <c r="D86" s="854" t="s">
        <v>555</v>
      </c>
      <c r="E86" s="847" t="s">
        <v>556</v>
      </c>
    </row>
    <row r="87" spans="1:5" ht="13.5" thickBot="1">
      <c r="A87" s="857"/>
      <c r="B87" s="853"/>
      <c r="C87" s="839"/>
      <c r="D87" s="855"/>
      <c r="E87" s="848"/>
    </row>
    <row r="88" spans="1:5" s="193" customFormat="1" ht="15.75" thickBot="1">
      <c r="A88" s="190" t="s">
        <v>407</v>
      </c>
      <c r="B88" s="191" t="str">
        <f>'Nabavna cijena'!$B$66</f>
        <v>Silos za sol</v>
      </c>
      <c r="C88" s="192">
        <f>'Cijena sata rada'!BI53</f>
        <v>24.36</v>
      </c>
      <c r="D88" s="376">
        <v>22.36</v>
      </c>
      <c r="E88" s="377"/>
    </row>
    <row r="89" spans="1:5" s="193" customFormat="1" ht="15.75" thickBot="1">
      <c r="A89" s="197" t="s">
        <v>409</v>
      </c>
      <c r="B89" s="198" t="str">
        <f>'Nabavna cijena'!$B$67</f>
        <v>Nadstrešnica za sol</v>
      </c>
      <c r="C89" s="199">
        <f>'Cijena sata rada'!BJ53</f>
        <v>24.01</v>
      </c>
      <c r="D89" s="376">
        <v>22.36</v>
      </c>
      <c r="E89" s="377"/>
    </row>
    <row r="90" spans="1:5" ht="18" customHeight="1">
      <c r="A90" s="179">
        <v>81</v>
      </c>
      <c r="B90" s="180" t="str">
        <f>'Nabavna cijena'!B84</f>
        <v>Viličar</v>
      </c>
      <c r="C90" s="368">
        <f>'Cijena sata rada'!CA53</f>
        <v>226.03</v>
      </c>
    </row>
    <row r="91" spans="1:5">
      <c r="A91" s="179">
        <v>82</v>
      </c>
      <c r="B91" s="180" t="str">
        <f>'Nabavna cijena'!B85</f>
        <v>Snježna freza - ručna</v>
      </c>
      <c r="C91" s="368">
        <f>'Cijena sata rada'!CB53</f>
        <v>209.55</v>
      </c>
    </row>
  </sheetData>
  <sheetProtection selectLockedCells="1"/>
  <mergeCells count="11">
    <mergeCell ref="E86:E87"/>
    <mergeCell ref="A86:A87"/>
    <mergeCell ref="B86:B87"/>
    <mergeCell ref="C86:C87"/>
    <mergeCell ref="D86:D87"/>
    <mergeCell ref="E7:E8"/>
    <mergeCell ref="A3:C3"/>
    <mergeCell ref="D7:D8"/>
    <mergeCell ref="C7:C8"/>
    <mergeCell ref="A7:A8"/>
    <mergeCell ref="B7:B8"/>
  </mergeCells>
  <phoneticPr fontId="1" type="noConversion"/>
  <conditionalFormatting sqref="C88:C89 C9:C85">
    <cfRule type="cellIs" dxfId="8" priority="1" stopIfTrue="1" operator="lessThan">
      <formula>#REF!</formula>
    </cfRule>
  </conditionalFormatting>
  <conditionalFormatting sqref="B9:B85">
    <cfRule type="cellIs" dxfId="7" priority="2" stopIfTrue="1" operator="notEqual">
      <formula>#REF!</formula>
    </cfRule>
  </conditionalFormatting>
  <pageMargins left="0.98425196850393704" right="0.39370078740157483" top="0.39370078740157483" bottom="0.39370078740157483" header="0.19685039370078741" footer="0.19685039370078741"/>
  <pageSetup paperSize="9" scale="96" orientation="portrait" horizontalDpi="4294967292" verticalDpi="300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0"/>
  </sheetPr>
  <dimension ref="A1:I90"/>
  <sheetViews>
    <sheetView view="pageBreakPreview" zoomScale="115" zoomScaleNormal="85" zoomScaleSheetLayoutView="115" workbookViewId="0">
      <selection activeCell="B89" sqref="B89"/>
    </sheetView>
  </sheetViews>
  <sheetFormatPr defaultRowHeight="12.75"/>
  <cols>
    <col min="1" max="1" width="5.7109375" style="179" customWidth="1"/>
    <col min="2" max="2" width="69" style="180" customWidth="1"/>
    <col min="3" max="3" width="8.7109375" style="181" customWidth="1"/>
    <col min="4" max="4" width="14.140625" style="181" bestFit="1" customWidth="1"/>
    <col min="5" max="5" width="10.28515625" style="483" customWidth="1"/>
    <col min="6" max="6" width="9.140625" style="483"/>
    <col min="7" max="7" width="10.28515625" style="457" customWidth="1"/>
    <col min="8" max="16384" width="9.140625" style="181"/>
  </cols>
  <sheetData>
    <row r="1" spans="1:9" ht="4.9000000000000004" customHeight="1"/>
    <row r="2" spans="1:9" s="184" customFormat="1" ht="4.9000000000000004" customHeight="1">
      <c r="A2" s="182"/>
      <c r="B2" s="183"/>
      <c r="E2" s="484"/>
      <c r="F2" s="484"/>
      <c r="G2" s="458"/>
    </row>
    <row r="3" spans="1:9" ht="20.100000000000001" customHeight="1">
      <c r="A3" s="849" t="s">
        <v>553</v>
      </c>
      <c r="B3" s="849"/>
      <c r="C3" s="849"/>
    </row>
    <row r="4" spans="1:9" ht="4.9000000000000004" customHeight="1" thickBot="1">
      <c r="A4" s="186"/>
      <c r="B4" s="185"/>
      <c r="C4" s="185"/>
    </row>
    <row r="5" spans="1:9" s="189" customFormat="1" ht="15.75" customHeight="1" thickBot="1">
      <c r="A5" s="186"/>
      <c r="B5" s="187" t="s">
        <v>270</v>
      </c>
      <c r="C5" s="188" t="s">
        <v>15</v>
      </c>
      <c r="D5" s="491"/>
      <c r="E5" s="485"/>
      <c r="F5" s="485"/>
      <c r="G5" s="459"/>
    </row>
    <row r="6" spans="1:9" ht="12" customHeight="1" thickBot="1">
      <c r="A6" s="186"/>
      <c r="B6" s="185"/>
      <c r="C6" s="185"/>
      <c r="D6" s="492"/>
    </row>
    <row r="7" spans="1:9" ht="12.75" customHeight="1">
      <c r="A7" s="864" t="s">
        <v>272</v>
      </c>
      <c r="B7" s="866" t="s">
        <v>455</v>
      </c>
      <c r="C7" s="862">
        <v>2021</v>
      </c>
      <c r="D7" s="493"/>
      <c r="E7" s="859" t="s">
        <v>559</v>
      </c>
      <c r="F7" s="861"/>
      <c r="G7" s="858" t="s">
        <v>560</v>
      </c>
      <c r="H7" s="858" t="s">
        <v>561</v>
      </c>
      <c r="I7" s="858" t="s">
        <v>562</v>
      </c>
    </row>
    <row r="8" spans="1:9" ht="27" customHeight="1" thickBot="1">
      <c r="A8" s="865"/>
      <c r="B8" s="867"/>
      <c r="C8" s="863"/>
      <c r="D8" s="490">
        <v>1.05</v>
      </c>
      <c r="E8" s="860"/>
      <c r="F8" s="861"/>
      <c r="G8" s="858"/>
      <c r="H8" s="858"/>
      <c r="I8" s="858"/>
    </row>
    <row r="9" spans="1:9" s="193" customFormat="1" ht="15">
      <c r="A9" s="190" t="s">
        <v>13</v>
      </c>
      <c r="B9" s="191" t="s">
        <v>127</v>
      </c>
      <c r="C9" s="192">
        <f>ROUND(G9*$D$8,2)</f>
        <v>59.43</v>
      </c>
      <c r="E9" s="486">
        <v>64.59</v>
      </c>
      <c r="F9" s="487">
        <f>C9/E9</f>
        <v>0.92011147236414303</v>
      </c>
      <c r="G9" s="481">
        <v>56.6</v>
      </c>
      <c r="H9" s="480">
        <f>C9/G9</f>
        <v>1.05</v>
      </c>
      <c r="I9" s="480">
        <f>E9/G9</f>
        <v>1.141166077738516</v>
      </c>
    </row>
    <row r="10" spans="1:9" s="193" customFormat="1" ht="15">
      <c r="A10" s="194" t="s">
        <v>17</v>
      </c>
      <c r="B10" s="195" t="s">
        <v>465</v>
      </c>
      <c r="C10" s="196">
        <f t="shared" ref="C10:C73" si="0">ROUND(G10*$D$8,2)</f>
        <v>69.66</v>
      </c>
      <c r="E10" s="488">
        <v>85.56</v>
      </c>
      <c r="F10" s="487">
        <f t="shared" ref="F10:F73" si="1">C10/E10</f>
        <v>0.81416549789621318</v>
      </c>
      <c r="G10" s="481">
        <v>66.34</v>
      </c>
      <c r="H10" s="480">
        <f t="shared" ref="H10:H73" si="2">C10/G10</f>
        <v>1.0500452215857701</v>
      </c>
      <c r="I10" s="480">
        <f t="shared" ref="I10:I73" si="3">E10/G10</f>
        <v>1.2897196261682242</v>
      </c>
    </row>
    <row r="11" spans="1:9" s="193" customFormat="1" ht="15">
      <c r="A11" s="194" t="s">
        <v>68</v>
      </c>
      <c r="B11" s="195" t="s">
        <v>466</v>
      </c>
      <c r="C11" s="196">
        <f t="shared" si="0"/>
        <v>33.04</v>
      </c>
      <c r="E11" s="488">
        <v>31.47</v>
      </c>
      <c r="F11" s="487">
        <f t="shared" si="1"/>
        <v>1.049888782967906</v>
      </c>
      <c r="G11" s="481">
        <v>31.47</v>
      </c>
      <c r="H11" s="480">
        <f t="shared" si="2"/>
        <v>1.049888782967906</v>
      </c>
      <c r="I11" s="480">
        <f t="shared" si="3"/>
        <v>1</v>
      </c>
    </row>
    <row r="12" spans="1:9" s="193" customFormat="1" ht="15">
      <c r="A12" s="194" t="s">
        <v>77</v>
      </c>
      <c r="B12" s="195" t="s">
        <v>202</v>
      </c>
      <c r="C12" s="196">
        <f t="shared" si="0"/>
        <v>447.37</v>
      </c>
      <c r="E12" s="488">
        <v>498.07</v>
      </c>
      <c r="F12" s="487">
        <f t="shared" si="1"/>
        <v>0.89820707932619914</v>
      </c>
      <c r="G12" s="481">
        <v>426.07</v>
      </c>
      <c r="H12" s="480">
        <f t="shared" si="2"/>
        <v>1.0499917853873777</v>
      </c>
      <c r="I12" s="480">
        <f t="shared" si="3"/>
        <v>1.1689863168024033</v>
      </c>
    </row>
    <row r="13" spans="1:9" s="193" customFormat="1" ht="15">
      <c r="A13" s="194" t="s">
        <v>87</v>
      </c>
      <c r="B13" s="195" t="s">
        <v>255</v>
      </c>
      <c r="C13" s="196">
        <f t="shared" si="0"/>
        <v>605.15</v>
      </c>
      <c r="E13" s="488">
        <v>396.93</v>
      </c>
      <c r="F13" s="487">
        <f t="shared" si="1"/>
        <v>1.5245761217343108</v>
      </c>
      <c r="G13" s="481">
        <v>576.33000000000004</v>
      </c>
      <c r="H13" s="480">
        <f t="shared" si="2"/>
        <v>1.0500060729096177</v>
      </c>
      <c r="I13" s="480">
        <f t="shared" si="3"/>
        <v>0.68872000416428081</v>
      </c>
    </row>
    <row r="14" spans="1:9" s="193" customFormat="1" ht="15">
      <c r="A14" s="194" t="s">
        <v>92</v>
      </c>
      <c r="B14" s="195" t="s">
        <v>214</v>
      </c>
      <c r="C14" s="196">
        <f t="shared" si="0"/>
        <v>367.61</v>
      </c>
      <c r="E14" s="488">
        <v>418.17</v>
      </c>
      <c r="F14" s="487">
        <f t="shared" si="1"/>
        <v>0.87909223521534308</v>
      </c>
      <c r="G14" s="481">
        <v>350.1</v>
      </c>
      <c r="H14" s="480">
        <f t="shared" si="2"/>
        <v>1.0500142816338189</v>
      </c>
      <c r="I14" s="480">
        <f t="shared" si="3"/>
        <v>1.1944301628106255</v>
      </c>
    </row>
    <row r="15" spans="1:9" s="193" customFormat="1" ht="15">
      <c r="A15" s="194" t="s">
        <v>96</v>
      </c>
      <c r="B15" s="195" t="s">
        <v>163</v>
      </c>
      <c r="C15" s="498">
        <f>'Cijena sata rada'!H53</f>
        <v>253.52</v>
      </c>
      <c r="D15" s="497"/>
      <c r="E15" s="488">
        <v>246.7</v>
      </c>
      <c r="F15" s="487">
        <f t="shared" si="1"/>
        <v>1.027644912849615</v>
      </c>
      <c r="G15" s="481">
        <v>217.45</v>
      </c>
      <c r="H15" s="480">
        <f t="shared" si="2"/>
        <v>1.1658772131524489</v>
      </c>
      <c r="I15" s="480">
        <f t="shared" si="3"/>
        <v>1.1345136813060475</v>
      </c>
    </row>
    <row r="16" spans="1:9" s="193" customFormat="1" ht="15">
      <c r="A16" s="194" t="s">
        <v>104</v>
      </c>
      <c r="B16" s="195" t="s">
        <v>218</v>
      </c>
      <c r="C16" s="196">
        <f t="shared" si="0"/>
        <v>82.31</v>
      </c>
      <c r="E16" s="488">
        <v>53.9</v>
      </c>
      <c r="F16" s="487">
        <f t="shared" si="1"/>
        <v>1.5270871985157701</v>
      </c>
      <c r="G16" s="481">
        <v>78.39</v>
      </c>
      <c r="H16" s="480">
        <f t="shared" si="2"/>
        <v>1.0500063783645874</v>
      </c>
      <c r="I16" s="480">
        <f t="shared" si="3"/>
        <v>0.68758770251307566</v>
      </c>
    </row>
    <row r="17" spans="1:9" s="193" customFormat="1" ht="15">
      <c r="A17" s="194" t="s">
        <v>108</v>
      </c>
      <c r="B17" s="195" t="s">
        <v>208</v>
      </c>
      <c r="C17" s="196">
        <f t="shared" si="0"/>
        <v>151.94999999999999</v>
      </c>
      <c r="E17" s="488">
        <v>159.19</v>
      </c>
      <c r="F17" s="487">
        <f t="shared" si="1"/>
        <v>0.95451975626609709</v>
      </c>
      <c r="G17" s="481">
        <v>144.71</v>
      </c>
      <c r="H17" s="480">
        <f t="shared" si="2"/>
        <v>1.0500310966761106</v>
      </c>
      <c r="I17" s="480">
        <f t="shared" si="3"/>
        <v>1.1000621933522217</v>
      </c>
    </row>
    <row r="18" spans="1:9" s="193" customFormat="1" ht="15">
      <c r="A18" s="194" t="s">
        <v>112</v>
      </c>
      <c r="B18" s="195" t="s">
        <v>148</v>
      </c>
      <c r="C18" s="196">
        <f t="shared" si="0"/>
        <v>199.57</v>
      </c>
      <c r="E18" s="488">
        <v>211.41</v>
      </c>
      <c r="F18" s="487">
        <f t="shared" si="1"/>
        <v>0.94399508064897586</v>
      </c>
      <c r="G18" s="481">
        <v>190.07</v>
      </c>
      <c r="H18" s="480">
        <f t="shared" si="2"/>
        <v>1.0499815857315726</v>
      </c>
      <c r="I18" s="480">
        <f t="shared" si="3"/>
        <v>1.112274425211764</v>
      </c>
    </row>
    <row r="19" spans="1:9" s="193" customFormat="1" ht="15">
      <c r="A19" s="194" t="s">
        <v>117</v>
      </c>
      <c r="B19" s="195" t="s">
        <v>157</v>
      </c>
      <c r="C19" s="196">
        <f t="shared" si="0"/>
        <v>269.36</v>
      </c>
      <c r="E19" s="488">
        <v>284.73</v>
      </c>
      <c r="F19" s="487">
        <f t="shared" si="1"/>
        <v>0.94601903557756473</v>
      </c>
      <c r="G19" s="481">
        <v>256.52999999999997</v>
      </c>
      <c r="H19" s="480">
        <f t="shared" si="2"/>
        <v>1.0500136436284258</v>
      </c>
      <c r="I19" s="480">
        <f t="shared" si="3"/>
        <v>1.1099286633142325</v>
      </c>
    </row>
    <row r="20" spans="1:9" s="193" customFormat="1" ht="15">
      <c r="A20" s="194" t="s">
        <v>279</v>
      </c>
      <c r="B20" s="195" t="s">
        <v>139</v>
      </c>
      <c r="C20" s="196">
        <f t="shared" si="0"/>
        <v>99.33</v>
      </c>
      <c r="E20" s="488">
        <v>107.08</v>
      </c>
      <c r="F20" s="487">
        <f t="shared" si="1"/>
        <v>0.92762420620097119</v>
      </c>
      <c r="G20" s="481">
        <v>94.6</v>
      </c>
      <c r="H20" s="480">
        <f t="shared" si="2"/>
        <v>1.05</v>
      </c>
      <c r="I20" s="480">
        <f t="shared" si="3"/>
        <v>1.131923890063425</v>
      </c>
    </row>
    <row r="21" spans="1:9" s="193" customFormat="1" ht="15">
      <c r="A21" s="194" t="s">
        <v>281</v>
      </c>
      <c r="B21" s="195" t="s">
        <v>144</v>
      </c>
      <c r="C21" s="196">
        <f t="shared" si="0"/>
        <v>718.97</v>
      </c>
      <c r="E21" s="488">
        <v>732.42</v>
      </c>
      <c r="F21" s="487">
        <f t="shared" si="1"/>
        <v>0.98163621965538905</v>
      </c>
      <c r="G21" s="481">
        <v>684.73</v>
      </c>
      <c r="H21" s="480">
        <f t="shared" si="2"/>
        <v>1.0500051115038045</v>
      </c>
      <c r="I21" s="480">
        <f t="shared" si="3"/>
        <v>1.0696478904093583</v>
      </c>
    </row>
    <row r="22" spans="1:9" s="193" customFormat="1" ht="15">
      <c r="A22" s="194" t="s">
        <v>283</v>
      </c>
      <c r="B22" s="195" t="s">
        <v>156</v>
      </c>
      <c r="C22" s="196">
        <f t="shared" si="0"/>
        <v>240.85</v>
      </c>
      <c r="E22" s="488">
        <v>295.52</v>
      </c>
      <c r="F22" s="487">
        <f t="shared" si="1"/>
        <v>0.81500406063887387</v>
      </c>
      <c r="G22" s="481">
        <v>229.38</v>
      </c>
      <c r="H22" s="480">
        <f t="shared" si="2"/>
        <v>1.0500043595779929</v>
      </c>
      <c r="I22" s="480">
        <f t="shared" si="3"/>
        <v>1.2883424884471182</v>
      </c>
    </row>
    <row r="23" spans="1:9" s="193" customFormat="1" ht="15">
      <c r="A23" s="194" t="s">
        <v>290</v>
      </c>
      <c r="B23" s="195" t="s">
        <v>165</v>
      </c>
      <c r="C23" s="196">
        <f t="shared" si="0"/>
        <v>693.43</v>
      </c>
      <c r="E23" s="488">
        <v>788.12</v>
      </c>
      <c r="F23" s="487">
        <f t="shared" si="1"/>
        <v>0.87985332182916298</v>
      </c>
      <c r="G23" s="481">
        <v>660.41</v>
      </c>
      <c r="H23" s="480">
        <f t="shared" si="2"/>
        <v>1.0499992428945655</v>
      </c>
      <c r="I23" s="480">
        <f t="shared" si="3"/>
        <v>1.1933798700807074</v>
      </c>
    </row>
    <row r="24" spans="1:9" s="193" customFormat="1" ht="15">
      <c r="A24" s="194" t="s">
        <v>292</v>
      </c>
      <c r="B24" s="195" t="s">
        <v>476</v>
      </c>
      <c r="C24" s="196">
        <f t="shared" si="0"/>
        <v>289.01</v>
      </c>
      <c r="E24" s="488">
        <v>320.23</v>
      </c>
      <c r="F24" s="487">
        <f t="shared" si="1"/>
        <v>0.90250757268213466</v>
      </c>
      <c r="G24" s="481">
        <v>275.25</v>
      </c>
      <c r="H24" s="480">
        <f t="shared" si="2"/>
        <v>1.0499909173478656</v>
      </c>
      <c r="I24" s="480">
        <f t="shared" si="3"/>
        <v>1.1634150772025431</v>
      </c>
    </row>
    <row r="25" spans="1:9" s="193" customFormat="1" ht="15">
      <c r="A25" s="194" t="s">
        <v>293</v>
      </c>
      <c r="B25" s="195" t="s">
        <v>477</v>
      </c>
      <c r="C25" s="196">
        <f t="shared" si="0"/>
        <v>162.57</v>
      </c>
      <c r="E25" s="488">
        <v>180.67</v>
      </c>
      <c r="F25" s="487">
        <f t="shared" si="1"/>
        <v>0.89981734654342171</v>
      </c>
      <c r="G25" s="481">
        <v>154.83000000000001</v>
      </c>
      <c r="H25" s="480">
        <f t="shared" si="2"/>
        <v>1.0499903119550473</v>
      </c>
      <c r="I25" s="480">
        <f t="shared" si="3"/>
        <v>1.1668927210488922</v>
      </c>
    </row>
    <row r="26" spans="1:9" s="193" customFormat="1" ht="15">
      <c r="A26" s="194" t="s">
        <v>294</v>
      </c>
      <c r="B26" s="195" t="s">
        <v>142</v>
      </c>
      <c r="C26" s="196">
        <f t="shared" si="0"/>
        <v>291.72000000000003</v>
      </c>
      <c r="E26" s="488">
        <v>311.17</v>
      </c>
      <c r="F26" s="487">
        <f t="shared" si="1"/>
        <v>0.93749397435485426</v>
      </c>
      <c r="G26" s="481">
        <v>277.83</v>
      </c>
      <c r="H26" s="480">
        <f t="shared" si="2"/>
        <v>1.0499946010150094</v>
      </c>
      <c r="I26" s="480">
        <f t="shared" si="3"/>
        <v>1.120001439729331</v>
      </c>
    </row>
    <row r="27" spans="1:9" s="193" customFormat="1" ht="15">
      <c r="A27" s="194" t="s">
        <v>295</v>
      </c>
      <c r="B27" s="195" t="s">
        <v>143</v>
      </c>
      <c r="C27" s="196">
        <f t="shared" si="0"/>
        <v>355.64</v>
      </c>
      <c r="E27" s="488">
        <v>380.41</v>
      </c>
      <c r="F27" s="487">
        <f t="shared" si="1"/>
        <v>0.93488604400515218</v>
      </c>
      <c r="G27" s="481">
        <v>338.7</v>
      </c>
      <c r="H27" s="480">
        <f t="shared" si="2"/>
        <v>1.0500147623265426</v>
      </c>
      <c r="I27" s="480">
        <f t="shared" si="3"/>
        <v>1.1231473280188959</v>
      </c>
    </row>
    <row r="28" spans="1:9" s="193" customFormat="1" ht="15">
      <c r="A28" s="194" t="s">
        <v>296</v>
      </c>
      <c r="B28" s="195" t="s">
        <v>136</v>
      </c>
      <c r="C28" s="196">
        <f t="shared" si="0"/>
        <v>313.64</v>
      </c>
      <c r="E28" s="488">
        <v>373.99</v>
      </c>
      <c r="F28" s="487">
        <f t="shared" si="1"/>
        <v>0.83863204898526689</v>
      </c>
      <c r="G28" s="481">
        <v>298.7</v>
      </c>
      <c r="H28" s="480">
        <f t="shared" si="2"/>
        <v>1.0500167392032138</v>
      </c>
      <c r="I28" s="480">
        <f t="shared" si="3"/>
        <v>1.2520589219953131</v>
      </c>
    </row>
    <row r="29" spans="1:9" s="193" customFormat="1" ht="15.75" customHeight="1">
      <c r="A29" s="194" t="s">
        <v>297</v>
      </c>
      <c r="B29" s="195" t="s">
        <v>217</v>
      </c>
      <c r="C29" s="196">
        <f t="shared" si="0"/>
        <v>357.84</v>
      </c>
      <c r="E29" s="488">
        <v>407.94</v>
      </c>
      <c r="F29" s="487">
        <f t="shared" si="1"/>
        <v>0.87718782173849086</v>
      </c>
      <c r="G29" s="481">
        <v>340.8</v>
      </c>
      <c r="H29" s="480">
        <f t="shared" si="2"/>
        <v>1.0499999999999998</v>
      </c>
      <c r="I29" s="480">
        <f t="shared" si="3"/>
        <v>1.1970070422535211</v>
      </c>
    </row>
    <row r="30" spans="1:9" s="193" customFormat="1" ht="15">
      <c r="A30" s="194" t="s">
        <v>299</v>
      </c>
      <c r="B30" s="195" t="s">
        <v>480</v>
      </c>
      <c r="C30" s="196">
        <f t="shared" si="0"/>
        <v>707.84</v>
      </c>
      <c r="E30" s="488">
        <v>820.28</v>
      </c>
      <c r="F30" s="487">
        <f t="shared" si="1"/>
        <v>0.86292485492758575</v>
      </c>
      <c r="G30" s="481">
        <v>674.13</v>
      </c>
      <c r="H30" s="480">
        <f t="shared" si="2"/>
        <v>1.0500051918769377</v>
      </c>
      <c r="I30" s="480">
        <f t="shared" si="3"/>
        <v>1.2167979469835195</v>
      </c>
    </row>
    <row r="31" spans="1:9" s="193" customFormat="1" ht="15">
      <c r="A31" s="194" t="s">
        <v>301</v>
      </c>
      <c r="B31" s="195" t="s">
        <v>150</v>
      </c>
      <c r="C31" s="196">
        <f t="shared" si="0"/>
        <v>107.11</v>
      </c>
      <c r="E31" s="488">
        <v>119.17</v>
      </c>
      <c r="F31" s="487">
        <f t="shared" si="1"/>
        <v>0.89880003356549465</v>
      </c>
      <c r="G31" s="481">
        <v>102.01</v>
      </c>
      <c r="H31" s="480">
        <f t="shared" si="2"/>
        <v>1.0499950985197528</v>
      </c>
      <c r="I31" s="480">
        <f t="shared" si="3"/>
        <v>1.1682188020782276</v>
      </c>
    </row>
    <row r="32" spans="1:9" s="193" customFormat="1" ht="15">
      <c r="A32" s="194" t="s">
        <v>303</v>
      </c>
      <c r="B32" s="195" t="s">
        <v>149</v>
      </c>
      <c r="C32" s="196">
        <f t="shared" si="0"/>
        <v>68.709999999999994</v>
      </c>
      <c r="E32" s="488">
        <v>76.069999999999993</v>
      </c>
      <c r="F32" s="487">
        <f t="shared" si="1"/>
        <v>0.90324700933350865</v>
      </c>
      <c r="G32" s="481">
        <v>65.44</v>
      </c>
      <c r="H32" s="480">
        <f t="shared" si="2"/>
        <v>1.0499694376528117</v>
      </c>
      <c r="I32" s="480">
        <f t="shared" si="3"/>
        <v>1.1624388753056234</v>
      </c>
    </row>
    <row r="33" spans="1:9" s="193" customFormat="1" ht="15">
      <c r="A33" s="194" t="s">
        <v>305</v>
      </c>
      <c r="B33" s="195" t="s">
        <v>209</v>
      </c>
      <c r="C33" s="196">
        <f t="shared" si="0"/>
        <v>32.9</v>
      </c>
      <c r="E33" s="488">
        <v>31.33</v>
      </c>
      <c r="F33" s="487">
        <f t="shared" si="1"/>
        <v>1.050111714012129</v>
      </c>
      <c r="G33" s="481">
        <v>31.33</v>
      </c>
      <c r="H33" s="480">
        <f t="shared" si="2"/>
        <v>1.050111714012129</v>
      </c>
      <c r="I33" s="480">
        <f t="shared" si="3"/>
        <v>1</v>
      </c>
    </row>
    <row r="34" spans="1:9" s="193" customFormat="1" ht="15">
      <c r="A34" s="194" t="s">
        <v>307</v>
      </c>
      <c r="B34" s="195" t="s">
        <v>211</v>
      </c>
      <c r="C34" s="196">
        <f t="shared" si="0"/>
        <v>899.51</v>
      </c>
      <c r="E34" s="488">
        <v>1033.1099999999999</v>
      </c>
      <c r="F34" s="487">
        <f t="shared" si="1"/>
        <v>0.87068172798637133</v>
      </c>
      <c r="G34" s="481">
        <v>856.68</v>
      </c>
      <c r="H34" s="480">
        <f t="shared" si="2"/>
        <v>1.0499953308119718</v>
      </c>
      <c r="I34" s="480">
        <f t="shared" si="3"/>
        <v>1.205946210953915</v>
      </c>
    </row>
    <row r="35" spans="1:9" s="193" customFormat="1" ht="15">
      <c r="A35" s="194" t="s">
        <v>309</v>
      </c>
      <c r="B35" s="195" t="s">
        <v>254</v>
      </c>
      <c r="C35" s="498">
        <f>'Cijena sata rada'!AB53</f>
        <v>809.61</v>
      </c>
      <c r="D35" s="497"/>
      <c r="E35" s="488">
        <v>826.17</v>
      </c>
      <c r="F35" s="487">
        <f t="shared" si="1"/>
        <v>0.97995569919023939</v>
      </c>
      <c r="G35" s="481">
        <v>587.89</v>
      </c>
      <c r="H35" s="480">
        <f t="shared" si="2"/>
        <v>1.3771453843406081</v>
      </c>
      <c r="I35" s="480">
        <f t="shared" si="3"/>
        <v>1.4053139192706119</v>
      </c>
    </row>
    <row r="36" spans="1:9" s="193" customFormat="1" ht="15">
      <c r="A36" s="194" t="s">
        <v>311</v>
      </c>
      <c r="B36" s="195" t="s">
        <v>252</v>
      </c>
      <c r="C36" s="196">
        <f t="shared" si="0"/>
        <v>92.68</v>
      </c>
      <c r="E36" s="488">
        <v>105.53</v>
      </c>
      <c r="F36" s="487">
        <f t="shared" si="1"/>
        <v>0.87823367762721505</v>
      </c>
      <c r="G36" s="481">
        <v>88.27</v>
      </c>
      <c r="H36" s="480">
        <f t="shared" si="2"/>
        <v>1.0499603489294211</v>
      </c>
      <c r="I36" s="480">
        <f t="shared" si="3"/>
        <v>1.195536422340546</v>
      </c>
    </row>
    <row r="37" spans="1:9" s="193" customFormat="1" ht="15">
      <c r="A37" s="194" t="s">
        <v>313</v>
      </c>
      <c r="B37" s="195" t="s">
        <v>256</v>
      </c>
      <c r="C37" s="196">
        <f t="shared" si="0"/>
        <v>265.62</v>
      </c>
      <c r="E37" s="488">
        <v>291.77</v>
      </c>
      <c r="F37" s="487">
        <f t="shared" si="1"/>
        <v>0.9103746101381226</v>
      </c>
      <c r="G37" s="481">
        <v>252.97</v>
      </c>
      <c r="H37" s="480">
        <f t="shared" si="2"/>
        <v>1.0500059295568644</v>
      </c>
      <c r="I37" s="480">
        <f t="shared" si="3"/>
        <v>1.1533778708937819</v>
      </c>
    </row>
    <row r="38" spans="1:9" s="193" customFormat="1" ht="15">
      <c r="A38" s="194" t="s">
        <v>315</v>
      </c>
      <c r="B38" s="195" t="s">
        <v>251</v>
      </c>
      <c r="C38" s="196">
        <f t="shared" si="0"/>
        <v>35.67</v>
      </c>
      <c r="E38" s="488">
        <v>40.61</v>
      </c>
      <c r="F38" s="487">
        <f t="shared" si="1"/>
        <v>0.87835508495444481</v>
      </c>
      <c r="G38" s="481">
        <v>33.97</v>
      </c>
      <c r="H38" s="480">
        <f t="shared" si="2"/>
        <v>1.0500441566087726</v>
      </c>
      <c r="I38" s="480">
        <f t="shared" si="3"/>
        <v>1.1954665881660289</v>
      </c>
    </row>
    <row r="39" spans="1:9" s="193" customFormat="1" ht="15">
      <c r="A39" s="194" t="s">
        <v>317</v>
      </c>
      <c r="B39" s="195" t="s">
        <v>247</v>
      </c>
      <c r="C39" s="196">
        <f t="shared" si="0"/>
        <v>60.68</v>
      </c>
      <c r="E39" s="488">
        <v>57.79</v>
      </c>
      <c r="F39" s="487">
        <f t="shared" si="1"/>
        <v>1.0500086520159198</v>
      </c>
      <c r="G39" s="481">
        <v>57.79</v>
      </c>
      <c r="H39" s="480">
        <f t="shared" si="2"/>
        <v>1.0500086520159198</v>
      </c>
      <c r="I39" s="480">
        <f t="shared" si="3"/>
        <v>1</v>
      </c>
    </row>
    <row r="40" spans="1:9" s="193" customFormat="1" ht="15">
      <c r="A40" s="194" t="s">
        <v>319</v>
      </c>
      <c r="B40" s="195" t="s">
        <v>248</v>
      </c>
      <c r="C40" s="196">
        <f t="shared" si="0"/>
        <v>119.44</v>
      </c>
      <c r="E40" s="488">
        <v>113.75</v>
      </c>
      <c r="F40" s="487">
        <f t="shared" si="1"/>
        <v>1.0500219780219779</v>
      </c>
      <c r="G40" s="481">
        <v>113.75</v>
      </c>
      <c r="H40" s="480">
        <f t="shared" si="2"/>
        <v>1.0500219780219779</v>
      </c>
      <c r="I40" s="480">
        <f t="shared" si="3"/>
        <v>1</v>
      </c>
    </row>
    <row r="41" spans="1:9" s="193" customFormat="1" ht="15">
      <c r="A41" s="194" t="s">
        <v>321</v>
      </c>
      <c r="B41" s="195" t="s">
        <v>249</v>
      </c>
      <c r="C41" s="196">
        <f t="shared" si="0"/>
        <v>25.36</v>
      </c>
      <c r="E41" s="488">
        <v>28.69</v>
      </c>
      <c r="F41" s="487">
        <f t="shared" si="1"/>
        <v>0.88393168351341922</v>
      </c>
      <c r="G41" s="481">
        <v>24.15</v>
      </c>
      <c r="H41" s="480">
        <f t="shared" si="2"/>
        <v>1.0501035196687372</v>
      </c>
      <c r="I41" s="480">
        <f t="shared" si="3"/>
        <v>1.1879917184265012</v>
      </c>
    </row>
    <row r="42" spans="1:9" s="193" customFormat="1" ht="15">
      <c r="A42" s="194" t="s">
        <v>323</v>
      </c>
      <c r="B42" s="195" t="s">
        <v>246</v>
      </c>
      <c r="C42" s="196">
        <f t="shared" si="0"/>
        <v>40.92</v>
      </c>
      <c r="E42" s="488">
        <v>46.59</v>
      </c>
      <c r="F42" s="487">
        <f t="shared" si="1"/>
        <v>0.87830006439150032</v>
      </c>
      <c r="G42" s="481">
        <v>38.97</v>
      </c>
      <c r="H42" s="480">
        <f t="shared" si="2"/>
        <v>1.0500384911470362</v>
      </c>
      <c r="I42" s="480">
        <f t="shared" si="3"/>
        <v>1.195535026943803</v>
      </c>
    </row>
    <row r="43" spans="1:9" s="193" customFormat="1" ht="15">
      <c r="A43" s="194" t="s">
        <v>325</v>
      </c>
      <c r="B43" s="195" t="s">
        <v>133</v>
      </c>
      <c r="C43" s="196">
        <f t="shared" si="0"/>
        <v>328.73</v>
      </c>
      <c r="E43" s="488">
        <v>425.39</v>
      </c>
      <c r="F43" s="487">
        <f t="shared" si="1"/>
        <v>0.7727732198688263</v>
      </c>
      <c r="G43" s="481">
        <v>313.08</v>
      </c>
      <c r="H43" s="480">
        <f t="shared" si="2"/>
        <v>1.0499872237127892</v>
      </c>
      <c r="I43" s="480">
        <f t="shared" si="3"/>
        <v>1.3587262041650696</v>
      </c>
    </row>
    <row r="44" spans="1:9" s="193" customFormat="1" ht="15">
      <c r="A44" s="194" t="s">
        <v>327</v>
      </c>
      <c r="B44" s="195" t="s">
        <v>226</v>
      </c>
      <c r="C44" s="498">
        <f>'Cijena sata rada'!AK53</f>
        <v>268.49</v>
      </c>
      <c r="D44" s="499"/>
      <c r="E44" s="488">
        <v>240.05</v>
      </c>
      <c r="F44" s="487">
        <f t="shared" si="1"/>
        <v>1.1184753176421578</v>
      </c>
      <c r="G44" s="481">
        <v>199.49</v>
      </c>
      <c r="H44" s="480">
        <f t="shared" si="2"/>
        <v>1.3458819990976991</v>
      </c>
      <c r="I44" s="480">
        <f t="shared" si="3"/>
        <v>1.2033184620782997</v>
      </c>
    </row>
    <row r="45" spans="1:9" s="193" customFormat="1" ht="15">
      <c r="A45" s="194" t="s">
        <v>329</v>
      </c>
      <c r="B45" s="195" t="s">
        <v>483</v>
      </c>
      <c r="C45" s="196">
        <f t="shared" si="0"/>
        <v>79.95</v>
      </c>
      <c r="E45" s="488">
        <v>91.02</v>
      </c>
      <c r="F45" s="487">
        <f t="shared" si="1"/>
        <v>0.8783783783783784</v>
      </c>
      <c r="G45" s="481">
        <v>76.14</v>
      </c>
      <c r="H45" s="480">
        <f t="shared" si="2"/>
        <v>1.050039401103231</v>
      </c>
      <c r="I45" s="480">
        <f t="shared" si="3"/>
        <v>1.1954294720252165</v>
      </c>
    </row>
    <row r="46" spans="1:9" s="193" customFormat="1" ht="15">
      <c r="A46" s="194" t="s">
        <v>331</v>
      </c>
      <c r="B46" s="195" t="s">
        <v>484</v>
      </c>
      <c r="C46" s="196">
        <f t="shared" si="0"/>
        <v>41.81</v>
      </c>
      <c r="E46" s="488">
        <v>47.6</v>
      </c>
      <c r="F46" s="487">
        <f t="shared" si="1"/>
        <v>0.87836134453781511</v>
      </c>
      <c r="G46" s="481">
        <v>39.82</v>
      </c>
      <c r="H46" s="480">
        <f t="shared" si="2"/>
        <v>1.0499748869914616</v>
      </c>
      <c r="I46" s="480">
        <f t="shared" si="3"/>
        <v>1.1953792064289301</v>
      </c>
    </row>
    <row r="47" spans="1:9" s="193" customFormat="1" ht="15">
      <c r="A47" s="194" t="s">
        <v>333</v>
      </c>
      <c r="B47" s="195" t="s">
        <v>229</v>
      </c>
      <c r="C47" s="196">
        <f t="shared" si="0"/>
        <v>69.52</v>
      </c>
      <c r="E47" s="488">
        <v>66.209999999999994</v>
      </c>
      <c r="F47" s="487">
        <f t="shared" si="1"/>
        <v>1.049992448270654</v>
      </c>
      <c r="G47" s="481">
        <v>66.209999999999994</v>
      </c>
      <c r="H47" s="480">
        <f t="shared" si="2"/>
        <v>1.049992448270654</v>
      </c>
      <c r="I47" s="480">
        <f t="shared" si="3"/>
        <v>1</v>
      </c>
    </row>
    <row r="48" spans="1:9" s="193" customFormat="1" ht="15">
      <c r="A48" s="194" t="s">
        <v>335</v>
      </c>
      <c r="B48" s="195" t="s">
        <v>230</v>
      </c>
      <c r="C48" s="196">
        <f t="shared" si="0"/>
        <v>65.38</v>
      </c>
      <c r="E48" s="488">
        <v>62.27</v>
      </c>
      <c r="F48" s="487">
        <f t="shared" si="1"/>
        <v>1.0499437931588242</v>
      </c>
      <c r="G48" s="481">
        <v>62.27</v>
      </c>
      <c r="H48" s="480">
        <f t="shared" si="2"/>
        <v>1.0499437931588242</v>
      </c>
      <c r="I48" s="480">
        <f t="shared" si="3"/>
        <v>1</v>
      </c>
    </row>
    <row r="49" spans="1:9" s="193" customFormat="1" ht="15">
      <c r="A49" s="194" t="s">
        <v>337</v>
      </c>
      <c r="B49" s="195" t="s">
        <v>134</v>
      </c>
      <c r="C49" s="196">
        <f t="shared" si="0"/>
        <v>62.67</v>
      </c>
      <c r="E49" s="488">
        <v>59.69</v>
      </c>
      <c r="F49" s="487">
        <f t="shared" si="1"/>
        <v>1.0499246104875188</v>
      </c>
      <c r="G49" s="481">
        <v>59.69</v>
      </c>
      <c r="H49" s="480">
        <f t="shared" si="2"/>
        <v>1.0499246104875188</v>
      </c>
      <c r="I49" s="480">
        <f t="shared" si="3"/>
        <v>1</v>
      </c>
    </row>
    <row r="50" spans="1:9" s="193" customFormat="1" ht="15">
      <c r="A50" s="194" t="s">
        <v>339</v>
      </c>
      <c r="B50" s="195" t="s">
        <v>235</v>
      </c>
      <c r="C50" s="196">
        <f t="shared" si="0"/>
        <v>60.03</v>
      </c>
      <c r="E50" s="488">
        <v>57.17</v>
      </c>
      <c r="F50" s="487">
        <f t="shared" si="1"/>
        <v>1.0500262375371698</v>
      </c>
      <c r="G50" s="481">
        <v>57.17</v>
      </c>
      <c r="H50" s="480">
        <f t="shared" si="2"/>
        <v>1.0500262375371698</v>
      </c>
      <c r="I50" s="480">
        <f t="shared" si="3"/>
        <v>1</v>
      </c>
    </row>
    <row r="51" spans="1:9" s="193" customFormat="1" ht="15">
      <c r="A51" s="194" t="s">
        <v>341</v>
      </c>
      <c r="B51" s="195" t="s">
        <v>236</v>
      </c>
      <c r="C51" s="196">
        <f t="shared" si="0"/>
        <v>61.81</v>
      </c>
      <c r="E51" s="488">
        <v>67.099999999999994</v>
      </c>
      <c r="F51" s="487">
        <f t="shared" si="1"/>
        <v>0.92116244411326387</v>
      </c>
      <c r="G51" s="481">
        <v>58.87</v>
      </c>
      <c r="H51" s="480">
        <f t="shared" si="2"/>
        <v>1.0499405469678955</v>
      </c>
      <c r="I51" s="480">
        <f t="shared" si="3"/>
        <v>1.1397995583489042</v>
      </c>
    </row>
    <row r="52" spans="1:9" s="193" customFormat="1" ht="15">
      <c r="A52" s="194" t="s">
        <v>343</v>
      </c>
      <c r="B52" s="195" t="s">
        <v>227</v>
      </c>
      <c r="C52" s="196">
        <f t="shared" si="0"/>
        <v>33.26</v>
      </c>
      <c r="E52" s="488">
        <v>31.68</v>
      </c>
      <c r="F52" s="487">
        <f t="shared" si="1"/>
        <v>1.0498737373737372</v>
      </c>
      <c r="G52" s="481">
        <v>31.68</v>
      </c>
      <c r="H52" s="480">
        <f t="shared" si="2"/>
        <v>1.0498737373737372</v>
      </c>
      <c r="I52" s="480">
        <f t="shared" si="3"/>
        <v>1</v>
      </c>
    </row>
    <row r="53" spans="1:9" s="193" customFormat="1" ht="15">
      <c r="A53" s="194" t="s">
        <v>345</v>
      </c>
      <c r="B53" s="195" t="s">
        <v>228</v>
      </c>
      <c r="C53" s="196">
        <f t="shared" si="0"/>
        <v>68.709999999999994</v>
      </c>
      <c r="E53" s="488">
        <v>76.069999999999993</v>
      </c>
      <c r="F53" s="487">
        <f t="shared" si="1"/>
        <v>0.90324700933350865</v>
      </c>
      <c r="G53" s="481">
        <v>65.44</v>
      </c>
      <c r="H53" s="480">
        <f t="shared" si="2"/>
        <v>1.0499694376528117</v>
      </c>
      <c r="I53" s="480">
        <f t="shared" si="3"/>
        <v>1.1624388753056234</v>
      </c>
    </row>
    <row r="54" spans="1:9" s="193" customFormat="1" ht="15">
      <c r="A54" s="194" t="s">
        <v>347</v>
      </c>
      <c r="B54" s="195" t="s">
        <v>491</v>
      </c>
      <c r="C54" s="196">
        <f t="shared" si="0"/>
        <v>22.66</v>
      </c>
      <c r="E54" s="488">
        <v>25.8</v>
      </c>
      <c r="F54" s="487">
        <f t="shared" si="1"/>
        <v>0.87829457364341079</v>
      </c>
      <c r="G54" s="481">
        <v>21.58</v>
      </c>
      <c r="H54" s="480">
        <f t="shared" si="2"/>
        <v>1.0500463392029658</v>
      </c>
      <c r="I54" s="480">
        <f t="shared" si="3"/>
        <v>1.1955514365152922</v>
      </c>
    </row>
    <row r="55" spans="1:9" s="193" customFormat="1" ht="15">
      <c r="A55" s="194" t="s">
        <v>349</v>
      </c>
      <c r="B55" s="195" t="s">
        <v>210</v>
      </c>
      <c r="C55" s="196">
        <f t="shared" si="0"/>
        <v>194.89</v>
      </c>
      <c r="E55" s="488">
        <v>202.84</v>
      </c>
      <c r="F55" s="487">
        <f t="shared" si="1"/>
        <v>0.96080654703214352</v>
      </c>
      <c r="G55" s="481">
        <v>185.61</v>
      </c>
      <c r="H55" s="480">
        <f t="shared" si="2"/>
        <v>1.0499973061796237</v>
      </c>
      <c r="I55" s="480">
        <f t="shared" si="3"/>
        <v>1.0928290501589353</v>
      </c>
    </row>
    <row r="56" spans="1:9" s="193" customFormat="1" ht="15">
      <c r="A56" s="194" t="s">
        <v>351</v>
      </c>
      <c r="B56" s="195" t="s">
        <v>160</v>
      </c>
      <c r="C56" s="196">
        <f t="shared" si="0"/>
        <v>185.61</v>
      </c>
      <c r="E56" s="488">
        <v>200.03</v>
      </c>
      <c r="F56" s="487">
        <f t="shared" si="1"/>
        <v>0.92791081337799342</v>
      </c>
      <c r="G56" s="481">
        <v>176.77</v>
      </c>
      <c r="H56" s="480">
        <f t="shared" si="2"/>
        <v>1.0500084856027607</v>
      </c>
      <c r="I56" s="480">
        <f t="shared" si="3"/>
        <v>1.131583413475137</v>
      </c>
    </row>
    <row r="57" spans="1:9" s="193" customFormat="1" ht="15">
      <c r="A57" s="194" t="s">
        <v>353</v>
      </c>
      <c r="B57" s="195" t="s">
        <v>161</v>
      </c>
      <c r="C57" s="196">
        <f t="shared" si="0"/>
        <v>223.46</v>
      </c>
      <c r="E57" s="488">
        <v>245.73</v>
      </c>
      <c r="F57" s="487">
        <f t="shared" si="1"/>
        <v>0.90937207504171247</v>
      </c>
      <c r="G57" s="481">
        <v>212.82</v>
      </c>
      <c r="H57" s="480">
        <f t="shared" si="2"/>
        <v>1.0499953011934968</v>
      </c>
      <c r="I57" s="480">
        <f t="shared" si="3"/>
        <v>1.1546377220186073</v>
      </c>
    </row>
    <row r="58" spans="1:9" s="193" customFormat="1" ht="15">
      <c r="A58" s="194" t="s">
        <v>354</v>
      </c>
      <c r="B58" s="195" t="s">
        <v>492</v>
      </c>
      <c r="C58" s="196">
        <f t="shared" si="0"/>
        <v>89.05</v>
      </c>
      <c r="E58" s="488">
        <v>95.7</v>
      </c>
      <c r="F58" s="487">
        <f t="shared" si="1"/>
        <v>0.93051201671891326</v>
      </c>
      <c r="G58" s="481">
        <v>84.81</v>
      </c>
      <c r="H58" s="480">
        <f t="shared" si="2"/>
        <v>1.0499941044688126</v>
      </c>
      <c r="I58" s="480">
        <f t="shared" si="3"/>
        <v>1.1284046692607004</v>
      </c>
    </row>
    <row r="59" spans="1:9" s="193" customFormat="1" ht="15">
      <c r="A59" s="194" t="s">
        <v>355</v>
      </c>
      <c r="B59" s="195" t="s">
        <v>244</v>
      </c>
      <c r="C59" s="196">
        <f t="shared" si="0"/>
        <v>53.61</v>
      </c>
      <c r="E59" s="488">
        <v>59.61</v>
      </c>
      <c r="F59" s="487">
        <f t="shared" si="1"/>
        <v>0.89934574735782591</v>
      </c>
      <c r="G59" s="481">
        <v>51.06</v>
      </c>
      <c r="H59" s="480">
        <f t="shared" si="2"/>
        <v>1.0499412455934194</v>
      </c>
      <c r="I59" s="480">
        <f t="shared" si="3"/>
        <v>1.1674500587544065</v>
      </c>
    </row>
    <row r="60" spans="1:9" s="193" customFormat="1" ht="15">
      <c r="A60" s="194" t="s">
        <v>357</v>
      </c>
      <c r="B60" s="195" t="s">
        <v>140</v>
      </c>
      <c r="C60" s="196">
        <f t="shared" si="0"/>
        <v>102.17</v>
      </c>
      <c r="E60" s="488">
        <v>111.66</v>
      </c>
      <c r="F60" s="487">
        <f t="shared" si="1"/>
        <v>0.91500985133440804</v>
      </c>
      <c r="G60" s="481">
        <v>97.3</v>
      </c>
      <c r="H60" s="480">
        <f t="shared" si="2"/>
        <v>1.0500513874614594</v>
      </c>
      <c r="I60" s="480">
        <f t="shared" si="3"/>
        <v>1.1475847893114079</v>
      </c>
    </row>
    <row r="61" spans="1:9" s="193" customFormat="1" ht="15">
      <c r="A61" s="194" t="s">
        <v>359</v>
      </c>
      <c r="B61" s="195" t="s">
        <v>222</v>
      </c>
      <c r="C61" s="196">
        <f t="shared" si="0"/>
        <v>186.97</v>
      </c>
      <c r="E61" s="488">
        <v>205.16</v>
      </c>
      <c r="F61" s="487">
        <f t="shared" si="1"/>
        <v>0.91133749268863329</v>
      </c>
      <c r="G61" s="481">
        <v>178.07</v>
      </c>
      <c r="H61" s="480">
        <f t="shared" si="2"/>
        <v>1.0499803448082214</v>
      </c>
      <c r="I61" s="480">
        <f t="shared" si="3"/>
        <v>1.1521311843656989</v>
      </c>
    </row>
    <row r="62" spans="1:9" s="193" customFormat="1" ht="25.5">
      <c r="A62" s="194" t="s">
        <v>361</v>
      </c>
      <c r="B62" s="195" t="s">
        <v>221</v>
      </c>
      <c r="C62" s="196">
        <f t="shared" si="0"/>
        <v>180.19</v>
      </c>
      <c r="E62" s="488">
        <v>190.65</v>
      </c>
      <c r="F62" s="487">
        <f t="shared" si="1"/>
        <v>0.94513506425386828</v>
      </c>
      <c r="G62" s="481">
        <v>171.61</v>
      </c>
      <c r="H62" s="480">
        <f t="shared" si="2"/>
        <v>1.0499970864168753</v>
      </c>
      <c r="I62" s="480">
        <f t="shared" si="3"/>
        <v>1.1109492453819707</v>
      </c>
    </row>
    <row r="63" spans="1:9" s="193" customFormat="1" ht="15">
      <c r="A63" s="194" t="s">
        <v>362</v>
      </c>
      <c r="B63" s="195" t="s">
        <v>220</v>
      </c>
      <c r="C63" s="196">
        <f t="shared" si="0"/>
        <v>123.97</v>
      </c>
      <c r="E63" s="488">
        <v>141.25</v>
      </c>
      <c r="F63" s="487">
        <f t="shared" si="1"/>
        <v>0.87766371681415933</v>
      </c>
      <c r="G63" s="481">
        <v>118.07</v>
      </c>
      <c r="H63" s="480">
        <f t="shared" si="2"/>
        <v>1.0499703565681375</v>
      </c>
      <c r="I63" s="480">
        <f t="shared" si="3"/>
        <v>1.1963242144490558</v>
      </c>
    </row>
    <row r="64" spans="1:9" s="193" customFormat="1" ht="15">
      <c r="A64" s="194" t="s">
        <v>363</v>
      </c>
      <c r="B64" s="195" t="s">
        <v>216</v>
      </c>
      <c r="C64" s="196">
        <f t="shared" si="0"/>
        <v>170.8</v>
      </c>
      <c r="E64" s="488">
        <v>177.15</v>
      </c>
      <c r="F64" s="487">
        <f t="shared" si="1"/>
        <v>0.96415467118261367</v>
      </c>
      <c r="G64" s="481">
        <v>162.66999999999999</v>
      </c>
      <c r="H64" s="480">
        <f t="shared" si="2"/>
        <v>1.0499784840474582</v>
      </c>
      <c r="I64" s="480">
        <f t="shared" si="3"/>
        <v>1.0890145693735784</v>
      </c>
    </row>
    <row r="65" spans="1:9" s="193" customFormat="1" ht="15">
      <c r="A65" s="194" t="s">
        <v>365</v>
      </c>
      <c r="B65" s="195" t="s">
        <v>245</v>
      </c>
      <c r="C65" s="196">
        <f t="shared" si="0"/>
        <v>165.91</v>
      </c>
      <c r="E65" s="488">
        <v>184.33</v>
      </c>
      <c r="F65" s="487">
        <f t="shared" si="1"/>
        <v>0.90007052568762536</v>
      </c>
      <c r="G65" s="481">
        <v>158.01</v>
      </c>
      <c r="H65" s="480">
        <f t="shared" si="2"/>
        <v>1.0499968356433138</v>
      </c>
      <c r="I65" s="480">
        <f t="shared" si="3"/>
        <v>1.1665717359660783</v>
      </c>
    </row>
    <row r="66" spans="1:9" s="193" customFormat="1" ht="15">
      <c r="A66" s="194" t="s">
        <v>367</v>
      </c>
      <c r="B66" s="195" t="s">
        <v>497</v>
      </c>
      <c r="C66" s="196">
        <f t="shared" si="0"/>
        <v>38.15</v>
      </c>
      <c r="E66" s="488">
        <v>50.06</v>
      </c>
      <c r="F66" s="487">
        <f t="shared" si="1"/>
        <v>0.76208549740311615</v>
      </c>
      <c r="G66" s="481">
        <v>36.33</v>
      </c>
      <c r="H66" s="480">
        <f t="shared" si="2"/>
        <v>1.0500963391136802</v>
      </c>
      <c r="I66" s="480">
        <f t="shared" si="3"/>
        <v>1.377924580236719</v>
      </c>
    </row>
    <row r="67" spans="1:9" s="193" customFormat="1" ht="15">
      <c r="A67" s="194" t="s">
        <v>369</v>
      </c>
      <c r="B67" s="195" t="s">
        <v>212</v>
      </c>
      <c r="C67" s="196">
        <f t="shared" si="0"/>
        <v>21.84</v>
      </c>
      <c r="E67" s="488">
        <v>29.4</v>
      </c>
      <c r="F67" s="487">
        <f t="shared" si="1"/>
        <v>0.74285714285714288</v>
      </c>
      <c r="G67" s="481">
        <v>20.8</v>
      </c>
      <c r="H67" s="480">
        <f t="shared" si="2"/>
        <v>1.05</v>
      </c>
      <c r="I67" s="480">
        <f t="shared" si="3"/>
        <v>1.4134615384615383</v>
      </c>
    </row>
    <row r="68" spans="1:9" s="193" customFormat="1" ht="15">
      <c r="A68" s="194" t="s">
        <v>371</v>
      </c>
      <c r="B68" s="195" t="s">
        <v>499</v>
      </c>
      <c r="C68" s="196">
        <f t="shared" si="0"/>
        <v>15.7</v>
      </c>
      <c r="E68" s="488">
        <v>21.81</v>
      </c>
      <c r="F68" s="487">
        <f t="shared" si="1"/>
        <v>0.71985327831270063</v>
      </c>
      <c r="G68" s="481">
        <v>14.95</v>
      </c>
      <c r="H68" s="480">
        <f t="shared" si="2"/>
        <v>1.0501672240802675</v>
      </c>
      <c r="I68" s="480">
        <f t="shared" si="3"/>
        <v>1.4588628762541807</v>
      </c>
    </row>
    <row r="69" spans="1:9" s="193" customFormat="1" ht="15">
      <c r="A69" s="194" t="s">
        <v>373</v>
      </c>
      <c r="B69" s="195" t="s">
        <v>500</v>
      </c>
      <c r="C69" s="196">
        <f t="shared" si="0"/>
        <v>15.33</v>
      </c>
      <c r="E69" s="488">
        <v>21.46</v>
      </c>
      <c r="F69" s="487">
        <f t="shared" si="1"/>
        <v>0.71435228331780054</v>
      </c>
      <c r="G69" s="481">
        <v>14.6</v>
      </c>
      <c r="H69" s="480">
        <f t="shared" si="2"/>
        <v>1.05</v>
      </c>
      <c r="I69" s="480">
        <f t="shared" si="3"/>
        <v>1.4698630136986301</v>
      </c>
    </row>
    <row r="70" spans="1:9" s="193" customFormat="1" ht="15">
      <c r="A70" s="194" t="s">
        <v>375</v>
      </c>
      <c r="B70" s="195" t="s">
        <v>152</v>
      </c>
      <c r="C70" s="196">
        <f t="shared" si="0"/>
        <v>87.28</v>
      </c>
      <c r="E70" s="488">
        <v>107.49</v>
      </c>
      <c r="F70" s="487">
        <f t="shared" si="1"/>
        <v>0.81198251000093036</v>
      </c>
      <c r="G70" s="481">
        <v>83.12</v>
      </c>
      <c r="H70" s="480">
        <f t="shared" si="2"/>
        <v>1.0500481231953802</v>
      </c>
      <c r="I70" s="480">
        <f t="shared" si="3"/>
        <v>1.2931905678537055</v>
      </c>
    </row>
    <row r="71" spans="1:9" s="193" customFormat="1" ht="15">
      <c r="A71" s="194" t="s">
        <v>377</v>
      </c>
      <c r="B71" s="195" t="s">
        <v>154</v>
      </c>
      <c r="C71" s="196">
        <f t="shared" si="0"/>
        <v>411.98</v>
      </c>
      <c r="E71" s="488">
        <v>452.6</v>
      </c>
      <c r="F71" s="487">
        <f t="shared" si="1"/>
        <v>0.91025187803800267</v>
      </c>
      <c r="G71" s="481">
        <v>392.36</v>
      </c>
      <c r="H71" s="480">
        <f t="shared" si="2"/>
        <v>1.0500050973595678</v>
      </c>
      <c r="I71" s="480">
        <f t="shared" si="3"/>
        <v>1.1535324701804466</v>
      </c>
    </row>
    <row r="72" spans="1:9" s="193" customFormat="1" ht="15">
      <c r="A72" s="194" t="s">
        <v>380</v>
      </c>
      <c r="B72" s="195" t="s">
        <v>237</v>
      </c>
      <c r="C72" s="196">
        <f t="shared" si="0"/>
        <v>39.270000000000003</v>
      </c>
      <c r="E72" s="488">
        <v>44.71</v>
      </c>
      <c r="F72" s="487">
        <f t="shared" si="1"/>
        <v>0.8783269961977187</v>
      </c>
      <c r="G72" s="481">
        <v>37.4</v>
      </c>
      <c r="H72" s="480">
        <f t="shared" si="2"/>
        <v>1.05</v>
      </c>
      <c r="I72" s="480">
        <f t="shared" si="3"/>
        <v>1.1954545454545455</v>
      </c>
    </row>
    <row r="73" spans="1:9" s="193" customFormat="1" ht="15">
      <c r="A73" s="194" t="s">
        <v>381</v>
      </c>
      <c r="B73" s="195" t="s">
        <v>504</v>
      </c>
      <c r="C73" s="196">
        <f t="shared" si="0"/>
        <v>232.95</v>
      </c>
      <c r="E73" s="488">
        <v>262.92</v>
      </c>
      <c r="F73" s="487">
        <f t="shared" si="1"/>
        <v>0.88601095390232765</v>
      </c>
      <c r="G73" s="481">
        <v>221.86</v>
      </c>
      <c r="H73" s="480">
        <f t="shared" si="2"/>
        <v>1.0499864779590731</v>
      </c>
      <c r="I73" s="480">
        <f t="shared" si="3"/>
        <v>1.1850716668169117</v>
      </c>
    </row>
    <row r="74" spans="1:9" s="193" customFormat="1" ht="15">
      <c r="A74" s="194" t="s">
        <v>383</v>
      </c>
      <c r="B74" s="195" t="s">
        <v>145</v>
      </c>
      <c r="C74" s="196">
        <f t="shared" ref="C74:C85" si="4">ROUND(G74*$D$8,2)</f>
        <v>276.89999999999998</v>
      </c>
      <c r="E74" s="488">
        <v>249.15</v>
      </c>
      <c r="F74" s="487">
        <f t="shared" ref="F74:F85" si="5">C74/E74</f>
        <v>1.1113786875376279</v>
      </c>
      <c r="G74" s="481">
        <v>263.70999999999998</v>
      </c>
      <c r="H74" s="480">
        <f t="shared" ref="H74:H85" si="6">C74/G74</f>
        <v>1.0500170641993098</v>
      </c>
      <c r="I74" s="480">
        <f t="shared" ref="I74:I85" si="7">E74/G74</f>
        <v>0.94478783512191433</v>
      </c>
    </row>
    <row r="75" spans="1:9" s="193" customFormat="1" ht="15">
      <c r="A75" s="194" t="s">
        <v>385</v>
      </c>
      <c r="B75" s="195" t="s">
        <v>213</v>
      </c>
      <c r="C75" s="196">
        <f t="shared" si="4"/>
        <v>336.28</v>
      </c>
      <c r="E75" s="488">
        <v>359.25</v>
      </c>
      <c r="F75" s="487">
        <f t="shared" si="5"/>
        <v>0.93606123869171876</v>
      </c>
      <c r="G75" s="481">
        <v>320.27</v>
      </c>
      <c r="H75" s="480">
        <f t="shared" si="6"/>
        <v>1.0499890717207356</v>
      </c>
      <c r="I75" s="480">
        <f t="shared" si="7"/>
        <v>1.1217098073500484</v>
      </c>
    </row>
    <row r="76" spans="1:9" s="193" customFormat="1" ht="15">
      <c r="A76" s="194" t="s">
        <v>387</v>
      </c>
      <c r="B76" s="195" t="s">
        <v>138</v>
      </c>
      <c r="C76" s="196">
        <f t="shared" si="4"/>
        <v>179.6</v>
      </c>
      <c r="E76" s="489">
        <v>213.85</v>
      </c>
      <c r="F76" s="487">
        <f t="shared" si="5"/>
        <v>0.83984101005377598</v>
      </c>
      <c r="G76" s="482">
        <v>171.05</v>
      </c>
      <c r="H76" s="480">
        <f t="shared" si="6"/>
        <v>1.0499853843905289</v>
      </c>
      <c r="I76" s="480">
        <f t="shared" si="7"/>
        <v>1.2502192341420637</v>
      </c>
    </row>
    <row r="77" spans="1:9" s="193" customFormat="1" ht="15">
      <c r="A77" s="194" t="s">
        <v>389</v>
      </c>
      <c r="B77" s="195" t="s">
        <v>225</v>
      </c>
      <c r="C77" s="498">
        <f>'Cijena sata rada'!BR53</f>
        <v>45.31</v>
      </c>
      <c r="D77" s="497"/>
      <c r="E77" s="488">
        <v>33.29</v>
      </c>
      <c r="F77" s="487">
        <f t="shared" si="5"/>
        <v>1.3610693902072695</v>
      </c>
      <c r="G77" s="481">
        <v>21.56</v>
      </c>
      <c r="H77" s="480">
        <f t="shared" si="6"/>
        <v>2.1015769944341374</v>
      </c>
      <c r="I77" s="480">
        <f t="shared" si="7"/>
        <v>1.5440630797773656</v>
      </c>
    </row>
    <row r="78" spans="1:9" s="193" customFormat="1" ht="15">
      <c r="A78" s="194" t="s">
        <v>391</v>
      </c>
      <c r="B78" s="195" t="s">
        <v>231</v>
      </c>
      <c r="C78" s="196">
        <f t="shared" si="4"/>
        <v>144.38</v>
      </c>
      <c r="E78" s="488">
        <v>164.38</v>
      </c>
      <c r="F78" s="487">
        <f t="shared" si="5"/>
        <v>0.87833069716510526</v>
      </c>
      <c r="G78" s="481">
        <v>137.5</v>
      </c>
      <c r="H78" s="480">
        <f t="shared" si="6"/>
        <v>1.0500363636363637</v>
      </c>
      <c r="I78" s="480">
        <f t="shared" si="7"/>
        <v>1.1954909090909092</v>
      </c>
    </row>
    <row r="79" spans="1:9" s="193" customFormat="1" ht="15">
      <c r="A79" s="194" t="s">
        <v>393</v>
      </c>
      <c r="B79" s="195" t="s">
        <v>232</v>
      </c>
      <c r="C79" s="196">
        <f t="shared" si="4"/>
        <v>144.38</v>
      </c>
      <c r="E79" s="488">
        <v>164.38</v>
      </c>
      <c r="F79" s="487">
        <f t="shared" si="5"/>
        <v>0.87833069716510526</v>
      </c>
      <c r="G79" s="481">
        <v>137.5</v>
      </c>
      <c r="H79" s="480">
        <f t="shared" si="6"/>
        <v>1.0500363636363637</v>
      </c>
      <c r="I79" s="480">
        <f t="shared" si="7"/>
        <v>1.1954909090909092</v>
      </c>
    </row>
    <row r="80" spans="1:9" s="193" customFormat="1" ht="21" customHeight="1">
      <c r="A80" s="194" t="s">
        <v>395</v>
      </c>
      <c r="B80" s="195" t="s">
        <v>233</v>
      </c>
      <c r="C80" s="196">
        <f t="shared" si="4"/>
        <v>80.849999999999994</v>
      </c>
      <c r="E80" s="488">
        <v>92.05</v>
      </c>
      <c r="F80" s="487">
        <f t="shared" si="5"/>
        <v>0.87832699619771859</v>
      </c>
      <c r="G80" s="481">
        <v>77</v>
      </c>
      <c r="H80" s="480">
        <f t="shared" si="6"/>
        <v>1.0499999999999998</v>
      </c>
      <c r="I80" s="480">
        <f t="shared" si="7"/>
        <v>1.1954545454545453</v>
      </c>
    </row>
    <row r="81" spans="1:9" s="193" customFormat="1" ht="15">
      <c r="A81" s="194" t="s">
        <v>397</v>
      </c>
      <c r="B81" s="195" t="s">
        <v>234</v>
      </c>
      <c r="C81" s="196">
        <f t="shared" si="4"/>
        <v>80.849999999999994</v>
      </c>
      <c r="E81" s="488">
        <v>92.05</v>
      </c>
      <c r="F81" s="487">
        <f t="shared" si="5"/>
        <v>0.87832699619771859</v>
      </c>
      <c r="G81" s="481">
        <v>77</v>
      </c>
      <c r="H81" s="480">
        <f t="shared" si="6"/>
        <v>1.0499999999999998</v>
      </c>
      <c r="I81" s="480">
        <f t="shared" si="7"/>
        <v>1.1954545454545453</v>
      </c>
    </row>
    <row r="82" spans="1:9" s="193" customFormat="1" ht="15">
      <c r="A82" s="194" t="s">
        <v>399</v>
      </c>
      <c r="B82" s="195" t="s">
        <v>219</v>
      </c>
      <c r="C82" s="196">
        <f t="shared" si="4"/>
        <v>290.85000000000002</v>
      </c>
      <c r="E82" s="488">
        <v>330.52</v>
      </c>
      <c r="F82" s="487">
        <f t="shared" si="5"/>
        <v>0.87997700593004968</v>
      </c>
      <c r="G82" s="481">
        <v>277</v>
      </c>
      <c r="H82" s="480">
        <f t="shared" si="6"/>
        <v>1.05</v>
      </c>
      <c r="I82" s="480">
        <f t="shared" si="7"/>
        <v>1.1932129963898916</v>
      </c>
    </row>
    <row r="83" spans="1:9" s="193" customFormat="1" ht="15">
      <c r="A83" s="194" t="s">
        <v>401</v>
      </c>
      <c r="B83" s="195" t="s">
        <v>510</v>
      </c>
      <c r="C83" s="196">
        <f t="shared" si="4"/>
        <v>47.2</v>
      </c>
      <c r="E83" s="488">
        <v>49.44</v>
      </c>
      <c r="F83" s="487">
        <f t="shared" si="5"/>
        <v>0.9546925566343043</v>
      </c>
      <c r="G83" s="481">
        <v>44.95</v>
      </c>
      <c r="H83" s="480">
        <f t="shared" si="6"/>
        <v>1.0500556173526141</v>
      </c>
      <c r="I83" s="480">
        <f t="shared" si="7"/>
        <v>1.0998887652947718</v>
      </c>
    </row>
    <row r="84" spans="1:9" s="193" customFormat="1" ht="15">
      <c r="A84" s="194" t="s">
        <v>403</v>
      </c>
      <c r="B84" s="195" t="s">
        <v>146</v>
      </c>
      <c r="C84" s="196">
        <f t="shared" si="4"/>
        <v>48.33</v>
      </c>
      <c r="E84" s="488">
        <v>46.03</v>
      </c>
      <c r="F84" s="487">
        <f t="shared" si="5"/>
        <v>1.049967412557028</v>
      </c>
      <c r="G84" s="481">
        <v>46.03</v>
      </c>
      <c r="H84" s="480">
        <f t="shared" si="6"/>
        <v>1.049967412557028</v>
      </c>
      <c r="I84" s="480">
        <f t="shared" si="7"/>
        <v>1</v>
      </c>
    </row>
    <row r="85" spans="1:9" s="193" customFormat="1" ht="15">
      <c r="A85" s="194" t="s">
        <v>405</v>
      </c>
      <c r="B85" s="195" t="s">
        <v>147</v>
      </c>
      <c r="C85" s="196">
        <f t="shared" si="4"/>
        <v>52.19</v>
      </c>
      <c r="E85" s="488">
        <v>59.24</v>
      </c>
      <c r="F85" s="487">
        <f t="shared" si="5"/>
        <v>0.88099257258609043</v>
      </c>
      <c r="G85" s="481">
        <v>49.7</v>
      </c>
      <c r="H85" s="480">
        <f t="shared" si="6"/>
        <v>1.0501006036217302</v>
      </c>
      <c r="I85" s="480">
        <f t="shared" si="7"/>
        <v>1.1919517102615693</v>
      </c>
    </row>
    <row r="86" spans="1:9">
      <c r="A86" s="194">
        <v>78</v>
      </c>
      <c r="B86" s="180" t="s">
        <v>512</v>
      </c>
      <c r="C86" s="503">
        <f>'Cijena sata rada'!CA53</f>
        <v>226.03</v>
      </c>
    </row>
    <row r="87" spans="1:9">
      <c r="A87" s="501">
        <v>79</v>
      </c>
      <c r="B87" s="500" t="s">
        <v>563</v>
      </c>
      <c r="C87" s="503">
        <f>'Cijena sata rada'!CB53</f>
        <v>209.55</v>
      </c>
    </row>
    <row r="88" spans="1:9">
      <c r="A88" s="502">
        <v>80</v>
      </c>
    </row>
    <row r="89" spans="1:9">
      <c r="A89" s="502">
        <v>81</v>
      </c>
    </row>
    <row r="90" spans="1:9">
      <c r="A90" s="502">
        <v>82</v>
      </c>
    </row>
  </sheetData>
  <sheetProtection selectLockedCells="1"/>
  <mergeCells count="9">
    <mergeCell ref="I7:I8"/>
    <mergeCell ref="E7:E8"/>
    <mergeCell ref="F7:F8"/>
    <mergeCell ref="A3:C3"/>
    <mergeCell ref="C7:C8"/>
    <mergeCell ref="A7:A8"/>
    <mergeCell ref="B7:B8"/>
    <mergeCell ref="G7:G8"/>
    <mergeCell ref="H7:H8"/>
  </mergeCells>
  <phoneticPr fontId="1" type="noConversion"/>
  <conditionalFormatting sqref="C9:C14 F9:I85 D5:D8 C78:C85 C45:C76 C36:C43 C16:C34">
    <cfRule type="cellIs" dxfId="6" priority="9" stopIfTrue="1" operator="lessThan">
      <formula>#REF!</formula>
    </cfRule>
  </conditionalFormatting>
  <conditionalFormatting sqref="B9:B85">
    <cfRule type="cellIs" dxfId="5" priority="10" stopIfTrue="1" operator="notEqual">
      <formula>#REF!</formula>
    </cfRule>
  </conditionalFormatting>
  <conditionalFormatting sqref="E9:E85">
    <cfRule type="cellIs" dxfId="4" priority="7" stopIfTrue="1" operator="lessThan">
      <formula>#REF!</formula>
    </cfRule>
  </conditionalFormatting>
  <conditionalFormatting sqref="C44">
    <cfRule type="cellIs" dxfId="3" priority="5" stopIfTrue="1" operator="lessThan">
      <formula>#REF!</formula>
    </cfRule>
  </conditionalFormatting>
  <conditionalFormatting sqref="C77">
    <cfRule type="cellIs" dxfId="2" priority="4" stopIfTrue="1" operator="lessThan">
      <formula>#REF!</formula>
    </cfRule>
  </conditionalFormatting>
  <conditionalFormatting sqref="C35">
    <cfRule type="cellIs" dxfId="1" priority="3" stopIfTrue="1" operator="lessThan">
      <formula>#REF!</formula>
    </cfRule>
  </conditionalFormatting>
  <conditionalFormatting sqref="C15">
    <cfRule type="cellIs" dxfId="0" priority="1" stopIfTrue="1" operator="less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9" scale="95" orientation="portrait" horizontalDpi="4294967292" verticalDpi="300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5"/>
  </sheetPr>
  <dimension ref="A1:G109"/>
  <sheetViews>
    <sheetView view="pageBreakPreview" zoomScaleNormal="85" zoomScaleSheetLayoutView="115" workbookViewId="0">
      <pane xSplit="3" ySplit="7" topLeftCell="D8" activePane="bottomRight" state="frozen"/>
      <selection pane="topRight" activeCell="D16" sqref="D16"/>
      <selection pane="bottomLeft" activeCell="D16" sqref="D16"/>
      <selection pane="bottomRight" activeCell="G21" sqref="G21"/>
    </sheetView>
  </sheetViews>
  <sheetFormatPr defaultRowHeight="12.75"/>
  <cols>
    <col min="1" max="1" width="6.28515625" style="391" bestFit="1" customWidth="1"/>
    <col min="2" max="2" width="66.85546875" style="87" bestFit="1" customWidth="1"/>
    <col min="3" max="3" width="8.7109375" style="391" customWidth="1"/>
    <col min="4" max="4" width="13.5703125" style="478" bestFit="1" customWidth="1"/>
    <col min="5" max="5" width="11.42578125" style="88" bestFit="1" customWidth="1"/>
    <col min="6" max="7" width="13.5703125" style="88" bestFit="1" customWidth="1"/>
    <col min="8" max="16384" width="9.140625" style="392"/>
  </cols>
  <sheetData>
    <row r="1" spans="1:7" ht="4.9000000000000004" customHeight="1"/>
    <row r="2" spans="1:7" ht="4.9000000000000004" customHeight="1"/>
    <row r="3" spans="1:7" ht="20.100000000000001" customHeight="1">
      <c r="A3" s="833" t="s">
        <v>564</v>
      </c>
      <c r="B3" s="833"/>
      <c r="C3" s="873"/>
    </row>
    <row r="4" spans="1:7" ht="24.95" customHeight="1" thickBot="1"/>
    <row r="5" spans="1:7" s="393" customFormat="1" ht="30" customHeight="1">
      <c r="A5" s="874" t="s">
        <v>272</v>
      </c>
      <c r="B5" s="877" t="s">
        <v>284</v>
      </c>
      <c r="C5" s="880" t="s">
        <v>565</v>
      </c>
      <c r="D5" s="868" t="s">
        <v>566</v>
      </c>
      <c r="E5" s="869"/>
      <c r="F5" s="869"/>
      <c r="G5" s="869"/>
    </row>
    <row r="6" spans="1:7" s="393" customFormat="1" ht="15.75" customHeight="1">
      <c r="A6" s="875"/>
      <c r="B6" s="878"/>
      <c r="C6" s="881"/>
      <c r="D6" s="870" t="s">
        <v>567</v>
      </c>
      <c r="E6" s="871"/>
      <c r="F6" s="871"/>
      <c r="G6" s="872"/>
    </row>
    <row r="7" spans="1:7" s="393" customFormat="1" ht="39" customHeight="1" thickBot="1">
      <c r="A7" s="876"/>
      <c r="B7" s="879"/>
      <c r="C7" s="882"/>
      <c r="D7" s="394" t="s">
        <v>568</v>
      </c>
      <c r="E7" s="395" t="s">
        <v>440</v>
      </c>
      <c r="F7" s="396" t="s">
        <v>569</v>
      </c>
      <c r="G7" s="397" t="s">
        <v>570</v>
      </c>
    </row>
    <row r="8" spans="1:7" ht="15">
      <c r="A8" s="398" t="s">
        <v>13</v>
      </c>
      <c r="B8" s="494" t="str">
        <f>[3]Asfalti!B2</f>
        <v>AC 16 base BIT 50/70 AG6 M2</v>
      </c>
      <c r="C8" s="399" t="s">
        <v>26</v>
      </c>
      <c r="D8" s="479">
        <v>600</v>
      </c>
      <c r="E8" s="403">
        <v>45</v>
      </c>
      <c r="F8" s="405">
        <v>46.97</v>
      </c>
      <c r="G8" s="404">
        <f t="shared" ref="G8:G39" si="0">D8+F8</f>
        <v>646.97</v>
      </c>
    </row>
    <row r="9" spans="1:7" ht="15">
      <c r="A9" s="400" t="s">
        <v>17</v>
      </c>
      <c r="B9" s="494" t="str">
        <f>[3]Asfalti!B3</f>
        <v>AC 22 base BIT 50/70 AG6 M1</v>
      </c>
      <c r="C9" s="402" t="s">
        <v>26</v>
      </c>
      <c r="D9" s="479">
        <v>600</v>
      </c>
      <c r="E9" s="403">
        <v>45</v>
      </c>
      <c r="F9" s="405">
        <v>46.97</v>
      </c>
      <c r="G9" s="404">
        <f t="shared" si="0"/>
        <v>646.97</v>
      </c>
    </row>
    <row r="10" spans="1:7" ht="15">
      <c r="A10" s="400" t="s">
        <v>68</v>
      </c>
      <c r="B10" s="494" t="str">
        <f>[3]Asfalti!B4</f>
        <v>AC 22 base 50/70 AG6 M2</v>
      </c>
      <c r="C10" s="402" t="s">
        <v>26</v>
      </c>
      <c r="D10" s="479">
        <v>600</v>
      </c>
      <c r="E10" s="403">
        <v>45</v>
      </c>
      <c r="F10" s="405">
        <v>46.97</v>
      </c>
      <c r="G10" s="404">
        <f t="shared" si="0"/>
        <v>646.97</v>
      </c>
    </row>
    <row r="11" spans="1:7" ht="15">
      <c r="A11" s="400" t="s">
        <v>77</v>
      </c>
      <c r="B11" s="494" t="str">
        <f>[3]Asfalti!B5</f>
        <v>AC 32 base BIT 50/70 AG6 M1</v>
      </c>
      <c r="C11" s="402" t="s">
        <v>26</v>
      </c>
      <c r="D11" s="479">
        <v>600</v>
      </c>
      <c r="E11" s="403">
        <v>45</v>
      </c>
      <c r="F11" s="405">
        <v>46.97</v>
      </c>
      <c r="G11" s="404">
        <f t="shared" si="0"/>
        <v>646.97</v>
      </c>
    </row>
    <row r="12" spans="1:7" ht="15">
      <c r="A12" s="400" t="s">
        <v>87</v>
      </c>
      <c r="B12" s="494" t="str">
        <f>[3]Asfalti!B6</f>
        <v>AC 32 base 50/70 AG6 M2</v>
      </c>
      <c r="C12" s="402" t="s">
        <v>26</v>
      </c>
      <c r="D12" s="479">
        <v>600</v>
      </c>
      <c r="E12" s="403">
        <v>45</v>
      </c>
      <c r="F12" s="405">
        <v>46.97</v>
      </c>
      <c r="G12" s="404">
        <f t="shared" si="0"/>
        <v>646.97</v>
      </c>
    </row>
    <row r="13" spans="1:7" ht="15">
      <c r="A13" s="400" t="s">
        <v>92</v>
      </c>
      <c r="B13" s="494" t="str">
        <f>[3]Asfalti!B7</f>
        <v>AC 22 base Pmb 45/80-65 AG6 M1</v>
      </c>
      <c r="C13" s="402" t="s">
        <v>26</v>
      </c>
      <c r="D13" s="479">
        <v>600</v>
      </c>
      <c r="E13" s="403">
        <v>45</v>
      </c>
      <c r="F13" s="405">
        <v>46.97</v>
      </c>
      <c r="G13" s="404">
        <f t="shared" si="0"/>
        <v>646.97</v>
      </c>
    </row>
    <row r="14" spans="1:7" ht="15">
      <c r="A14" s="400" t="s">
        <v>96</v>
      </c>
      <c r="B14" s="494" t="str">
        <f>[3]Asfalti!B8</f>
        <v>AC 4 surf BIT 50/70 AG4 M4</v>
      </c>
      <c r="C14" s="402" t="s">
        <v>26</v>
      </c>
      <c r="D14" s="479">
        <v>600</v>
      </c>
      <c r="E14" s="403">
        <v>45</v>
      </c>
      <c r="F14" s="405">
        <v>46.97</v>
      </c>
      <c r="G14" s="404">
        <f t="shared" si="0"/>
        <v>646.97</v>
      </c>
    </row>
    <row r="15" spans="1:7" ht="15">
      <c r="A15" s="400" t="s">
        <v>104</v>
      </c>
      <c r="B15" s="494" t="str">
        <f>[3]Asfalti!B9</f>
        <v>AC 8 surf BIT 50/70 AG4 M4</v>
      </c>
      <c r="C15" s="402" t="s">
        <v>26</v>
      </c>
      <c r="D15" s="479">
        <v>600</v>
      </c>
      <c r="E15" s="403">
        <v>45</v>
      </c>
      <c r="F15" s="405">
        <v>46.97</v>
      </c>
      <c r="G15" s="404">
        <f t="shared" si="0"/>
        <v>646.97</v>
      </c>
    </row>
    <row r="16" spans="1:7" ht="15">
      <c r="A16" s="400" t="s">
        <v>108</v>
      </c>
      <c r="B16" s="494" t="str">
        <f>[3]Asfalti!B10</f>
        <v>AC 11 surf 50/70 AG4 M4</v>
      </c>
      <c r="C16" s="402" t="s">
        <v>26</v>
      </c>
      <c r="D16" s="479">
        <v>600</v>
      </c>
      <c r="E16" s="403">
        <v>45</v>
      </c>
      <c r="F16" s="405">
        <v>46.97</v>
      </c>
      <c r="G16" s="404">
        <f t="shared" si="0"/>
        <v>646.97</v>
      </c>
    </row>
    <row r="17" spans="1:7" ht="15">
      <c r="A17" s="400" t="s">
        <v>112</v>
      </c>
      <c r="B17" s="494" t="str">
        <f>[3]Asfalti!B11</f>
        <v>AC 11 surf BIT 50/70 AG4 M3</v>
      </c>
      <c r="C17" s="402" t="s">
        <v>26</v>
      </c>
      <c r="D17" s="479">
        <v>600</v>
      </c>
      <c r="E17" s="403">
        <v>45</v>
      </c>
      <c r="F17" s="405">
        <v>46.97</v>
      </c>
      <c r="G17" s="404">
        <f t="shared" si="0"/>
        <v>646.97</v>
      </c>
    </row>
    <row r="18" spans="1:7" ht="15">
      <c r="A18" s="400" t="s">
        <v>117</v>
      </c>
      <c r="B18" s="401" t="s">
        <v>287</v>
      </c>
      <c r="C18" s="402" t="s">
        <v>106</v>
      </c>
      <c r="D18" s="479">
        <v>5.0999999999999996</v>
      </c>
      <c r="E18" s="403">
        <v>0</v>
      </c>
      <c r="F18" s="405">
        <v>0</v>
      </c>
      <c r="G18" s="404">
        <f t="shared" si="0"/>
        <v>5.0999999999999996</v>
      </c>
    </row>
    <row r="19" spans="1:7" ht="15">
      <c r="A19" s="400" t="s">
        <v>279</v>
      </c>
      <c r="B19" s="401" t="s">
        <v>288</v>
      </c>
      <c r="C19" s="402" t="s">
        <v>106</v>
      </c>
      <c r="D19" s="479">
        <v>8</v>
      </c>
      <c r="E19" s="403">
        <v>0</v>
      </c>
      <c r="F19" s="405">
        <v>0</v>
      </c>
      <c r="G19" s="404">
        <f t="shared" si="0"/>
        <v>8</v>
      </c>
    </row>
    <row r="20" spans="1:7" ht="15">
      <c r="A20" s="400" t="s">
        <v>281</v>
      </c>
      <c r="B20" s="401" t="s">
        <v>289</v>
      </c>
      <c r="C20" s="402" t="s">
        <v>106</v>
      </c>
      <c r="D20" s="479">
        <v>68.680000000000007</v>
      </c>
      <c r="E20" s="403">
        <v>0</v>
      </c>
      <c r="F20" s="405">
        <v>0</v>
      </c>
      <c r="G20" s="404">
        <f t="shared" si="0"/>
        <v>68.680000000000007</v>
      </c>
    </row>
    <row r="21" spans="1:7" ht="15">
      <c r="A21" s="400" t="s">
        <v>283</v>
      </c>
      <c r="B21" s="401" t="s">
        <v>571</v>
      </c>
      <c r="C21" s="402" t="s">
        <v>21</v>
      </c>
      <c r="D21" s="479">
        <v>86.46</v>
      </c>
      <c r="E21" s="403">
        <v>45</v>
      </c>
      <c r="F21" s="405">
        <v>72.8</v>
      </c>
      <c r="G21" s="404">
        <f t="shared" si="0"/>
        <v>159.26</v>
      </c>
    </row>
    <row r="22" spans="1:7" ht="15">
      <c r="A22" s="400" t="s">
        <v>290</v>
      </c>
      <c r="B22" s="401" t="s">
        <v>291</v>
      </c>
      <c r="C22" s="402" t="s">
        <v>26</v>
      </c>
      <c r="D22" s="479">
        <v>60</v>
      </c>
      <c r="E22" s="403">
        <v>40</v>
      </c>
      <c r="F22" s="405">
        <v>43.22</v>
      </c>
      <c r="G22" s="404">
        <f t="shared" si="0"/>
        <v>103.22</v>
      </c>
    </row>
    <row r="23" spans="1:7" ht="15">
      <c r="A23" s="400" t="s">
        <v>292</v>
      </c>
      <c r="B23" s="401" t="s">
        <v>572</v>
      </c>
      <c r="C23" s="402" t="s">
        <v>21</v>
      </c>
      <c r="D23" s="479">
        <v>72.5</v>
      </c>
      <c r="E23" s="403">
        <v>40</v>
      </c>
      <c r="F23" s="405">
        <v>66.989999999999995</v>
      </c>
      <c r="G23" s="404">
        <f t="shared" si="0"/>
        <v>139.49</v>
      </c>
    </row>
    <row r="24" spans="1:7" ht="15">
      <c r="A24" s="400" t="s">
        <v>293</v>
      </c>
      <c r="B24" s="401" t="s">
        <v>573</v>
      </c>
      <c r="C24" s="402" t="s">
        <v>21</v>
      </c>
      <c r="D24" s="479">
        <v>65</v>
      </c>
      <c r="E24" s="403">
        <v>40</v>
      </c>
      <c r="F24" s="405">
        <v>66.989999999999995</v>
      </c>
      <c r="G24" s="404">
        <f t="shared" si="0"/>
        <v>131.99</v>
      </c>
    </row>
    <row r="25" spans="1:7" ht="15">
      <c r="A25" s="400" t="s">
        <v>294</v>
      </c>
      <c r="B25" s="401" t="s">
        <v>574</v>
      </c>
      <c r="C25" s="402" t="s">
        <v>21</v>
      </c>
      <c r="D25" s="479">
        <v>35.25</v>
      </c>
      <c r="E25" s="403">
        <v>40</v>
      </c>
      <c r="F25" s="405">
        <v>66.989999999999995</v>
      </c>
      <c r="G25" s="404">
        <f t="shared" si="0"/>
        <v>102.24</v>
      </c>
    </row>
    <row r="26" spans="1:7" ht="15">
      <c r="A26" s="400" t="s">
        <v>295</v>
      </c>
      <c r="B26" s="401" t="s">
        <v>575</v>
      </c>
      <c r="C26" s="402" t="s">
        <v>21</v>
      </c>
      <c r="D26" s="479">
        <v>240.28</v>
      </c>
      <c r="E26" s="403">
        <v>40</v>
      </c>
      <c r="F26" s="405">
        <v>66.989999999999995</v>
      </c>
      <c r="G26" s="404">
        <f t="shared" si="0"/>
        <v>307.27</v>
      </c>
    </row>
    <row r="27" spans="1:7" ht="15">
      <c r="A27" s="400" t="s">
        <v>296</v>
      </c>
      <c r="B27" s="401" t="s">
        <v>576</v>
      </c>
      <c r="C27" s="402" t="s">
        <v>21</v>
      </c>
      <c r="D27" s="479">
        <v>100</v>
      </c>
      <c r="E27" s="403">
        <v>40</v>
      </c>
      <c r="F27" s="405">
        <v>66.989999999999995</v>
      </c>
      <c r="G27" s="404">
        <f t="shared" si="0"/>
        <v>166.99</v>
      </c>
    </row>
    <row r="28" spans="1:7" ht="15">
      <c r="A28" s="400" t="s">
        <v>297</v>
      </c>
      <c r="B28" s="401" t="s">
        <v>298</v>
      </c>
      <c r="C28" s="402" t="s">
        <v>21</v>
      </c>
      <c r="D28" s="479">
        <v>1680.33</v>
      </c>
      <c r="E28" s="403">
        <v>0</v>
      </c>
      <c r="F28" s="405">
        <v>0</v>
      </c>
      <c r="G28" s="404">
        <f t="shared" si="0"/>
        <v>1680.33</v>
      </c>
    </row>
    <row r="29" spans="1:7" ht="15">
      <c r="A29" s="400" t="s">
        <v>299</v>
      </c>
      <c r="B29" s="401" t="s">
        <v>300</v>
      </c>
      <c r="C29" s="402" t="s">
        <v>21</v>
      </c>
      <c r="D29" s="479">
        <v>5534</v>
      </c>
      <c r="E29" s="403">
        <v>0</v>
      </c>
      <c r="F29" s="405">
        <v>0</v>
      </c>
      <c r="G29" s="404">
        <f t="shared" si="0"/>
        <v>5534</v>
      </c>
    </row>
    <row r="30" spans="1:7" ht="15">
      <c r="A30" s="400" t="s">
        <v>301</v>
      </c>
      <c r="B30" s="401" t="s">
        <v>577</v>
      </c>
      <c r="C30" s="402" t="s">
        <v>21</v>
      </c>
      <c r="D30" s="479">
        <v>480</v>
      </c>
      <c r="E30" s="403">
        <v>45</v>
      </c>
      <c r="F30" s="405">
        <v>72.8</v>
      </c>
      <c r="G30" s="404">
        <f t="shared" si="0"/>
        <v>552.79999999999995</v>
      </c>
    </row>
    <row r="31" spans="1:7" ht="15">
      <c r="A31" s="400" t="s">
        <v>303</v>
      </c>
      <c r="B31" s="401" t="s">
        <v>578</v>
      </c>
      <c r="C31" s="402" t="s">
        <v>21</v>
      </c>
      <c r="D31" s="479">
        <v>520</v>
      </c>
      <c r="E31" s="403">
        <v>45</v>
      </c>
      <c r="F31" s="405">
        <v>72.8</v>
      </c>
      <c r="G31" s="404">
        <f t="shared" si="0"/>
        <v>592.79999999999995</v>
      </c>
    </row>
    <row r="32" spans="1:7" ht="15">
      <c r="A32" s="400" t="s">
        <v>305</v>
      </c>
      <c r="B32" s="401" t="s">
        <v>579</v>
      </c>
      <c r="C32" s="402" t="s">
        <v>21</v>
      </c>
      <c r="D32" s="479">
        <v>550</v>
      </c>
      <c r="E32" s="403">
        <v>45</v>
      </c>
      <c r="F32" s="405">
        <v>72.8</v>
      </c>
      <c r="G32" s="404">
        <f t="shared" si="0"/>
        <v>622.79999999999995</v>
      </c>
    </row>
    <row r="33" spans="1:7" ht="15">
      <c r="A33" s="400" t="s">
        <v>307</v>
      </c>
      <c r="B33" s="401" t="s">
        <v>308</v>
      </c>
      <c r="C33" s="402" t="s">
        <v>32</v>
      </c>
      <c r="D33" s="479">
        <v>43</v>
      </c>
      <c r="E33" s="403">
        <v>0</v>
      </c>
      <c r="F33" s="405">
        <v>0</v>
      </c>
      <c r="G33" s="404">
        <f t="shared" si="0"/>
        <v>43</v>
      </c>
    </row>
    <row r="34" spans="1:7" ht="15">
      <c r="A34" s="400" t="s">
        <v>309</v>
      </c>
      <c r="B34" s="401" t="s">
        <v>310</v>
      </c>
      <c r="C34" s="402" t="s">
        <v>32</v>
      </c>
      <c r="D34" s="479">
        <v>33</v>
      </c>
      <c r="E34" s="403">
        <v>0</v>
      </c>
      <c r="F34" s="405">
        <v>0</v>
      </c>
      <c r="G34" s="404">
        <f t="shared" si="0"/>
        <v>33</v>
      </c>
    </row>
    <row r="35" spans="1:7" ht="15">
      <c r="A35" s="400" t="s">
        <v>311</v>
      </c>
      <c r="B35" s="401" t="s">
        <v>312</v>
      </c>
      <c r="C35" s="402" t="s">
        <v>32</v>
      </c>
      <c r="D35" s="479">
        <v>52</v>
      </c>
      <c r="E35" s="403">
        <v>0</v>
      </c>
      <c r="F35" s="405">
        <v>0</v>
      </c>
      <c r="G35" s="404">
        <f t="shared" si="0"/>
        <v>52</v>
      </c>
    </row>
    <row r="36" spans="1:7" ht="15">
      <c r="A36" s="400" t="s">
        <v>313</v>
      </c>
      <c r="B36" s="401" t="s">
        <v>314</v>
      </c>
      <c r="C36" s="402" t="s">
        <v>32</v>
      </c>
      <c r="D36" s="479">
        <v>85</v>
      </c>
      <c r="E36" s="403">
        <v>0</v>
      </c>
      <c r="F36" s="405">
        <v>0</v>
      </c>
      <c r="G36" s="404">
        <f t="shared" si="0"/>
        <v>85</v>
      </c>
    </row>
    <row r="37" spans="1:7" ht="15">
      <c r="A37" s="400" t="s">
        <v>315</v>
      </c>
      <c r="B37" s="401" t="s">
        <v>316</v>
      </c>
      <c r="C37" s="402" t="s">
        <v>32</v>
      </c>
      <c r="D37" s="479">
        <v>140</v>
      </c>
      <c r="E37" s="403">
        <v>0</v>
      </c>
      <c r="F37" s="405">
        <v>0</v>
      </c>
      <c r="G37" s="404">
        <f t="shared" si="0"/>
        <v>140</v>
      </c>
    </row>
    <row r="38" spans="1:7" ht="15">
      <c r="A38" s="400" t="s">
        <v>317</v>
      </c>
      <c r="B38" s="401" t="s">
        <v>318</v>
      </c>
      <c r="C38" s="402" t="s">
        <v>32</v>
      </c>
      <c r="D38" s="479">
        <v>89</v>
      </c>
      <c r="E38" s="403">
        <v>0</v>
      </c>
      <c r="F38" s="405">
        <v>0</v>
      </c>
      <c r="G38" s="404">
        <f t="shared" si="0"/>
        <v>89</v>
      </c>
    </row>
    <row r="39" spans="1:7" ht="15">
      <c r="A39" s="400" t="s">
        <v>319</v>
      </c>
      <c r="B39" s="401" t="s">
        <v>320</v>
      </c>
      <c r="C39" s="402" t="s">
        <v>32</v>
      </c>
      <c r="D39" s="479">
        <v>119</v>
      </c>
      <c r="E39" s="403">
        <v>0</v>
      </c>
      <c r="F39" s="405">
        <v>0</v>
      </c>
      <c r="G39" s="404">
        <f t="shared" si="0"/>
        <v>119</v>
      </c>
    </row>
    <row r="40" spans="1:7" ht="15">
      <c r="A40" s="400" t="s">
        <v>321</v>
      </c>
      <c r="B40" s="401" t="s">
        <v>322</v>
      </c>
      <c r="C40" s="402" t="s">
        <v>32</v>
      </c>
      <c r="D40" s="479">
        <v>30</v>
      </c>
      <c r="E40" s="403">
        <v>0</v>
      </c>
      <c r="F40" s="405">
        <v>0</v>
      </c>
      <c r="G40" s="404">
        <f t="shared" ref="G40:G71" si="1">D40+F40</f>
        <v>30</v>
      </c>
    </row>
    <row r="41" spans="1:7" ht="15">
      <c r="A41" s="400" t="s">
        <v>323</v>
      </c>
      <c r="B41" s="401" t="s">
        <v>324</v>
      </c>
      <c r="C41" s="402" t="s">
        <v>90</v>
      </c>
      <c r="D41" s="479">
        <v>750</v>
      </c>
      <c r="E41" s="403">
        <v>0</v>
      </c>
      <c r="F41" s="405">
        <v>0</v>
      </c>
      <c r="G41" s="404">
        <f t="shared" si="1"/>
        <v>750</v>
      </c>
    </row>
    <row r="42" spans="1:7" ht="15">
      <c r="A42" s="400" t="s">
        <v>325</v>
      </c>
      <c r="B42" s="401" t="s">
        <v>326</v>
      </c>
      <c r="C42" s="402" t="s">
        <v>90</v>
      </c>
      <c r="D42" s="479">
        <v>2200</v>
      </c>
      <c r="E42" s="403">
        <v>0</v>
      </c>
      <c r="F42" s="405">
        <v>0</v>
      </c>
      <c r="G42" s="404">
        <f t="shared" si="1"/>
        <v>2200</v>
      </c>
    </row>
    <row r="43" spans="1:7" ht="15">
      <c r="A43" s="400" t="s">
        <v>327</v>
      </c>
      <c r="B43" s="401" t="s">
        <v>328</v>
      </c>
      <c r="C43" s="402" t="s">
        <v>90</v>
      </c>
      <c r="D43" s="479">
        <v>320</v>
      </c>
      <c r="E43" s="403">
        <v>0</v>
      </c>
      <c r="F43" s="405">
        <v>0</v>
      </c>
      <c r="G43" s="404">
        <f t="shared" si="1"/>
        <v>320</v>
      </c>
    </row>
    <row r="44" spans="1:7" ht="15">
      <c r="A44" s="400" t="s">
        <v>329</v>
      </c>
      <c r="B44" s="401" t="s">
        <v>330</v>
      </c>
      <c r="C44" s="402" t="s">
        <v>90</v>
      </c>
      <c r="D44" s="479">
        <v>405</v>
      </c>
      <c r="E44" s="403">
        <v>0</v>
      </c>
      <c r="F44" s="405">
        <v>0</v>
      </c>
      <c r="G44" s="404">
        <f t="shared" si="1"/>
        <v>405</v>
      </c>
    </row>
    <row r="45" spans="1:7" ht="15">
      <c r="A45" s="400" t="s">
        <v>331</v>
      </c>
      <c r="B45" s="401" t="s">
        <v>332</v>
      </c>
      <c r="C45" s="402" t="s">
        <v>90</v>
      </c>
      <c r="D45" s="479">
        <v>2200</v>
      </c>
      <c r="E45" s="403">
        <v>0</v>
      </c>
      <c r="F45" s="405">
        <v>0</v>
      </c>
      <c r="G45" s="404">
        <f t="shared" si="1"/>
        <v>2200</v>
      </c>
    </row>
    <row r="46" spans="1:7" ht="15">
      <c r="A46" s="400" t="s">
        <v>333</v>
      </c>
      <c r="B46" s="401" t="s">
        <v>334</v>
      </c>
      <c r="C46" s="402" t="s">
        <v>90</v>
      </c>
      <c r="D46" s="479">
        <v>5000</v>
      </c>
      <c r="E46" s="403">
        <v>0</v>
      </c>
      <c r="F46" s="405">
        <v>0</v>
      </c>
      <c r="G46" s="404">
        <f t="shared" si="1"/>
        <v>5000</v>
      </c>
    </row>
    <row r="47" spans="1:7" ht="15">
      <c r="A47" s="400" t="s">
        <v>335</v>
      </c>
      <c r="B47" s="401" t="s">
        <v>336</v>
      </c>
      <c r="C47" s="402" t="s">
        <v>90</v>
      </c>
      <c r="D47" s="479">
        <v>13200</v>
      </c>
      <c r="E47" s="403">
        <v>0</v>
      </c>
      <c r="F47" s="405">
        <v>0</v>
      </c>
      <c r="G47" s="404">
        <f t="shared" si="1"/>
        <v>13200</v>
      </c>
    </row>
    <row r="48" spans="1:7" ht="15">
      <c r="A48" s="400" t="s">
        <v>337</v>
      </c>
      <c r="B48" s="401" t="s">
        <v>338</v>
      </c>
      <c r="C48" s="402" t="s">
        <v>90</v>
      </c>
      <c r="D48" s="479">
        <v>4500</v>
      </c>
      <c r="E48" s="403">
        <v>0</v>
      </c>
      <c r="F48" s="405">
        <v>0</v>
      </c>
      <c r="G48" s="404">
        <f t="shared" si="1"/>
        <v>4500</v>
      </c>
    </row>
    <row r="49" spans="1:7" ht="15">
      <c r="A49" s="400" t="s">
        <v>339</v>
      </c>
      <c r="B49" s="401" t="s">
        <v>340</v>
      </c>
      <c r="C49" s="402" t="s">
        <v>32</v>
      </c>
      <c r="D49" s="479">
        <v>47.442999999999998</v>
      </c>
      <c r="E49" s="403">
        <v>0</v>
      </c>
      <c r="F49" s="405">
        <v>0</v>
      </c>
      <c r="G49" s="404">
        <f t="shared" si="1"/>
        <v>47.442999999999998</v>
      </c>
    </row>
    <row r="50" spans="1:7" ht="15">
      <c r="A50" s="400" t="s">
        <v>341</v>
      </c>
      <c r="B50" s="401" t="s">
        <v>342</v>
      </c>
      <c r="C50" s="402" t="s">
        <v>90</v>
      </c>
      <c r="D50" s="479">
        <v>35</v>
      </c>
      <c r="E50" s="403">
        <v>0</v>
      </c>
      <c r="F50" s="405">
        <v>0</v>
      </c>
      <c r="G50" s="404">
        <f t="shared" si="1"/>
        <v>35</v>
      </c>
    </row>
    <row r="51" spans="1:7" ht="15">
      <c r="A51" s="400" t="s">
        <v>343</v>
      </c>
      <c r="B51" s="401" t="s">
        <v>344</v>
      </c>
      <c r="C51" s="402" t="s">
        <v>90</v>
      </c>
      <c r="D51" s="479">
        <v>115</v>
      </c>
      <c r="E51" s="403">
        <v>0</v>
      </c>
      <c r="F51" s="405">
        <v>0</v>
      </c>
      <c r="G51" s="404">
        <f t="shared" si="1"/>
        <v>115</v>
      </c>
    </row>
    <row r="52" spans="1:7" ht="15">
      <c r="A52" s="400" t="s">
        <v>345</v>
      </c>
      <c r="B52" s="401" t="s">
        <v>346</v>
      </c>
      <c r="C52" s="402" t="s">
        <v>90</v>
      </c>
      <c r="D52" s="479">
        <v>25</v>
      </c>
      <c r="E52" s="403">
        <v>0</v>
      </c>
      <c r="F52" s="405">
        <v>0</v>
      </c>
      <c r="G52" s="404">
        <f t="shared" si="1"/>
        <v>25</v>
      </c>
    </row>
    <row r="53" spans="1:7" ht="15">
      <c r="A53" s="400" t="s">
        <v>347</v>
      </c>
      <c r="B53" s="401" t="s">
        <v>348</v>
      </c>
      <c r="C53" s="402" t="s">
        <v>90</v>
      </c>
      <c r="D53" s="479">
        <v>150</v>
      </c>
      <c r="E53" s="403">
        <v>0</v>
      </c>
      <c r="F53" s="405">
        <v>0</v>
      </c>
      <c r="G53" s="404">
        <f t="shared" si="1"/>
        <v>150</v>
      </c>
    </row>
    <row r="54" spans="1:7" ht="15">
      <c r="A54" s="400" t="s">
        <v>349</v>
      </c>
      <c r="B54" s="401" t="s">
        <v>350</v>
      </c>
      <c r="C54" s="402" t="s">
        <v>90</v>
      </c>
      <c r="D54" s="479">
        <v>28.36</v>
      </c>
      <c r="E54" s="403">
        <v>0</v>
      </c>
      <c r="F54" s="405">
        <v>0</v>
      </c>
      <c r="G54" s="404">
        <f t="shared" si="1"/>
        <v>28.36</v>
      </c>
    </row>
    <row r="55" spans="1:7" ht="15">
      <c r="A55" s="400" t="s">
        <v>351</v>
      </c>
      <c r="B55" s="401" t="s">
        <v>352</v>
      </c>
      <c r="C55" s="402" t="s">
        <v>20</v>
      </c>
      <c r="D55" s="479">
        <v>11.55</v>
      </c>
      <c r="E55" s="403">
        <v>0</v>
      </c>
      <c r="F55" s="405">
        <v>0</v>
      </c>
      <c r="G55" s="404">
        <f t="shared" si="1"/>
        <v>11.55</v>
      </c>
    </row>
    <row r="56" spans="1:7" ht="15">
      <c r="A56" s="400" t="s">
        <v>353</v>
      </c>
      <c r="B56" s="401" t="s">
        <v>580</v>
      </c>
      <c r="C56" s="402" t="s">
        <v>32</v>
      </c>
      <c r="D56" s="479">
        <v>435</v>
      </c>
      <c r="E56" s="403">
        <v>40</v>
      </c>
      <c r="F56" s="405">
        <f>'Cjenik PM'!G49</f>
        <v>42.58</v>
      </c>
      <c r="G56" s="404">
        <f t="shared" si="1"/>
        <v>477.58</v>
      </c>
    </row>
    <row r="57" spans="1:7" ht="15">
      <c r="A57" s="400" t="s">
        <v>354</v>
      </c>
      <c r="B57" s="401" t="s">
        <v>581</v>
      </c>
      <c r="C57" s="402" t="s">
        <v>32</v>
      </c>
      <c r="D57" s="479">
        <v>475</v>
      </c>
      <c r="E57" s="403">
        <v>40</v>
      </c>
      <c r="F57" s="405">
        <f>F56</f>
        <v>42.58</v>
      </c>
      <c r="G57" s="404">
        <f t="shared" si="1"/>
        <v>517.58000000000004</v>
      </c>
    </row>
    <row r="58" spans="1:7" ht="15">
      <c r="A58" s="400" t="s">
        <v>355</v>
      </c>
      <c r="B58" s="401" t="s">
        <v>356</v>
      </c>
      <c r="C58" s="402" t="s">
        <v>32</v>
      </c>
      <c r="D58" s="479">
        <v>200</v>
      </c>
      <c r="E58" s="403">
        <v>0</v>
      </c>
      <c r="F58" s="405">
        <v>0</v>
      </c>
      <c r="G58" s="404">
        <f t="shared" si="1"/>
        <v>200</v>
      </c>
    </row>
    <row r="59" spans="1:7" ht="15">
      <c r="A59" s="400" t="s">
        <v>357</v>
      </c>
      <c r="B59" s="401" t="s">
        <v>358</v>
      </c>
      <c r="C59" s="402" t="s">
        <v>32</v>
      </c>
      <c r="D59" s="479">
        <v>170</v>
      </c>
      <c r="E59" s="403">
        <v>0</v>
      </c>
      <c r="F59" s="405">
        <v>0</v>
      </c>
      <c r="G59" s="404">
        <f t="shared" si="1"/>
        <v>170</v>
      </c>
    </row>
    <row r="60" spans="1:7" ht="15">
      <c r="A60" s="400" t="s">
        <v>359</v>
      </c>
      <c r="B60" s="401" t="s">
        <v>360</v>
      </c>
      <c r="C60" s="402" t="s">
        <v>106</v>
      </c>
      <c r="D60" s="479">
        <v>9.5</v>
      </c>
      <c r="E60" s="403">
        <v>0</v>
      </c>
      <c r="F60" s="405">
        <v>0</v>
      </c>
      <c r="G60" s="404">
        <f t="shared" si="1"/>
        <v>9.5</v>
      </c>
    </row>
    <row r="61" spans="1:7" ht="15">
      <c r="A61" s="400" t="s">
        <v>361</v>
      </c>
      <c r="B61" s="401" t="s">
        <v>582</v>
      </c>
      <c r="C61" s="402" t="s">
        <v>106</v>
      </c>
      <c r="D61" s="479">
        <v>34</v>
      </c>
      <c r="E61" s="403">
        <v>0</v>
      </c>
      <c r="F61" s="405">
        <v>0</v>
      </c>
      <c r="G61" s="404">
        <f t="shared" si="1"/>
        <v>34</v>
      </c>
    </row>
    <row r="62" spans="1:7" ht="15">
      <c r="A62" s="400" t="s">
        <v>362</v>
      </c>
      <c r="B62" s="401" t="s">
        <v>583</v>
      </c>
      <c r="C62" s="402" t="s">
        <v>106</v>
      </c>
      <c r="D62" s="479">
        <v>9.5</v>
      </c>
      <c r="E62" s="403">
        <v>0</v>
      </c>
      <c r="F62" s="405">
        <v>0</v>
      </c>
      <c r="G62" s="404">
        <f t="shared" si="1"/>
        <v>9.5</v>
      </c>
    </row>
    <row r="63" spans="1:7" ht="15">
      <c r="A63" s="400" t="s">
        <v>363</v>
      </c>
      <c r="B63" s="401" t="s">
        <v>364</v>
      </c>
      <c r="C63" s="402" t="s">
        <v>106</v>
      </c>
      <c r="D63" s="479">
        <v>9.5</v>
      </c>
      <c r="E63" s="403">
        <v>0</v>
      </c>
      <c r="F63" s="405">
        <v>0</v>
      </c>
      <c r="G63" s="404">
        <f t="shared" si="1"/>
        <v>9.5</v>
      </c>
    </row>
    <row r="64" spans="1:7" ht="15">
      <c r="A64" s="400" t="s">
        <v>365</v>
      </c>
      <c r="B64" s="401" t="s">
        <v>366</v>
      </c>
      <c r="C64" s="402" t="s">
        <v>32</v>
      </c>
      <c r="D64" s="479">
        <v>10</v>
      </c>
      <c r="E64" s="403">
        <v>0</v>
      </c>
      <c r="F64" s="405">
        <v>0</v>
      </c>
      <c r="G64" s="404">
        <f t="shared" si="1"/>
        <v>10</v>
      </c>
    </row>
    <row r="65" spans="1:7" ht="15">
      <c r="A65" s="400" t="s">
        <v>367</v>
      </c>
      <c r="B65" s="401" t="s">
        <v>368</v>
      </c>
      <c r="C65" s="402" t="s">
        <v>106</v>
      </c>
      <c r="D65" s="479">
        <v>29</v>
      </c>
      <c r="E65" s="403">
        <v>0</v>
      </c>
      <c r="F65" s="405">
        <v>0</v>
      </c>
      <c r="G65" s="404">
        <f t="shared" si="1"/>
        <v>29</v>
      </c>
    </row>
    <row r="66" spans="1:7" ht="15">
      <c r="A66" s="400" t="s">
        <v>369</v>
      </c>
      <c r="B66" s="401" t="s">
        <v>370</v>
      </c>
      <c r="C66" s="402" t="s">
        <v>20</v>
      </c>
      <c r="D66" s="479">
        <v>40.5</v>
      </c>
      <c r="E66" s="403">
        <v>0</v>
      </c>
      <c r="F66" s="405">
        <v>0</v>
      </c>
      <c r="G66" s="404">
        <f t="shared" si="1"/>
        <v>40.5</v>
      </c>
    </row>
    <row r="67" spans="1:7" ht="15">
      <c r="A67" s="400" t="s">
        <v>371</v>
      </c>
      <c r="B67" s="401" t="s">
        <v>372</v>
      </c>
      <c r="C67" s="402" t="s">
        <v>106</v>
      </c>
      <c r="D67" s="479">
        <v>13</v>
      </c>
      <c r="E67" s="403">
        <v>0</v>
      </c>
      <c r="F67" s="405">
        <v>0</v>
      </c>
      <c r="G67" s="404">
        <f t="shared" si="1"/>
        <v>13</v>
      </c>
    </row>
    <row r="68" spans="1:7" ht="15">
      <c r="A68" s="400" t="s">
        <v>373</v>
      </c>
      <c r="B68" s="401" t="s">
        <v>374</v>
      </c>
      <c r="C68" s="402" t="s">
        <v>20</v>
      </c>
      <c r="D68" s="479">
        <v>40.5</v>
      </c>
      <c r="E68" s="403">
        <v>0</v>
      </c>
      <c r="F68" s="405">
        <v>0</v>
      </c>
      <c r="G68" s="404">
        <f t="shared" si="1"/>
        <v>40.5</v>
      </c>
    </row>
    <row r="69" spans="1:7" ht="15">
      <c r="A69" s="400" t="s">
        <v>375</v>
      </c>
      <c r="B69" s="401" t="s">
        <v>376</v>
      </c>
      <c r="C69" s="402" t="s">
        <v>106</v>
      </c>
      <c r="D69" s="479">
        <v>11</v>
      </c>
      <c r="E69" s="403">
        <v>0</v>
      </c>
      <c r="F69" s="405">
        <v>0</v>
      </c>
      <c r="G69" s="404">
        <f t="shared" si="1"/>
        <v>11</v>
      </c>
    </row>
    <row r="70" spans="1:7" ht="15">
      <c r="A70" s="400" t="s">
        <v>377</v>
      </c>
      <c r="B70" s="401" t="s">
        <v>584</v>
      </c>
      <c r="C70" s="402" t="s">
        <v>106</v>
      </c>
      <c r="D70" s="479">
        <v>8.1999999999999993</v>
      </c>
      <c r="E70" s="403">
        <v>0</v>
      </c>
      <c r="F70" s="405">
        <v>0</v>
      </c>
      <c r="G70" s="404">
        <f t="shared" si="1"/>
        <v>8.1999999999999993</v>
      </c>
    </row>
    <row r="71" spans="1:7" ht="15">
      <c r="A71" s="400" t="s">
        <v>380</v>
      </c>
      <c r="B71" s="401" t="s">
        <v>378</v>
      </c>
      <c r="C71" s="402" t="s">
        <v>379</v>
      </c>
      <c r="D71" s="479">
        <v>9.75</v>
      </c>
      <c r="E71" s="403">
        <v>0</v>
      </c>
      <c r="F71" s="405">
        <v>0</v>
      </c>
      <c r="G71" s="404">
        <f t="shared" si="1"/>
        <v>9.75</v>
      </c>
    </row>
    <row r="72" spans="1:7" ht="15">
      <c r="A72" s="400" t="s">
        <v>381</v>
      </c>
      <c r="B72" s="401" t="s">
        <v>585</v>
      </c>
      <c r="C72" s="402" t="s">
        <v>106</v>
      </c>
      <c r="D72" s="479">
        <v>60</v>
      </c>
      <c r="E72" s="403">
        <v>0</v>
      </c>
      <c r="F72" s="405">
        <v>0</v>
      </c>
      <c r="G72" s="404">
        <f t="shared" ref="G72:G103" si="2">D72+F72</f>
        <v>60</v>
      </c>
    </row>
    <row r="73" spans="1:7" ht="15">
      <c r="A73" s="400" t="s">
        <v>383</v>
      </c>
      <c r="B73" s="401" t="s">
        <v>586</v>
      </c>
      <c r="C73" s="402" t="s">
        <v>106</v>
      </c>
      <c r="D73" s="479">
        <v>60</v>
      </c>
      <c r="E73" s="403">
        <v>0</v>
      </c>
      <c r="F73" s="405">
        <v>0</v>
      </c>
      <c r="G73" s="404">
        <f t="shared" si="2"/>
        <v>60</v>
      </c>
    </row>
    <row r="74" spans="1:7" ht="15">
      <c r="A74" s="400" t="s">
        <v>385</v>
      </c>
      <c r="B74" s="401" t="s">
        <v>382</v>
      </c>
      <c r="C74" s="402" t="s">
        <v>106</v>
      </c>
      <c r="D74" s="479">
        <v>25</v>
      </c>
      <c r="E74" s="403">
        <v>0</v>
      </c>
      <c r="F74" s="405">
        <v>0</v>
      </c>
      <c r="G74" s="404">
        <f t="shared" si="2"/>
        <v>25</v>
      </c>
    </row>
    <row r="75" spans="1:7" ht="15">
      <c r="A75" s="400" t="s">
        <v>387</v>
      </c>
      <c r="B75" s="401" t="s">
        <v>384</v>
      </c>
      <c r="C75" s="402" t="s">
        <v>106</v>
      </c>
      <c r="D75" s="479">
        <v>17</v>
      </c>
      <c r="E75" s="403">
        <v>0</v>
      </c>
      <c r="F75" s="405">
        <v>0</v>
      </c>
      <c r="G75" s="404">
        <f t="shared" si="2"/>
        <v>17</v>
      </c>
    </row>
    <row r="76" spans="1:7" ht="15">
      <c r="A76" s="400" t="s">
        <v>389</v>
      </c>
      <c r="B76" s="401" t="s">
        <v>386</v>
      </c>
      <c r="C76" s="402" t="s">
        <v>106</v>
      </c>
      <c r="D76" s="479">
        <v>9.5</v>
      </c>
      <c r="E76" s="403">
        <v>0</v>
      </c>
      <c r="F76" s="405">
        <v>0</v>
      </c>
      <c r="G76" s="404">
        <f t="shared" si="2"/>
        <v>9.5</v>
      </c>
    </row>
    <row r="77" spans="1:7" ht="15">
      <c r="A77" s="400" t="s">
        <v>391</v>
      </c>
      <c r="B77" s="401" t="s">
        <v>388</v>
      </c>
      <c r="C77" s="402" t="s">
        <v>106</v>
      </c>
      <c r="D77" s="479">
        <v>0.9</v>
      </c>
      <c r="E77" s="403">
        <v>0</v>
      </c>
      <c r="F77" s="405">
        <v>0</v>
      </c>
      <c r="G77" s="404">
        <f t="shared" si="2"/>
        <v>0.9</v>
      </c>
    </row>
    <row r="78" spans="1:7" ht="15">
      <c r="A78" s="400" t="s">
        <v>393</v>
      </c>
      <c r="B78" s="401" t="s">
        <v>390</v>
      </c>
      <c r="C78" s="402" t="s">
        <v>106</v>
      </c>
      <c r="D78" s="479">
        <v>7</v>
      </c>
      <c r="E78" s="403">
        <v>0</v>
      </c>
      <c r="F78" s="405">
        <v>0</v>
      </c>
      <c r="G78" s="404">
        <f t="shared" si="2"/>
        <v>7</v>
      </c>
    </row>
    <row r="79" spans="1:7" ht="15">
      <c r="A79" s="400" t="s">
        <v>395</v>
      </c>
      <c r="B79" s="401" t="s">
        <v>392</v>
      </c>
      <c r="C79" s="402" t="s">
        <v>21</v>
      </c>
      <c r="D79" s="479">
        <v>580</v>
      </c>
      <c r="E79" s="403">
        <v>0</v>
      </c>
      <c r="F79" s="405">
        <v>0</v>
      </c>
      <c r="G79" s="404">
        <f t="shared" si="2"/>
        <v>580</v>
      </c>
    </row>
    <row r="80" spans="1:7" ht="15">
      <c r="A80" s="400" t="s">
        <v>397</v>
      </c>
      <c r="B80" s="401" t="s">
        <v>394</v>
      </c>
      <c r="C80" s="402" t="s">
        <v>106</v>
      </c>
      <c r="D80" s="479">
        <v>140</v>
      </c>
      <c r="E80" s="403">
        <v>0</v>
      </c>
      <c r="F80" s="405">
        <v>0</v>
      </c>
      <c r="G80" s="404">
        <f t="shared" si="2"/>
        <v>140</v>
      </c>
    </row>
    <row r="81" spans="1:7" ht="15">
      <c r="A81" s="400" t="s">
        <v>399</v>
      </c>
      <c r="B81" s="401" t="s">
        <v>396</v>
      </c>
      <c r="C81" s="402" t="s">
        <v>106</v>
      </c>
      <c r="D81" s="479">
        <v>19.5</v>
      </c>
      <c r="E81" s="403">
        <v>0</v>
      </c>
      <c r="F81" s="405">
        <v>0</v>
      </c>
      <c r="G81" s="404">
        <f t="shared" si="2"/>
        <v>19.5</v>
      </c>
    </row>
    <row r="82" spans="1:7" ht="15">
      <c r="A82" s="400" t="s">
        <v>401</v>
      </c>
      <c r="B82" s="401" t="s">
        <v>398</v>
      </c>
      <c r="C82" s="402" t="s">
        <v>106</v>
      </c>
      <c r="D82" s="479">
        <v>14</v>
      </c>
      <c r="E82" s="403">
        <v>0</v>
      </c>
      <c r="F82" s="405">
        <v>0</v>
      </c>
      <c r="G82" s="404">
        <f t="shared" si="2"/>
        <v>14</v>
      </c>
    </row>
    <row r="83" spans="1:7" ht="15">
      <c r="A83" s="400" t="s">
        <v>403</v>
      </c>
      <c r="B83" s="401" t="s">
        <v>400</v>
      </c>
      <c r="C83" s="402" t="s">
        <v>106</v>
      </c>
      <c r="D83" s="479">
        <v>13</v>
      </c>
      <c r="E83" s="403">
        <v>0</v>
      </c>
      <c r="F83" s="405">
        <v>0</v>
      </c>
      <c r="G83" s="404">
        <f t="shared" si="2"/>
        <v>13</v>
      </c>
    </row>
    <row r="84" spans="1:7" ht="15">
      <c r="A84" s="400" t="s">
        <v>405</v>
      </c>
      <c r="B84" s="401" t="s">
        <v>402</v>
      </c>
      <c r="C84" s="402" t="s">
        <v>26</v>
      </c>
      <c r="D84" s="479">
        <v>1725</v>
      </c>
      <c r="E84" s="403">
        <v>0</v>
      </c>
      <c r="F84" s="405">
        <v>0</v>
      </c>
      <c r="G84" s="404">
        <f t="shared" si="2"/>
        <v>1725</v>
      </c>
    </row>
    <row r="85" spans="1:7" ht="15">
      <c r="A85" s="400" t="s">
        <v>406</v>
      </c>
      <c r="B85" s="401" t="s">
        <v>404</v>
      </c>
      <c r="C85" s="402" t="s">
        <v>26</v>
      </c>
      <c r="D85" s="479">
        <v>643</v>
      </c>
      <c r="E85" s="403">
        <v>0</v>
      </c>
      <c r="F85" s="405">
        <v>0</v>
      </c>
      <c r="G85" s="404">
        <f t="shared" si="2"/>
        <v>643</v>
      </c>
    </row>
    <row r="86" spans="1:7" ht="15">
      <c r="A86" s="400" t="s">
        <v>407</v>
      </c>
      <c r="B86" s="401" t="s">
        <v>257</v>
      </c>
      <c r="C86" s="402" t="s">
        <v>26</v>
      </c>
      <c r="D86" s="479">
        <v>3350</v>
      </c>
      <c r="E86" s="403">
        <v>0</v>
      </c>
      <c r="F86" s="405">
        <v>0</v>
      </c>
      <c r="G86" s="404">
        <f t="shared" si="2"/>
        <v>3350</v>
      </c>
    </row>
    <row r="87" spans="1:7" ht="15">
      <c r="A87" s="400" t="s">
        <v>409</v>
      </c>
      <c r="B87" s="401" t="s">
        <v>215</v>
      </c>
      <c r="C87" s="402" t="s">
        <v>106</v>
      </c>
      <c r="D87" s="479">
        <v>42</v>
      </c>
      <c r="E87" s="403">
        <v>0</v>
      </c>
      <c r="F87" s="405">
        <v>0</v>
      </c>
      <c r="G87" s="404">
        <f t="shared" si="2"/>
        <v>42</v>
      </c>
    </row>
    <row r="88" spans="1:7" ht="15">
      <c r="A88" s="400" t="s">
        <v>411</v>
      </c>
      <c r="B88" s="401" t="s">
        <v>408</v>
      </c>
      <c r="C88" s="402" t="s">
        <v>90</v>
      </c>
      <c r="D88" s="479">
        <v>75</v>
      </c>
      <c r="E88" s="403">
        <v>0</v>
      </c>
      <c r="F88" s="405">
        <v>0</v>
      </c>
      <c r="G88" s="404">
        <f t="shared" si="2"/>
        <v>75</v>
      </c>
    </row>
    <row r="89" spans="1:7" ht="15">
      <c r="A89" s="400" t="s">
        <v>413</v>
      </c>
      <c r="B89" s="401" t="s">
        <v>410</v>
      </c>
      <c r="C89" s="402" t="s">
        <v>106</v>
      </c>
      <c r="D89" s="479">
        <v>12</v>
      </c>
      <c r="E89" s="403">
        <v>0</v>
      </c>
      <c r="F89" s="405">
        <v>0</v>
      </c>
      <c r="G89" s="404">
        <f t="shared" si="2"/>
        <v>12</v>
      </c>
    </row>
    <row r="90" spans="1:7" ht="15">
      <c r="A90" s="400" t="s">
        <v>415</v>
      </c>
      <c r="B90" s="401" t="s">
        <v>412</v>
      </c>
      <c r="C90" s="402" t="s">
        <v>106</v>
      </c>
      <c r="D90" s="479">
        <v>15</v>
      </c>
      <c r="E90" s="403">
        <v>0</v>
      </c>
      <c r="F90" s="405">
        <v>0</v>
      </c>
      <c r="G90" s="404">
        <f t="shared" si="2"/>
        <v>15</v>
      </c>
    </row>
    <row r="91" spans="1:7" ht="15">
      <c r="A91" s="400" t="s">
        <v>417</v>
      </c>
      <c r="B91" s="401" t="s">
        <v>414</v>
      </c>
      <c r="C91" s="402" t="s">
        <v>90</v>
      </c>
      <c r="D91" s="479">
        <v>75</v>
      </c>
      <c r="E91" s="403">
        <v>0</v>
      </c>
      <c r="F91" s="405">
        <v>0</v>
      </c>
      <c r="G91" s="404">
        <f t="shared" si="2"/>
        <v>75</v>
      </c>
    </row>
    <row r="92" spans="1:7" ht="15">
      <c r="A92" s="400" t="s">
        <v>419</v>
      </c>
      <c r="B92" s="401" t="s">
        <v>416</v>
      </c>
      <c r="C92" s="402" t="s">
        <v>21</v>
      </c>
      <c r="D92" s="479">
        <v>9</v>
      </c>
      <c r="E92" s="403">
        <v>0</v>
      </c>
      <c r="F92" s="405">
        <v>0</v>
      </c>
      <c r="G92" s="404">
        <f t="shared" si="2"/>
        <v>9</v>
      </c>
    </row>
    <row r="93" spans="1:7" ht="15">
      <c r="A93" s="400" t="s">
        <v>421</v>
      </c>
      <c r="B93" s="401" t="s">
        <v>418</v>
      </c>
      <c r="C93" s="402" t="s">
        <v>90</v>
      </c>
      <c r="D93" s="479">
        <v>250</v>
      </c>
      <c r="E93" s="403">
        <v>0</v>
      </c>
      <c r="F93" s="405">
        <v>0</v>
      </c>
      <c r="G93" s="404">
        <f t="shared" si="2"/>
        <v>250</v>
      </c>
    </row>
    <row r="94" spans="1:7" ht="15">
      <c r="A94" s="400" t="s">
        <v>423</v>
      </c>
      <c r="B94" s="401" t="s">
        <v>587</v>
      </c>
      <c r="C94" s="402" t="s">
        <v>21</v>
      </c>
      <c r="D94" s="479">
        <v>850</v>
      </c>
      <c r="E94" s="403">
        <v>0</v>
      </c>
      <c r="F94" s="405">
        <v>0</v>
      </c>
      <c r="G94" s="404">
        <f t="shared" si="2"/>
        <v>850</v>
      </c>
    </row>
    <row r="95" spans="1:7" ht="15">
      <c r="A95" s="400" t="s">
        <v>424</v>
      </c>
      <c r="B95" s="401" t="s">
        <v>420</v>
      </c>
      <c r="C95" s="402" t="s">
        <v>32</v>
      </c>
      <c r="D95" s="479">
        <v>200</v>
      </c>
      <c r="E95" s="403">
        <v>0</v>
      </c>
      <c r="F95" s="405">
        <v>0</v>
      </c>
      <c r="G95" s="404">
        <f t="shared" si="2"/>
        <v>200</v>
      </c>
    </row>
    <row r="96" spans="1:7" ht="15">
      <c r="A96" s="400" t="s">
        <v>425</v>
      </c>
      <c r="B96" s="401" t="s">
        <v>422</v>
      </c>
      <c r="C96" s="402" t="s">
        <v>26</v>
      </c>
      <c r="D96" s="479">
        <v>540</v>
      </c>
      <c r="E96" s="403">
        <v>0</v>
      </c>
      <c r="F96" s="405">
        <v>0</v>
      </c>
      <c r="G96" s="404">
        <f t="shared" si="2"/>
        <v>540</v>
      </c>
    </row>
    <row r="97" spans="1:7" ht="15">
      <c r="A97" s="400" t="s">
        <v>426</v>
      </c>
      <c r="B97" s="401" t="s">
        <v>588</v>
      </c>
      <c r="C97" s="402" t="s">
        <v>26</v>
      </c>
      <c r="D97" s="479">
        <v>390</v>
      </c>
      <c r="E97" s="403">
        <v>45</v>
      </c>
      <c r="F97" s="405">
        <v>46.97</v>
      </c>
      <c r="G97" s="404">
        <f t="shared" si="2"/>
        <v>436.97</v>
      </c>
    </row>
    <row r="98" spans="1:7" ht="15">
      <c r="A98" s="400" t="s">
        <v>427</v>
      </c>
      <c r="B98" s="401" t="s">
        <v>589</v>
      </c>
      <c r="C98" s="402" t="s">
        <v>106</v>
      </c>
      <c r="D98" s="479">
        <v>8.1999999999999993</v>
      </c>
      <c r="E98" s="403">
        <v>0</v>
      </c>
      <c r="F98" s="405">
        <v>0</v>
      </c>
      <c r="G98" s="404">
        <f t="shared" si="2"/>
        <v>8.1999999999999993</v>
      </c>
    </row>
    <row r="99" spans="1:7" ht="15">
      <c r="A99" s="400" t="s">
        <v>428</v>
      </c>
      <c r="B99" s="401" t="s">
        <v>590</v>
      </c>
      <c r="C99" s="402" t="s">
        <v>106</v>
      </c>
      <c r="D99" s="479">
        <v>8.1999999999999993</v>
      </c>
      <c r="E99" s="403">
        <v>0</v>
      </c>
      <c r="F99" s="405">
        <v>0</v>
      </c>
      <c r="G99" s="404">
        <f t="shared" si="2"/>
        <v>8.1999999999999993</v>
      </c>
    </row>
    <row r="100" spans="1:7" ht="15">
      <c r="A100" s="400" t="s">
        <v>429</v>
      </c>
      <c r="B100" s="401" t="s">
        <v>591</v>
      </c>
      <c r="C100" s="402" t="s">
        <v>106</v>
      </c>
      <c r="D100" s="479">
        <v>21.7</v>
      </c>
      <c r="E100" s="403">
        <v>0</v>
      </c>
      <c r="F100" s="405">
        <v>0</v>
      </c>
      <c r="G100" s="404">
        <f t="shared" si="2"/>
        <v>21.7</v>
      </c>
    </row>
    <row r="101" spans="1:7" ht="15">
      <c r="A101" s="400" t="s">
        <v>430</v>
      </c>
      <c r="B101" s="401" t="s">
        <v>592</v>
      </c>
      <c r="C101" s="402" t="s">
        <v>21</v>
      </c>
      <c r="D101" s="479">
        <v>115</v>
      </c>
      <c r="E101" s="403">
        <f>E21</f>
        <v>45</v>
      </c>
      <c r="F101" s="405">
        <v>66.989999999999995</v>
      </c>
      <c r="G101" s="404">
        <f t="shared" si="2"/>
        <v>181.99</v>
      </c>
    </row>
    <row r="102" spans="1:7" ht="15">
      <c r="A102" s="400" t="s">
        <v>432</v>
      </c>
      <c r="B102" s="401" t="s">
        <v>593</v>
      </c>
      <c r="C102" s="402" t="s">
        <v>21</v>
      </c>
      <c r="D102" s="479">
        <v>500</v>
      </c>
      <c r="E102" s="403">
        <f>E31</f>
        <v>45</v>
      </c>
      <c r="F102" s="405">
        <v>72.8</v>
      </c>
      <c r="G102" s="404">
        <f t="shared" si="2"/>
        <v>572.79999999999995</v>
      </c>
    </row>
    <row r="103" spans="1:7" ht="15">
      <c r="A103" s="400" t="s">
        <v>434</v>
      </c>
      <c r="B103" s="401" t="s">
        <v>594</v>
      </c>
      <c r="C103" s="402" t="s">
        <v>32</v>
      </c>
      <c r="D103" s="479">
        <v>90</v>
      </c>
      <c r="E103" s="403">
        <v>0</v>
      </c>
      <c r="F103" s="405">
        <v>0</v>
      </c>
      <c r="G103" s="404">
        <f t="shared" si="2"/>
        <v>90</v>
      </c>
    </row>
    <row r="104" spans="1:7" ht="15">
      <c r="A104" s="400" t="s">
        <v>436</v>
      </c>
      <c r="B104" s="401" t="s">
        <v>595</v>
      </c>
      <c r="C104" s="402" t="s">
        <v>32</v>
      </c>
      <c r="D104" s="479">
        <v>200</v>
      </c>
      <c r="E104" s="403">
        <v>0</v>
      </c>
      <c r="F104" s="405">
        <v>0</v>
      </c>
      <c r="G104" s="404">
        <f t="shared" ref="G104:G109" si="3">D104+F104</f>
        <v>200</v>
      </c>
    </row>
    <row r="105" spans="1:7" ht="15">
      <c r="A105" s="400" t="s">
        <v>596</v>
      </c>
      <c r="B105" s="401" t="s">
        <v>433</v>
      </c>
      <c r="C105" s="402" t="s">
        <v>32</v>
      </c>
      <c r="D105" s="479">
        <v>110</v>
      </c>
      <c r="E105" s="403">
        <v>0</v>
      </c>
      <c r="F105" s="405">
        <v>0</v>
      </c>
      <c r="G105" s="404">
        <f t="shared" si="3"/>
        <v>110</v>
      </c>
    </row>
    <row r="106" spans="1:7" ht="15">
      <c r="A106" s="400" t="s">
        <v>597</v>
      </c>
      <c r="B106" s="401" t="s">
        <v>598</v>
      </c>
      <c r="C106" s="402" t="s">
        <v>32</v>
      </c>
      <c r="D106" s="479">
        <v>280</v>
      </c>
      <c r="E106" s="403">
        <v>0</v>
      </c>
      <c r="F106" s="405">
        <v>0</v>
      </c>
      <c r="G106" s="404">
        <f t="shared" si="3"/>
        <v>280</v>
      </c>
    </row>
    <row r="107" spans="1:7" ht="15">
      <c r="A107" s="400" t="s">
        <v>599</v>
      </c>
      <c r="B107" s="401" t="s">
        <v>600</v>
      </c>
      <c r="C107" s="402" t="s">
        <v>26</v>
      </c>
      <c r="D107" s="479">
        <v>850</v>
      </c>
      <c r="E107" s="403">
        <v>0</v>
      </c>
      <c r="F107" s="405">
        <v>0</v>
      </c>
      <c r="G107" s="404">
        <f t="shared" si="3"/>
        <v>850</v>
      </c>
    </row>
    <row r="108" spans="1:7" ht="15">
      <c r="A108" s="400" t="s">
        <v>601</v>
      </c>
      <c r="B108" s="401" t="s">
        <v>435</v>
      </c>
      <c r="C108" s="402" t="s">
        <v>106</v>
      </c>
      <c r="D108" s="479">
        <v>68.680000000000007</v>
      </c>
      <c r="E108" s="403">
        <v>0</v>
      </c>
      <c r="F108" s="405">
        <v>0</v>
      </c>
      <c r="G108" s="404">
        <f t="shared" si="3"/>
        <v>68.680000000000007</v>
      </c>
    </row>
    <row r="109" spans="1:7" ht="15">
      <c r="A109" s="400" t="s">
        <v>602</v>
      </c>
      <c r="B109" s="401" t="s">
        <v>437</v>
      </c>
      <c r="C109" s="402" t="s">
        <v>90</v>
      </c>
      <c r="D109" s="479">
        <v>285</v>
      </c>
      <c r="E109" s="403">
        <v>0</v>
      </c>
      <c r="F109" s="405">
        <v>0</v>
      </c>
      <c r="G109" s="404">
        <f t="shared" si="3"/>
        <v>285</v>
      </c>
    </row>
  </sheetData>
  <sheetProtection selectLockedCells="1"/>
  <mergeCells count="6">
    <mergeCell ref="D5:G5"/>
    <mergeCell ref="D6:G6"/>
    <mergeCell ref="A3:C3"/>
    <mergeCell ref="A5:A7"/>
    <mergeCell ref="B5:B7"/>
    <mergeCell ref="C5:C7"/>
  </mergeCells>
  <phoneticPr fontId="44" type="noConversion"/>
  <pageMargins left="0.19685039370078741" right="0.19685039370078741" top="0.39370078740157483" bottom="0.78740157480314965" header="0.19685039370078741" footer="0.19685039370078741"/>
  <pageSetup paperSize="9" scale="75" orientation="portrait" cellComments="asDisplayed" horizontalDpi="4294967295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I59"/>
  <sheetViews>
    <sheetView topLeftCell="A7" workbookViewId="0">
      <selection activeCell="O41" sqref="O41"/>
    </sheetView>
  </sheetViews>
  <sheetFormatPr defaultRowHeight="12.75"/>
  <sheetData>
    <row r="3" spans="1:9">
      <c r="A3" s="757" t="s">
        <v>605</v>
      </c>
      <c r="B3" s="757"/>
      <c r="C3" s="621"/>
      <c r="G3" s="758" t="s">
        <v>1</v>
      </c>
      <c r="H3" s="758"/>
      <c r="I3" s="758"/>
    </row>
    <row r="4" spans="1:9">
      <c r="A4" s="757" t="s">
        <v>878</v>
      </c>
      <c r="B4" s="757"/>
      <c r="C4" s="757"/>
    </row>
    <row r="19" spans="1:9">
      <c r="A19" s="756" t="s">
        <v>881</v>
      </c>
      <c r="B19" s="756"/>
      <c r="C19" s="756"/>
      <c r="D19" s="756"/>
      <c r="E19" s="756"/>
      <c r="F19" s="756"/>
      <c r="G19" s="756"/>
      <c r="H19" s="756"/>
      <c r="I19" s="756"/>
    </row>
    <row r="20" spans="1:9">
      <c r="A20" s="756" t="s">
        <v>880</v>
      </c>
      <c r="B20" s="756"/>
      <c r="C20" s="756"/>
      <c r="D20" s="756"/>
      <c r="E20" s="756"/>
      <c r="F20" s="756"/>
      <c r="G20" s="756"/>
      <c r="H20" s="756"/>
      <c r="I20" s="756"/>
    </row>
    <row r="59" spans="1:9">
      <c r="A59" s="756" t="s">
        <v>879</v>
      </c>
      <c r="B59" s="756"/>
      <c r="C59" s="756"/>
      <c r="D59" s="756"/>
      <c r="E59" s="756"/>
      <c r="F59" s="756"/>
      <c r="G59" s="756"/>
      <c r="H59" s="756"/>
      <c r="I59" s="756"/>
    </row>
  </sheetData>
  <mergeCells count="6">
    <mergeCell ref="A59:I59"/>
    <mergeCell ref="A3:B3"/>
    <mergeCell ref="G3:I3"/>
    <mergeCell ref="A4:C4"/>
    <mergeCell ref="A19:I19"/>
    <mergeCell ref="A20:I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60"/>
  </sheetPr>
  <dimension ref="A1:R136"/>
  <sheetViews>
    <sheetView showZeros="0" view="pageLayout" zoomScaleNormal="100" zoomScaleSheetLayoutView="115" workbookViewId="0">
      <selection activeCell="B20" sqref="B20"/>
    </sheetView>
  </sheetViews>
  <sheetFormatPr defaultRowHeight="12.75"/>
  <cols>
    <col min="1" max="1" width="7.140625" style="410" customWidth="1"/>
    <col min="2" max="2" width="74.140625" style="439" customWidth="1"/>
    <col min="3" max="3" width="8.5703125" style="411" customWidth="1"/>
    <col min="4" max="4" width="10.7109375" style="412" hidden="1" customWidth="1"/>
    <col min="5" max="5" width="10.7109375" style="413" hidden="1" customWidth="1"/>
    <col min="6" max="6" width="15.7109375" style="413" hidden="1" customWidth="1"/>
    <col min="7" max="7" width="10.7109375" style="412" hidden="1" customWidth="1"/>
    <col min="8" max="8" width="10.7109375" style="413" hidden="1" customWidth="1"/>
    <col min="9" max="9" width="15.7109375" style="413" hidden="1" customWidth="1"/>
    <col min="10" max="10" width="10.7109375" style="412" hidden="1" customWidth="1"/>
    <col min="11" max="11" width="10.7109375" style="413" hidden="1" customWidth="1"/>
    <col min="12" max="12" width="15.7109375" style="413" hidden="1" customWidth="1"/>
    <col min="13" max="13" width="10.7109375" style="412" hidden="1" customWidth="1"/>
    <col min="14" max="14" width="10.7109375" style="413" hidden="1" customWidth="1"/>
    <col min="15" max="15" width="15.7109375" style="413" hidden="1" customWidth="1"/>
    <col min="16" max="16" width="12.85546875" style="412" customWidth="1"/>
    <col min="17" max="17" width="10.5703125" style="442" customWidth="1"/>
    <col min="18" max="18" width="12.28515625" style="413" customWidth="1"/>
    <col min="19" max="16384" width="9.140625" style="413"/>
  </cols>
  <sheetData>
    <row r="1" spans="1:18" s="409" customFormat="1" ht="15">
      <c r="A1" s="762" t="s">
        <v>0</v>
      </c>
      <c r="B1" s="763"/>
      <c r="C1" s="513"/>
      <c r="D1" s="513"/>
      <c r="E1" s="514"/>
      <c r="F1" s="514"/>
      <c r="G1" s="513"/>
      <c r="H1" s="514"/>
      <c r="I1" s="514"/>
      <c r="J1" s="513"/>
      <c r="K1" s="514"/>
      <c r="L1" s="514"/>
      <c r="M1" s="513"/>
      <c r="N1" s="514"/>
      <c r="O1" s="514"/>
      <c r="P1" s="513"/>
      <c r="Q1" s="770" t="s">
        <v>605</v>
      </c>
      <c r="R1" s="771"/>
    </row>
    <row r="2" spans="1:18" ht="15">
      <c r="A2" s="768" t="s">
        <v>1</v>
      </c>
      <c r="B2" s="769"/>
      <c r="C2" s="516"/>
      <c r="D2" s="516"/>
      <c r="E2" s="517"/>
      <c r="F2" s="517"/>
      <c r="G2" s="516"/>
      <c r="H2" s="517"/>
      <c r="I2" s="517"/>
      <c r="J2" s="516"/>
      <c r="K2" s="517"/>
      <c r="L2" s="517"/>
      <c r="M2" s="516"/>
      <c r="N2" s="517"/>
      <c r="O2" s="517"/>
      <c r="P2" s="516"/>
      <c r="Q2" s="518"/>
      <c r="R2" s="517"/>
    </row>
    <row r="3" spans="1:18" ht="29.25" customHeight="1">
      <c r="A3" s="764" t="s">
        <v>604</v>
      </c>
      <c r="B3" s="764"/>
      <c r="C3" s="764"/>
      <c r="D3" s="519"/>
      <c r="E3" s="517"/>
      <c r="F3" s="517"/>
      <c r="G3" s="519"/>
      <c r="H3" s="517"/>
      <c r="I3" s="517"/>
      <c r="J3" s="519"/>
      <c r="K3" s="517"/>
      <c r="L3" s="517"/>
      <c r="M3" s="519"/>
      <c r="N3" s="517"/>
      <c r="O3" s="517"/>
      <c r="P3" s="513"/>
      <c r="Q3" s="515"/>
      <c r="R3" s="514"/>
    </row>
    <row r="4" spans="1:18" ht="15" customHeight="1">
      <c r="A4" s="520"/>
      <c r="B4" s="521"/>
      <c r="C4" s="519"/>
      <c r="D4" s="519"/>
      <c r="E4" s="517"/>
      <c r="F4" s="517"/>
      <c r="G4" s="519"/>
      <c r="H4" s="517"/>
      <c r="I4" s="517"/>
      <c r="J4" s="519"/>
      <c r="K4" s="517"/>
      <c r="L4" s="517"/>
      <c r="M4" s="519"/>
      <c r="N4" s="517"/>
      <c r="O4" s="517"/>
      <c r="P4" s="519"/>
      <c r="Q4" s="522"/>
      <c r="R4" s="517"/>
    </row>
    <row r="5" spans="1:18" ht="29.25" customHeight="1">
      <c r="A5" s="520"/>
      <c r="B5" s="521"/>
      <c r="C5" s="519"/>
      <c r="D5" s="765" t="s">
        <v>2</v>
      </c>
      <c r="E5" s="766"/>
      <c r="F5" s="767"/>
      <c r="G5" s="765" t="s">
        <v>3</v>
      </c>
      <c r="H5" s="766"/>
      <c r="I5" s="767"/>
      <c r="J5" s="765" t="s">
        <v>4</v>
      </c>
      <c r="K5" s="766"/>
      <c r="L5" s="767"/>
      <c r="M5" s="765" t="s">
        <v>5</v>
      </c>
      <c r="N5" s="766"/>
      <c r="O5" s="767"/>
      <c r="P5" s="759" t="s">
        <v>6</v>
      </c>
      <c r="Q5" s="760"/>
      <c r="R5" s="761"/>
    </row>
    <row r="6" spans="1:18" s="414" customFormat="1" ht="39" thickBot="1">
      <c r="A6" s="508" t="s">
        <v>7</v>
      </c>
      <c r="B6" s="509" t="s">
        <v>8</v>
      </c>
      <c r="C6" s="510" t="s">
        <v>9</v>
      </c>
      <c r="D6" s="510" t="s">
        <v>10</v>
      </c>
      <c r="E6" s="511" t="s">
        <v>11</v>
      </c>
      <c r="F6" s="511" t="s">
        <v>12</v>
      </c>
      <c r="G6" s="510" t="s">
        <v>10</v>
      </c>
      <c r="H6" s="511" t="s">
        <v>11</v>
      </c>
      <c r="I6" s="511" t="s">
        <v>12</v>
      </c>
      <c r="J6" s="510" t="s">
        <v>10</v>
      </c>
      <c r="K6" s="511" t="s">
        <v>11</v>
      </c>
      <c r="L6" s="511" t="s">
        <v>12</v>
      </c>
      <c r="M6" s="510" t="s">
        <v>10</v>
      </c>
      <c r="N6" s="511" t="s">
        <v>11</v>
      </c>
      <c r="O6" s="511" t="s">
        <v>12</v>
      </c>
      <c r="P6" s="510" t="s">
        <v>10</v>
      </c>
      <c r="Q6" s="512" t="s">
        <v>11</v>
      </c>
      <c r="R6" s="511" t="s">
        <v>12</v>
      </c>
    </row>
    <row r="7" spans="1:18" s="415" customFormat="1" ht="15">
      <c r="A7" s="578"/>
      <c r="B7" s="523"/>
      <c r="C7" s="524"/>
      <c r="D7" s="525"/>
      <c r="E7" s="526"/>
      <c r="F7" s="526"/>
      <c r="G7" s="525"/>
      <c r="H7" s="526"/>
      <c r="I7" s="526"/>
      <c r="J7" s="525"/>
      <c r="K7" s="526"/>
      <c r="L7" s="526"/>
      <c r="M7" s="525"/>
      <c r="N7" s="526"/>
      <c r="O7" s="526"/>
      <c r="P7" s="525"/>
      <c r="Q7" s="527"/>
      <c r="R7" s="526"/>
    </row>
    <row r="8" spans="1:18" ht="15">
      <c r="A8" s="528" t="s">
        <v>13</v>
      </c>
      <c r="B8" s="529" t="s">
        <v>655</v>
      </c>
      <c r="C8" s="530"/>
      <c r="D8" s="531"/>
      <c r="E8" s="531"/>
      <c r="F8" s="531" t="e">
        <f>#REF!+#REF!</f>
        <v>#REF!</v>
      </c>
      <c r="G8" s="531"/>
      <c r="H8" s="531"/>
      <c r="I8" s="531" t="e">
        <f>#REF!+#REF!</f>
        <v>#REF!</v>
      </c>
      <c r="J8" s="531"/>
      <c r="K8" s="531"/>
      <c r="L8" s="531" t="e">
        <f>#REF!+#REF!</f>
        <v>#REF!</v>
      </c>
      <c r="M8" s="531"/>
      <c r="N8" s="531"/>
      <c r="O8" s="531" t="e">
        <f>#REF!+#REF!</f>
        <v>#REF!</v>
      </c>
      <c r="P8" s="531"/>
      <c r="Q8" s="532"/>
      <c r="R8" s="533">
        <f>SUM(R9:R17)</f>
        <v>0</v>
      </c>
    </row>
    <row r="9" spans="1:18" ht="37.5" customHeight="1">
      <c r="A9" s="632" t="s">
        <v>14</v>
      </c>
      <c r="B9" s="620" t="str">
        <f>kalkulacija!C5</f>
        <v>Ličenje novih zidova i plafona. Obuhvaća: ličenje zidova, gipsanje manjih oštećenja, brušenje i ispravljanje manjih oštećenja, prskanje zidova, te završno čišćenje prostorija. Obračun po metru kvadratnom uređenog zida.</v>
      </c>
      <c r="C9" s="633" t="s">
        <v>20</v>
      </c>
      <c r="D9" s="634"/>
      <c r="E9" s="634"/>
      <c r="F9" s="635"/>
      <c r="G9" s="624">
        <v>7605</v>
      </c>
      <c r="H9" s="624">
        <f t="shared" ref="H9:H49" si="0">$E9</f>
        <v>0</v>
      </c>
      <c r="I9" s="624">
        <f>ROUND(ROUND(G9,2)*ROUND(H9,2),2)</f>
        <v>0</v>
      </c>
      <c r="J9" s="624">
        <v>7551</v>
      </c>
      <c r="K9" s="624">
        <f t="shared" ref="K9:K49" si="1">$E9</f>
        <v>0</v>
      </c>
      <c r="L9" s="624">
        <f>ROUND(ROUND(J9,2)*ROUND(K9,2),2)</f>
        <v>0</v>
      </c>
      <c r="M9" s="624">
        <v>7600</v>
      </c>
      <c r="N9" s="624">
        <f t="shared" ref="N9:N49" si="2">$E9</f>
        <v>0</v>
      </c>
      <c r="O9" s="624">
        <f>ROUND(ROUND(M9,2)*ROUND(N9,2),2)</f>
        <v>0</v>
      </c>
      <c r="P9" s="624"/>
      <c r="Q9" s="636">
        <f>kalkulacija!G27</f>
        <v>19.37</v>
      </c>
      <c r="R9" s="701">
        <f t="shared" ref="R9:R17" si="3">P9*Q9</f>
        <v>0</v>
      </c>
    </row>
    <row r="10" spans="1:18" ht="45" customHeight="1">
      <c r="A10" s="632" t="s">
        <v>16</v>
      </c>
      <c r="B10" s="603" t="str">
        <f>kalkulacija!C40</f>
        <v>Ličenje zidova - preko postojeće boje obuhvaća: ličenje zidova, gipsanje manjih oštećenja, brušenje i ispravljanje manjih oštećenja, prskanje zidova, te završno čišćenje prostorija. Obračun po metru kvadratnom uređenog zida.</v>
      </c>
      <c r="C10" s="623" t="s">
        <v>20</v>
      </c>
      <c r="D10" s="624">
        <v>135</v>
      </c>
      <c r="E10" s="624"/>
      <c r="F10" s="624">
        <f>ROUND(ROUND(D10,2)*ROUND(E10,2),2)</f>
        <v>0</v>
      </c>
      <c r="G10" s="624">
        <v>143</v>
      </c>
      <c r="H10" s="624">
        <f t="shared" si="0"/>
        <v>0</v>
      </c>
      <c r="I10" s="624">
        <f>ROUND(ROUND(G10,2)*ROUND(H10,2),2)</f>
        <v>0</v>
      </c>
      <c r="J10" s="624">
        <v>152</v>
      </c>
      <c r="K10" s="624">
        <f t="shared" si="1"/>
        <v>0</v>
      </c>
      <c r="L10" s="624">
        <f>ROUND(ROUND(J10,2)*ROUND(K10,2),2)</f>
        <v>0</v>
      </c>
      <c r="M10" s="624">
        <v>160</v>
      </c>
      <c r="N10" s="624">
        <f t="shared" si="2"/>
        <v>0</v>
      </c>
      <c r="O10" s="624">
        <f>ROUND(ROUND(M10,2)*ROUND(N10,2),2)</f>
        <v>0</v>
      </c>
      <c r="P10" s="624"/>
      <c r="Q10" s="636">
        <f>kalkulacija!G62</f>
        <v>30.83</v>
      </c>
      <c r="R10" s="701">
        <f t="shared" si="3"/>
        <v>0</v>
      </c>
    </row>
    <row r="11" spans="1:18" ht="25.5" customHeight="1">
      <c r="A11" s="632" t="s">
        <v>606</v>
      </c>
      <c r="B11" s="603" t="str">
        <f>kalkulacija!C74</f>
        <v>Gletanje grubo ožbukanih površina. Obuvaća: brušenje, čišćenje, gipsanje manjih oštećenja, gletanje i završno čišćenje. Obračun po metru kvadratnom uređenog zida.</v>
      </c>
      <c r="C11" s="623" t="s">
        <v>20</v>
      </c>
      <c r="D11" s="624">
        <v>1690</v>
      </c>
      <c r="E11" s="624"/>
      <c r="F11" s="624">
        <f>ROUND(ROUND(D11,2)*ROUND(E11,2),2)</f>
        <v>0</v>
      </c>
      <c r="G11" s="624">
        <v>1690</v>
      </c>
      <c r="H11" s="624">
        <f t="shared" si="0"/>
        <v>0</v>
      </c>
      <c r="I11" s="624">
        <f>ROUND(ROUND(G11,2)*ROUND(H11,2),2)</f>
        <v>0</v>
      </c>
      <c r="J11" s="624">
        <v>1690</v>
      </c>
      <c r="K11" s="624">
        <f t="shared" si="1"/>
        <v>0</v>
      </c>
      <c r="L11" s="624">
        <f>ROUND(ROUND(J11,2)*ROUND(K11,2),2)</f>
        <v>0</v>
      </c>
      <c r="M11" s="624">
        <v>1690</v>
      </c>
      <c r="N11" s="624">
        <f t="shared" si="2"/>
        <v>0</v>
      </c>
      <c r="O11" s="624">
        <f>ROUND(ROUND(M11,2)*ROUND(N11,2),2)</f>
        <v>0</v>
      </c>
      <c r="P11" s="624"/>
      <c r="Q11" s="636">
        <f>kalkulacija!G96</f>
        <v>44.99</v>
      </c>
      <c r="R11" s="701">
        <f t="shared" si="3"/>
        <v>0</v>
      </c>
    </row>
    <row r="12" spans="1:18" ht="26.25" customHeight="1">
      <c r="A12" s="632" t="s">
        <v>607</v>
      </c>
      <c r="B12" s="731" t="str">
        <f>kalkulacija!C107</f>
        <v>Gletanje fino ožbukanih površina. Obuvaća: brušenje, čišćenje, gipsanje manjih oštećenja, gletanje i završno čišćenje. Obračun po metru kvadratnom uređenog zida.</v>
      </c>
      <c r="C12" s="623" t="s">
        <v>20</v>
      </c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36">
        <f>kalkulacija!G129</f>
        <v>36.729999999999997</v>
      </c>
      <c r="R12" s="701">
        <f t="shared" si="3"/>
        <v>0</v>
      </c>
    </row>
    <row r="13" spans="1:18" ht="39" customHeight="1">
      <c r="A13" s="637" t="s">
        <v>608</v>
      </c>
      <c r="B13" s="622" t="str">
        <f>kalkulacija!C141</f>
        <v>Impregniranje površina zidova odgovarajućim materijalima. Obuhvaća: brušenje, čišćenje,  predimpregniranje i impregniranje površina zidova objekta te završno čišćenje objekta. Obračun po metru kvadratnom impregnirane površine.</v>
      </c>
      <c r="C13" s="628" t="s">
        <v>20</v>
      </c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38">
        <f>kalkulacija!G163</f>
        <v>8.74</v>
      </c>
      <c r="R13" s="701">
        <f t="shared" si="3"/>
        <v>0</v>
      </c>
    </row>
    <row r="14" spans="1:18" ht="50.25" customHeight="1">
      <c r="A14" s="637" t="s">
        <v>609</v>
      </c>
      <c r="B14" s="622" t="str">
        <f>kalkulacija!C175</f>
        <v>Oblaganje zidova keramičkim pločicama - fuga na fugu: obuvaća dobavu potrebnog materijala, pripremu zidova, oblaganje keramičkim pločicama, fugiranje spojeva, te završno čišćenje i zbrinjavanje građevinskog otpada. Obračun po metru kvadratnom obloženih zidova.</v>
      </c>
      <c r="C14" s="628" t="s">
        <v>20</v>
      </c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38">
        <f>kalkulacija!G197</f>
        <v>187.01</v>
      </c>
      <c r="R14" s="701">
        <f t="shared" si="3"/>
        <v>0</v>
      </c>
    </row>
    <row r="15" spans="1:18" ht="43.5" customHeight="1">
      <c r="A15" s="637" t="s">
        <v>610</v>
      </c>
      <c r="B15" s="622" t="str">
        <f>kalkulacija!C209</f>
        <v>Oblaganje zidova keramičkim pločicama - na vezu: obuvaća dobavu potrebnog materijala, pripremu zidova, oblaganje keramičkim pločicama, fugiranje spojeva, te završno čišćenje i zbrinjavanje građevinskog otpada. Obračun po metru kvadratnom obloženih zidova.</v>
      </c>
      <c r="C15" s="628" t="s">
        <v>20</v>
      </c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29"/>
      <c r="P15" s="629"/>
      <c r="Q15" s="638">
        <f>kalkulacija!G231</f>
        <v>147.65</v>
      </c>
      <c r="R15" s="701">
        <f t="shared" si="3"/>
        <v>0</v>
      </c>
    </row>
    <row r="16" spans="1:18" ht="52.5" customHeight="1">
      <c r="A16" s="637" t="s">
        <v>611</v>
      </c>
      <c r="B16" s="622" t="str">
        <f>kalkulacija!C243</f>
        <v>Oblaganje podova keramičkim pločicama: obuvaća dobavu potrebnog materijala, pripremu podova, oblaganje keramičkim pločicama sa obradom podnožja zida ili stepenica, fugiranje spojeva, te završno čišćenje i zbrinjavanje građevinskog otpada. Obračun po metru kvadratnom obloženih podova.</v>
      </c>
      <c r="C16" s="628" t="s">
        <v>20</v>
      </c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38">
        <f>kalkulacija!G265</f>
        <v>208.87</v>
      </c>
      <c r="R16" s="701">
        <f t="shared" si="3"/>
        <v>0</v>
      </c>
    </row>
    <row r="17" spans="1:18" ht="47.25" customHeight="1">
      <c r="A17" s="632" t="s">
        <v>612</v>
      </c>
      <c r="B17" s="603" t="str">
        <f>kalkulacija!C278</f>
        <v>Obrada podnožja zida ili stepenica "sokl": obuvaća dobavu potrebnog materijala, pripremu zida, oblaganje keramičkim pločicama, te završno čišćenje i zbrinjavanje građevinskog otpada. Obračun po metru dužnom obrađene površine zida ili stepenica.</v>
      </c>
      <c r="C17" s="623" t="s">
        <v>32</v>
      </c>
      <c r="D17" s="624">
        <v>520</v>
      </c>
      <c r="E17" s="624"/>
      <c r="F17" s="624">
        <f>ROUND(ROUND(D17,2)*ROUND(E17,2),2)</f>
        <v>0</v>
      </c>
      <c r="G17" s="624">
        <v>524</v>
      </c>
      <c r="H17" s="624">
        <f t="shared" si="0"/>
        <v>0</v>
      </c>
      <c r="I17" s="624">
        <f>ROUND(ROUND(G17,2)*ROUND(H17,2),2)</f>
        <v>0</v>
      </c>
      <c r="J17" s="624">
        <v>525</v>
      </c>
      <c r="K17" s="624">
        <f t="shared" si="1"/>
        <v>0</v>
      </c>
      <c r="L17" s="624">
        <f>ROUND(ROUND(J17,2)*ROUND(K17,2),2)</f>
        <v>0</v>
      </c>
      <c r="M17" s="624">
        <v>524</v>
      </c>
      <c r="N17" s="624">
        <f t="shared" si="2"/>
        <v>0</v>
      </c>
      <c r="O17" s="624">
        <f>ROUND(ROUND(M17,2)*ROUND(N17,2),2)</f>
        <v>0</v>
      </c>
      <c r="P17" s="624"/>
      <c r="Q17" s="636">
        <f>kalkulacija!G300</f>
        <v>139.72</v>
      </c>
      <c r="R17" s="701">
        <f t="shared" si="3"/>
        <v>0</v>
      </c>
    </row>
    <row r="18" spans="1:18" ht="50.25" customHeight="1">
      <c r="A18" s="632" t="s">
        <v>1025</v>
      </c>
      <c r="B18" s="603" t="str">
        <f>kalkulacija!C313</f>
        <v>Popravci starih fasada: obuvaća dobavu potrebnog materijala, pripremu zida, oblaganje _______, te završno čišćenje i zbrinjavanje građevinskog otpada. Obračun po metru kvadratnom izvedene fasade.</v>
      </c>
      <c r="C18" s="623" t="s">
        <v>20</v>
      </c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36">
        <f>kalkulacija!G336</f>
        <v>463.63</v>
      </c>
      <c r="R18" s="701"/>
    </row>
    <row r="19" spans="1:18" ht="47.25" customHeight="1">
      <c r="A19" s="632" t="s">
        <v>1026</v>
      </c>
      <c r="B19" s="603" t="str">
        <f>kalkulacija!C348</f>
        <v xml:space="preserve">Žbukanje unutarnjih zidova grubom i finom žbukom obuhvaća: dobavu, prijevoz i strojno žbukanje površina zidova, utroškom materijala (gotove žbuke), prosječnom potrošnjom žbuke 2 kg/m2. Obračun po metru kvadratnom izvedene žbuke. </v>
      </c>
      <c r="C19" s="623" t="s">
        <v>20</v>
      </c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36">
        <f>kalkulacija!G371</f>
        <v>109.5</v>
      </c>
      <c r="R19" s="701">
        <f>P19*Q19</f>
        <v>0</v>
      </c>
    </row>
    <row r="20" spans="1:18" ht="47.25" customHeight="1">
      <c r="A20" s="632" t="s">
        <v>1066</v>
      </c>
      <c r="B20" s="603"/>
      <c r="C20" s="623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36"/>
      <c r="R20" s="701"/>
    </row>
    <row r="21" spans="1:18" ht="47.25" customHeight="1">
      <c r="A21" s="632" t="s">
        <v>1067</v>
      </c>
      <c r="B21" s="603"/>
      <c r="C21" s="623"/>
      <c r="D21" s="624"/>
      <c r="E21" s="624"/>
      <c r="F21" s="624"/>
      <c r="G21" s="624"/>
      <c r="H21" s="624"/>
      <c r="I21" s="624"/>
      <c r="J21" s="624"/>
      <c r="K21" s="624"/>
      <c r="L21" s="624"/>
      <c r="M21" s="624"/>
      <c r="N21" s="624"/>
      <c r="O21" s="624"/>
      <c r="P21" s="624"/>
      <c r="Q21" s="636"/>
      <c r="R21" s="701"/>
    </row>
    <row r="22" spans="1:18" ht="47.25" customHeight="1">
      <c r="A22" s="632" t="s">
        <v>1068</v>
      </c>
      <c r="B22" s="603"/>
      <c r="C22" s="623"/>
      <c r="D22" s="624"/>
      <c r="E22" s="624"/>
      <c r="F22" s="624"/>
      <c r="G22" s="624"/>
      <c r="H22" s="624"/>
      <c r="I22" s="624"/>
      <c r="J22" s="624"/>
      <c r="K22" s="624"/>
      <c r="L22" s="624"/>
      <c r="M22" s="624"/>
      <c r="N22" s="624"/>
      <c r="O22" s="624"/>
      <c r="P22" s="624"/>
      <c r="Q22" s="636"/>
      <c r="R22" s="701"/>
    </row>
    <row r="23" spans="1:18" ht="47.25" customHeight="1">
      <c r="A23" s="632" t="s">
        <v>1069</v>
      </c>
      <c r="B23" s="603"/>
      <c r="C23" s="623"/>
      <c r="D23" s="624"/>
      <c r="E23" s="624"/>
      <c r="F23" s="624"/>
      <c r="G23" s="624"/>
      <c r="H23" s="624"/>
      <c r="I23" s="624"/>
      <c r="J23" s="624"/>
      <c r="K23" s="624"/>
      <c r="L23" s="624"/>
      <c r="M23" s="624"/>
      <c r="N23" s="624"/>
      <c r="O23" s="624"/>
      <c r="P23" s="624"/>
      <c r="Q23" s="636"/>
      <c r="R23" s="701"/>
    </row>
    <row r="24" spans="1:18" ht="47.25" customHeight="1">
      <c r="A24" s="632" t="s">
        <v>1070</v>
      </c>
      <c r="B24" s="603"/>
      <c r="C24" s="623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36"/>
      <c r="R24" s="701"/>
    </row>
    <row r="25" spans="1:18" ht="47.25" customHeight="1">
      <c r="A25" s="632" t="s">
        <v>1071</v>
      </c>
      <c r="B25" s="603"/>
      <c r="C25" s="623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36"/>
      <c r="R25" s="701"/>
    </row>
    <row r="26" spans="1:18" ht="47.25" customHeight="1">
      <c r="A26" s="632"/>
      <c r="B26" s="603"/>
      <c r="C26" s="623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36"/>
      <c r="R26" s="701"/>
    </row>
    <row r="27" spans="1:18" ht="47.25" customHeight="1">
      <c r="A27" s="632" t="s">
        <v>1072</v>
      </c>
      <c r="B27" s="603"/>
      <c r="C27" s="623"/>
      <c r="D27" s="624"/>
      <c r="E27" s="624"/>
      <c r="F27" s="624"/>
      <c r="G27" s="624"/>
      <c r="H27" s="624"/>
      <c r="I27" s="624"/>
      <c r="J27" s="624"/>
      <c r="K27" s="624"/>
      <c r="L27" s="624"/>
      <c r="M27" s="624"/>
      <c r="N27" s="624"/>
      <c r="O27" s="624"/>
      <c r="P27" s="624"/>
      <c r="Q27" s="636"/>
      <c r="R27" s="701"/>
    </row>
    <row r="28" spans="1:18" ht="33.75" customHeight="1">
      <c r="A28" s="528" t="s">
        <v>17</v>
      </c>
      <c r="B28" s="529" t="s">
        <v>656</v>
      </c>
      <c r="C28" s="530"/>
      <c r="D28" s="531">
        <v>0</v>
      </c>
      <c r="E28" s="531"/>
      <c r="F28" s="531" t="e">
        <f>#REF!+#REF!+#REF!</f>
        <v>#REF!</v>
      </c>
      <c r="G28" s="531">
        <v>0</v>
      </c>
      <c r="H28" s="531">
        <f t="shared" si="0"/>
        <v>0</v>
      </c>
      <c r="I28" s="531" t="e">
        <f>#REF!+#REF!+#REF!</f>
        <v>#REF!</v>
      </c>
      <c r="J28" s="531">
        <v>0</v>
      </c>
      <c r="K28" s="531">
        <f t="shared" si="1"/>
        <v>0</v>
      </c>
      <c r="L28" s="531" t="e">
        <f>#REF!+#REF!+#REF!</f>
        <v>#REF!</v>
      </c>
      <c r="M28" s="531">
        <v>0</v>
      </c>
      <c r="N28" s="531">
        <f t="shared" si="2"/>
        <v>0</v>
      </c>
      <c r="O28" s="531" t="e">
        <f>#REF!+#REF!+#REF!</f>
        <v>#REF!</v>
      </c>
      <c r="P28" s="531"/>
      <c r="Q28" s="532"/>
      <c r="R28" s="533">
        <f>SUM(R29:R44)</f>
        <v>0</v>
      </c>
    </row>
    <row r="29" spans="1:18" ht="37.5" customHeight="1">
      <c r="A29" s="534" t="s">
        <v>19</v>
      </c>
      <c r="B29" s="603"/>
      <c r="C29" s="536"/>
      <c r="D29" s="537">
        <v>7587</v>
      </c>
      <c r="E29" s="537"/>
      <c r="F29" s="537">
        <f>ROUND(ROUND(D29,2)*ROUND(E29,2),2)</f>
        <v>0</v>
      </c>
      <c r="G29" s="537">
        <v>7605</v>
      </c>
      <c r="H29" s="537">
        <f t="shared" si="0"/>
        <v>0</v>
      </c>
      <c r="I29" s="537">
        <f>ROUND(ROUND(G29,2)*ROUND(H29,2),2)</f>
        <v>0</v>
      </c>
      <c r="J29" s="537">
        <v>7551</v>
      </c>
      <c r="K29" s="537">
        <f t="shared" si="1"/>
        <v>0</v>
      </c>
      <c r="L29" s="537">
        <f>ROUND(ROUND(J29,2)*ROUND(K29,2),2)</f>
        <v>0</v>
      </c>
      <c r="M29" s="537">
        <v>7600</v>
      </c>
      <c r="N29" s="537">
        <f t="shared" si="2"/>
        <v>0</v>
      </c>
      <c r="O29" s="537">
        <f>ROUND(ROUND(M29,2)*ROUND(N29,2),2)</f>
        <v>0</v>
      </c>
      <c r="P29" s="537"/>
      <c r="Q29" s="538"/>
      <c r="R29" s="539">
        <f>ROUND(ROUND(P29,2)*ROUND(Q29,2),2)</f>
        <v>0</v>
      </c>
    </row>
    <row r="30" spans="1:18" ht="37.5" customHeight="1">
      <c r="A30" s="534" t="s">
        <v>22</v>
      </c>
      <c r="B30" s="603"/>
      <c r="C30" s="536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8"/>
      <c r="R30" s="539"/>
    </row>
    <row r="31" spans="1:18" ht="37.5" customHeight="1">
      <c r="A31" s="534" t="s">
        <v>61</v>
      </c>
      <c r="B31" s="603"/>
      <c r="C31" s="536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8"/>
      <c r="R31" s="539"/>
    </row>
    <row r="32" spans="1:18" ht="37.5" customHeight="1">
      <c r="A32" s="534" t="s">
        <v>195</v>
      </c>
      <c r="B32" s="603"/>
      <c r="C32" s="536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8"/>
      <c r="R32" s="539"/>
    </row>
    <row r="33" spans="1:18" ht="37.5" customHeight="1">
      <c r="A33" s="534" t="s">
        <v>613</v>
      </c>
      <c r="B33" s="603"/>
      <c r="C33" s="536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8"/>
      <c r="R33" s="539"/>
    </row>
    <row r="34" spans="1:18" ht="37.5" customHeight="1">
      <c r="A34" s="534" t="s">
        <v>614</v>
      </c>
      <c r="B34" s="603"/>
      <c r="C34" s="536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7"/>
      <c r="O34" s="537"/>
      <c r="P34" s="537"/>
      <c r="Q34" s="538"/>
      <c r="R34" s="539"/>
    </row>
    <row r="35" spans="1:18" ht="37.5" customHeight="1">
      <c r="A35" s="534" t="s">
        <v>615</v>
      </c>
      <c r="B35" s="603"/>
      <c r="C35" s="536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8"/>
      <c r="R35" s="539"/>
    </row>
    <row r="36" spans="1:18" ht="37.5" customHeight="1">
      <c r="A36" s="534" t="s">
        <v>1057</v>
      </c>
      <c r="B36" s="603"/>
      <c r="C36" s="536"/>
      <c r="D36" s="537"/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8"/>
      <c r="R36" s="539"/>
    </row>
    <row r="37" spans="1:18" ht="37.5" customHeight="1">
      <c r="A37" s="534" t="s">
        <v>1058</v>
      </c>
      <c r="B37" s="603"/>
      <c r="C37" s="536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8"/>
      <c r="R37" s="539"/>
    </row>
    <row r="38" spans="1:18" ht="37.5" customHeight="1">
      <c r="A38" s="534" t="s">
        <v>1059</v>
      </c>
      <c r="B38" s="603"/>
      <c r="C38" s="536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8"/>
      <c r="R38" s="539"/>
    </row>
    <row r="39" spans="1:18" ht="27.75" customHeight="1">
      <c r="A39" s="534" t="s">
        <v>1060</v>
      </c>
      <c r="B39" s="603"/>
      <c r="C39" s="623"/>
      <c r="D39" s="624">
        <v>135</v>
      </c>
      <c r="E39" s="624"/>
      <c r="F39" s="624">
        <f>ROUND(ROUND(D39,2)*ROUND(E39,2),2)</f>
        <v>0</v>
      </c>
      <c r="G39" s="624">
        <v>143</v>
      </c>
      <c r="H39" s="624">
        <f t="shared" si="0"/>
        <v>0</v>
      </c>
      <c r="I39" s="624">
        <f>ROUND(ROUND(G39,2)*ROUND(H39,2),2)</f>
        <v>0</v>
      </c>
      <c r="J39" s="624">
        <v>152</v>
      </c>
      <c r="K39" s="624">
        <f t="shared" si="1"/>
        <v>0</v>
      </c>
      <c r="L39" s="624">
        <f>ROUND(ROUND(J39,2)*ROUND(K39,2),2)</f>
        <v>0</v>
      </c>
      <c r="M39" s="624">
        <v>160</v>
      </c>
      <c r="N39" s="624">
        <f t="shared" si="2"/>
        <v>0</v>
      </c>
      <c r="O39" s="624">
        <f>ROUND(ROUND(M39,2)*ROUND(N39,2),2)</f>
        <v>0</v>
      </c>
      <c r="P39" s="624"/>
      <c r="Q39" s="625"/>
      <c r="R39" s="626">
        <f>ROUND(ROUND(P39,2)*ROUND(Q39,2),2)</f>
        <v>0</v>
      </c>
    </row>
    <row r="40" spans="1:18" ht="14.25">
      <c r="A40" s="534" t="s">
        <v>1061</v>
      </c>
      <c r="B40" s="603"/>
      <c r="C40" s="623"/>
      <c r="D40" s="624">
        <v>1690</v>
      </c>
      <c r="E40" s="624"/>
      <c r="F40" s="624">
        <f>ROUND(ROUND(D40,2)*ROUND(E40,2),2)</f>
        <v>0</v>
      </c>
      <c r="G40" s="624">
        <v>1690</v>
      </c>
      <c r="H40" s="624">
        <f t="shared" si="0"/>
        <v>0</v>
      </c>
      <c r="I40" s="624">
        <f>ROUND(ROUND(G40,2)*ROUND(H40,2),2)</f>
        <v>0</v>
      </c>
      <c r="J40" s="624">
        <v>1690</v>
      </c>
      <c r="K40" s="624">
        <f t="shared" si="1"/>
        <v>0</v>
      </c>
      <c r="L40" s="624">
        <f>ROUND(ROUND(J40,2)*ROUND(K40,2),2)</f>
        <v>0</v>
      </c>
      <c r="M40" s="624">
        <v>1690</v>
      </c>
      <c r="N40" s="624">
        <f t="shared" si="2"/>
        <v>0</v>
      </c>
      <c r="O40" s="624">
        <f>ROUND(ROUND(M40,2)*ROUND(N40,2),2)</f>
        <v>0</v>
      </c>
      <c r="P40" s="624"/>
      <c r="Q40" s="625">
        <f>'Cjenik RS'!D25</f>
        <v>0</v>
      </c>
      <c r="R40" s="626">
        <f>ROUND(ROUND(P40,2)*ROUND(Q40,2),2)</f>
        <v>0</v>
      </c>
    </row>
    <row r="41" spans="1:18" ht="14.25">
      <c r="A41" s="534" t="s">
        <v>1062</v>
      </c>
      <c r="B41" s="603"/>
      <c r="C41" s="623"/>
      <c r="D41" s="624"/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  <c r="P41" s="624"/>
      <c r="Q41" s="625"/>
      <c r="R41" s="626"/>
    </row>
    <row r="42" spans="1:18" ht="14.25">
      <c r="A42" s="553" t="s">
        <v>1063</v>
      </c>
      <c r="B42" s="627"/>
      <c r="C42" s="628"/>
      <c r="D42" s="629">
        <v>0</v>
      </c>
      <c r="E42" s="629"/>
      <c r="F42" s="629" t="e">
        <f>#REF!+#REF!+#REF!+#REF!</f>
        <v>#REF!</v>
      </c>
      <c r="G42" s="629">
        <v>0</v>
      </c>
      <c r="H42" s="629">
        <f t="shared" si="0"/>
        <v>0</v>
      </c>
      <c r="I42" s="629" t="e">
        <f>#REF!+#REF!+#REF!+#REF!</f>
        <v>#REF!</v>
      </c>
      <c r="J42" s="629">
        <v>0</v>
      </c>
      <c r="K42" s="629">
        <f t="shared" si="1"/>
        <v>0</v>
      </c>
      <c r="L42" s="629" t="e">
        <f>#REF!+#REF!+#REF!+#REF!</f>
        <v>#REF!</v>
      </c>
      <c r="M42" s="629">
        <v>0</v>
      </c>
      <c r="N42" s="629">
        <f t="shared" si="2"/>
        <v>0</v>
      </c>
      <c r="O42" s="629" t="e">
        <f>#REF!+#REF!+#REF!+#REF!</f>
        <v>#REF!</v>
      </c>
      <c r="P42" s="629"/>
      <c r="Q42" s="630"/>
      <c r="R42" s="631"/>
    </row>
    <row r="43" spans="1:18" ht="14.25">
      <c r="A43" s="553" t="s">
        <v>1064</v>
      </c>
      <c r="B43" s="627"/>
      <c r="C43" s="628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629"/>
      <c r="O43" s="629"/>
      <c r="P43" s="629"/>
      <c r="Q43" s="630"/>
      <c r="R43" s="631"/>
    </row>
    <row r="44" spans="1:18" ht="14.25">
      <c r="A44" s="553" t="s">
        <v>1065</v>
      </c>
      <c r="B44" s="627"/>
      <c r="C44" s="628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30"/>
      <c r="R44" s="631"/>
    </row>
    <row r="45" spans="1:18" ht="30">
      <c r="A45" s="528" t="s">
        <v>68</v>
      </c>
      <c r="B45" s="529" t="s">
        <v>657</v>
      </c>
      <c r="C45" s="530"/>
      <c r="D45" s="531">
        <v>0</v>
      </c>
      <c r="E45" s="531"/>
      <c r="F45" s="531">
        <f>SUM(F46:F53)</f>
        <v>0</v>
      </c>
      <c r="G45" s="531">
        <v>0</v>
      </c>
      <c r="H45" s="531">
        <f t="shared" si="0"/>
        <v>0</v>
      </c>
      <c r="I45" s="531">
        <f>SUM(I46:I53)</f>
        <v>0</v>
      </c>
      <c r="J45" s="531">
        <v>0</v>
      </c>
      <c r="K45" s="531">
        <f t="shared" si="1"/>
        <v>0</v>
      </c>
      <c r="L45" s="531">
        <f>SUM(L46:L53)</f>
        <v>0</v>
      </c>
      <c r="M45" s="531">
        <v>0</v>
      </c>
      <c r="N45" s="531">
        <f t="shared" si="2"/>
        <v>0</v>
      </c>
      <c r="O45" s="531">
        <f>SUM(O46:O53)</f>
        <v>0</v>
      </c>
      <c r="P45" s="531"/>
      <c r="Q45" s="532"/>
      <c r="R45" s="533">
        <f>SUM(R46:R53)</f>
        <v>0</v>
      </c>
    </row>
    <row r="46" spans="1:18" ht="14.25">
      <c r="A46" s="540" t="s">
        <v>69</v>
      </c>
      <c r="B46" s="603"/>
      <c r="C46" s="623"/>
      <c r="D46" s="624">
        <v>7587</v>
      </c>
      <c r="E46" s="624"/>
      <c r="F46" s="624">
        <f>ROUND(ROUND(D46,2)*ROUND(E46,2),2)</f>
        <v>0</v>
      </c>
      <c r="G46" s="624">
        <v>7605</v>
      </c>
      <c r="H46" s="624">
        <f t="shared" si="0"/>
        <v>0</v>
      </c>
      <c r="I46" s="624">
        <f>ROUND(ROUND(G46,2)*ROUND(H46,2),2)</f>
        <v>0</v>
      </c>
      <c r="J46" s="624">
        <v>7551</v>
      </c>
      <c r="K46" s="624">
        <f t="shared" si="1"/>
        <v>0</v>
      </c>
      <c r="L46" s="624">
        <f>ROUND(ROUND(J46,2)*ROUND(K46,2),2)</f>
        <v>0</v>
      </c>
      <c r="M46" s="624">
        <v>7600</v>
      </c>
      <c r="N46" s="624">
        <f t="shared" si="2"/>
        <v>0</v>
      </c>
      <c r="O46" s="624">
        <f>ROUND(ROUND(M46,2)*ROUND(N46,2),2)</f>
        <v>0</v>
      </c>
      <c r="P46" s="624"/>
      <c r="Q46" s="625"/>
      <c r="R46" s="626">
        <f>ROUND(ROUND(P46,2)*ROUND(Q46,2),2)</f>
        <v>0</v>
      </c>
    </row>
    <row r="47" spans="1:18" ht="14.25">
      <c r="A47" s="540" t="s">
        <v>70</v>
      </c>
      <c r="B47" s="603"/>
      <c r="C47" s="623"/>
      <c r="D47" s="624">
        <v>135</v>
      </c>
      <c r="E47" s="624"/>
      <c r="F47" s="624">
        <f>ROUND(ROUND(D47,2)*ROUND(E47,2),2)</f>
        <v>0</v>
      </c>
      <c r="G47" s="624">
        <v>143</v>
      </c>
      <c r="H47" s="624">
        <f t="shared" si="0"/>
        <v>0</v>
      </c>
      <c r="I47" s="624">
        <f>ROUND(ROUND(G47,2)*ROUND(H47,2),2)</f>
        <v>0</v>
      </c>
      <c r="J47" s="624">
        <v>152</v>
      </c>
      <c r="K47" s="624">
        <f t="shared" si="1"/>
        <v>0</v>
      </c>
      <c r="L47" s="624">
        <f>ROUND(ROUND(J47,2)*ROUND(K47,2),2)</f>
        <v>0</v>
      </c>
      <c r="M47" s="624">
        <v>160</v>
      </c>
      <c r="N47" s="624">
        <f t="shared" si="2"/>
        <v>0</v>
      </c>
      <c r="O47" s="624">
        <f>ROUND(ROUND(M47,2)*ROUND(N47,2),2)</f>
        <v>0</v>
      </c>
      <c r="P47" s="624"/>
      <c r="Q47" s="625">
        <f>'Cjenik RS'!D32</f>
        <v>0</v>
      </c>
      <c r="R47" s="626">
        <f>ROUND(ROUND(P47,2)*ROUND(Q47,2),2)</f>
        <v>0</v>
      </c>
    </row>
    <row r="48" spans="1:18" ht="14.25">
      <c r="A48" s="540" t="s">
        <v>71</v>
      </c>
      <c r="B48" s="603"/>
      <c r="C48" s="623"/>
      <c r="D48" s="624">
        <v>1690</v>
      </c>
      <c r="E48" s="624"/>
      <c r="F48" s="624">
        <f>ROUND(ROUND(D48,2)*ROUND(E48,2),2)</f>
        <v>0</v>
      </c>
      <c r="G48" s="624">
        <v>1690</v>
      </c>
      <c r="H48" s="624">
        <f t="shared" si="0"/>
        <v>0</v>
      </c>
      <c r="I48" s="624">
        <f>ROUND(ROUND(G48,2)*ROUND(H48,2),2)</f>
        <v>0</v>
      </c>
      <c r="J48" s="624">
        <v>1690</v>
      </c>
      <c r="K48" s="624">
        <f t="shared" si="1"/>
        <v>0</v>
      </c>
      <c r="L48" s="624">
        <f>ROUND(ROUND(J48,2)*ROUND(K48,2),2)</f>
        <v>0</v>
      </c>
      <c r="M48" s="624">
        <v>1690</v>
      </c>
      <c r="N48" s="624">
        <f t="shared" si="2"/>
        <v>0</v>
      </c>
      <c r="O48" s="624">
        <f>ROUND(ROUND(M48,2)*ROUND(N48,2),2)</f>
        <v>0</v>
      </c>
      <c r="P48" s="624"/>
      <c r="Q48" s="625">
        <f>'Cjenik RS'!D33</f>
        <v>0</v>
      </c>
      <c r="R48" s="626">
        <f>ROUND(ROUND(P48,2)*ROUND(Q48,2),2)</f>
        <v>0</v>
      </c>
    </row>
    <row r="49" spans="1:18" ht="14.25">
      <c r="A49" s="540" t="s">
        <v>72</v>
      </c>
      <c r="B49" s="603"/>
      <c r="C49" s="623"/>
      <c r="D49" s="624">
        <v>2500</v>
      </c>
      <c r="E49" s="624"/>
      <c r="F49" s="624">
        <f>ROUND(ROUND(D49,2)*ROUND(E49,2),2)</f>
        <v>0</v>
      </c>
      <c r="G49" s="624">
        <v>2500</v>
      </c>
      <c r="H49" s="624">
        <f t="shared" si="0"/>
        <v>0</v>
      </c>
      <c r="I49" s="624">
        <f>ROUND(ROUND(G49,2)*ROUND(H49,2),2)</f>
        <v>0</v>
      </c>
      <c r="J49" s="624">
        <v>2600</v>
      </c>
      <c r="K49" s="624">
        <f t="shared" si="1"/>
        <v>0</v>
      </c>
      <c r="L49" s="624">
        <f>ROUND(ROUND(J49,2)*ROUND(K49,2),2)</f>
        <v>0</v>
      </c>
      <c r="M49" s="624">
        <v>3000</v>
      </c>
      <c r="N49" s="624">
        <f t="shared" si="2"/>
        <v>0</v>
      </c>
      <c r="O49" s="624">
        <f>ROUND(ROUND(M49,2)*ROUND(N49,2),2)</f>
        <v>0</v>
      </c>
      <c r="P49" s="624"/>
      <c r="Q49" s="625"/>
      <c r="R49" s="626">
        <f>ROUND(ROUND(P49,2)*ROUND(Q49,2),2)</f>
        <v>0</v>
      </c>
    </row>
    <row r="50" spans="1:18" ht="14.25">
      <c r="A50" s="540" t="s">
        <v>73</v>
      </c>
      <c r="B50" s="622"/>
      <c r="C50" s="628"/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30"/>
      <c r="R50" s="631"/>
    </row>
    <row r="51" spans="1:18" ht="14.25">
      <c r="A51" s="534" t="s">
        <v>74</v>
      </c>
      <c r="B51" s="622"/>
      <c r="C51" s="628"/>
      <c r="D51" s="629"/>
      <c r="E51" s="629"/>
      <c r="F51" s="629"/>
      <c r="G51" s="629"/>
      <c r="H51" s="629"/>
      <c r="I51" s="629"/>
      <c r="J51" s="629"/>
      <c r="K51" s="629"/>
      <c r="L51" s="629"/>
      <c r="M51" s="629"/>
      <c r="N51" s="629"/>
      <c r="O51" s="629"/>
      <c r="P51" s="629"/>
      <c r="Q51" s="630"/>
      <c r="R51" s="631"/>
    </row>
    <row r="52" spans="1:18" ht="14.25">
      <c r="A52" s="534" t="s">
        <v>75</v>
      </c>
      <c r="B52" s="603"/>
      <c r="C52" s="623"/>
      <c r="D52" s="624"/>
      <c r="E52" s="624"/>
      <c r="F52" s="624"/>
      <c r="G52" s="624"/>
      <c r="H52" s="624"/>
      <c r="I52" s="624"/>
      <c r="J52" s="624"/>
      <c r="K52" s="624"/>
      <c r="L52" s="624"/>
      <c r="M52" s="624"/>
      <c r="N52" s="624"/>
      <c r="O52" s="624"/>
      <c r="P52" s="624"/>
      <c r="Q52" s="625"/>
      <c r="R52" s="626"/>
    </row>
    <row r="53" spans="1:18" ht="14.25">
      <c r="A53" s="540" t="s">
        <v>76</v>
      </c>
      <c r="B53" s="603"/>
      <c r="C53" s="623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5"/>
      <c r="R53" s="626"/>
    </row>
    <row r="54" spans="1:18" ht="30">
      <c r="A54" s="528" t="s">
        <v>77</v>
      </c>
      <c r="B54" s="529" t="s">
        <v>658</v>
      </c>
      <c r="C54" s="530"/>
      <c r="D54" s="531">
        <v>0</v>
      </c>
      <c r="E54" s="531"/>
      <c r="F54" s="531">
        <f>SUM(F55:F63)</f>
        <v>0</v>
      </c>
      <c r="G54" s="531">
        <v>0</v>
      </c>
      <c r="H54" s="531">
        <f t="shared" ref="H54:H80" si="4">$E54</f>
        <v>0</v>
      </c>
      <c r="I54" s="531">
        <f>SUM(I55:I63)</f>
        <v>0</v>
      </c>
      <c r="J54" s="531">
        <v>0</v>
      </c>
      <c r="K54" s="531">
        <f t="shared" ref="K54:K80" si="5">$E54</f>
        <v>0</v>
      </c>
      <c r="L54" s="531">
        <f>SUM(L55:L63)</f>
        <v>0</v>
      </c>
      <c r="M54" s="531">
        <v>0</v>
      </c>
      <c r="N54" s="531">
        <f t="shared" ref="N54:N80" si="6">$E54</f>
        <v>0</v>
      </c>
      <c r="O54" s="531">
        <f>SUM(O55:O63)</f>
        <v>0</v>
      </c>
      <c r="P54" s="531"/>
      <c r="Q54" s="532"/>
      <c r="R54" s="533">
        <f>SUM(R55:R63)</f>
        <v>0</v>
      </c>
    </row>
    <row r="55" spans="1:18" ht="15">
      <c r="A55" s="540" t="s">
        <v>78</v>
      </c>
      <c r="B55" s="535" t="s">
        <v>820</v>
      </c>
      <c r="C55" s="536"/>
      <c r="D55" s="537">
        <v>7587</v>
      </c>
      <c r="E55" s="537"/>
      <c r="F55" s="537">
        <f>ROUND(ROUND(D55,2)*ROUND(E55,2),2)</f>
        <v>0</v>
      </c>
      <c r="G55" s="537">
        <v>7605</v>
      </c>
      <c r="H55" s="537">
        <f>$E55</f>
        <v>0</v>
      </c>
      <c r="I55" s="537">
        <f>ROUND(ROUND(G55,2)*ROUND(H55,2),2)</f>
        <v>0</v>
      </c>
      <c r="J55" s="537">
        <v>7551</v>
      </c>
      <c r="K55" s="537">
        <f>$E55</f>
        <v>0</v>
      </c>
      <c r="L55" s="537">
        <f>ROUND(ROUND(J55,2)*ROUND(K55,2),2)</f>
        <v>0</v>
      </c>
      <c r="M55" s="537">
        <v>7600</v>
      </c>
      <c r="N55" s="537">
        <f>$E55</f>
        <v>0</v>
      </c>
      <c r="O55" s="537">
        <f>ROUND(ROUND(M55,2)*ROUND(N55,2),2)</f>
        <v>0</v>
      </c>
      <c r="P55" s="537"/>
      <c r="Q55" s="538">
        <f>'Cjenik RS'!D47</f>
        <v>0</v>
      </c>
      <c r="R55" s="539">
        <f>ROUND(ROUND(P55,2)*ROUND(Q55,2),2)</f>
        <v>0</v>
      </c>
    </row>
    <row r="56" spans="1:18" ht="15">
      <c r="A56" s="540" t="s">
        <v>79</v>
      </c>
      <c r="B56" s="535"/>
      <c r="C56" s="536"/>
      <c r="D56" s="537">
        <v>135</v>
      </c>
      <c r="E56" s="537"/>
      <c r="F56" s="537">
        <f>ROUND(ROUND(D56,2)*ROUND(E56,2),2)</f>
        <v>0</v>
      </c>
      <c r="G56" s="537">
        <v>143</v>
      </c>
      <c r="H56" s="537">
        <f>$E56</f>
        <v>0</v>
      </c>
      <c r="I56" s="537">
        <f>ROUND(ROUND(G56,2)*ROUND(H56,2),2)</f>
        <v>0</v>
      </c>
      <c r="J56" s="537">
        <v>152</v>
      </c>
      <c r="K56" s="537">
        <f>$E56</f>
        <v>0</v>
      </c>
      <c r="L56" s="537">
        <f>ROUND(ROUND(J56,2)*ROUND(K56,2),2)</f>
        <v>0</v>
      </c>
      <c r="M56" s="537">
        <v>160</v>
      </c>
      <c r="N56" s="537">
        <f>$E56</f>
        <v>0</v>
      </c>
      <c r="O56" s="537">
        <f>ROUND(ROUND(M56,2)*ROUND(N56,2),2)</f>
        <v>0</v>
      </c>
      <c r="P56" s="537"/>
      <c r="Q56" s="538">
        <f>'Cjenik RS'!D48</f>
        <v>0</v>
      </c>
      <c r="R56" s="539">
        <f>ROUND(ROUND(P56,2)*ROUND(Q56,2),2)</f>
        <v>0</v>
      </c>
    </row>
    <row r="57" spans="1:18" ht="15">
      <c r="A57" s="540" t="s">
        <v>80</v>
      </c>
      <c r="B57" s="535"/>
      <c r="C57" s="536"/>
      <c r="D57" s="537">
        <v>1690</v>
      </c>
      <c r="E57" s="537"/>
      <c r="F57" s="537">
        <f>ROUND(ROUND(D57,2)*ROUND(E57,2),2)</f>
        <v>0</v>
      </c>
      <c r="G57" s="537">
        <v>1690</v>
      </c>
      <c r="H57" s="537">
        <f>$E57</f>
        <v>0</v>
      </c>
      <c r="I57" s="537">
        <f>ROUND(ROUND(G57,2)*ROUND(H57,2),2)</f>
        <v>0</v>
      </c>
      <c r="J57" s="537">
        <v>1690</v>
      </c>
      <c r="K57" s="537">
        <f>$E57</f>
        <v>0</v>
      </c>
      <c r="L57" s="537">
        <f>ROUND(ROUND(J57,2)*ROUND(K57,2),2)</f>
        <v>0</v>
      </c>
      <c r="M57" s="537">
        <v>1690</v>
      </c>
      <c r="N57" s="537">
        <f>$E57</f>
        <v>0</v>
      </c>
      <c r="O57" s="537">
        <f>ROUND(ROUND(M57,2)*ROUND(N57,2),2)</f>
        <v>0</v>
      </c>
      <c r="P57" s="537"/>
      <c r="Q57" s="538">
        <f>'Cjenik RS'!D49</f>
        <v>0</v>
      </c>
      <c r="R57" s="539">
        <f>ROUND(ROUND(P57,2)*ROUND(Q57,2),2)</f>
        <v>0</v>
      </c>
    </row>
    <row r="58" spans="1:18" ht="15">
      <c r="A58" s="540" t="s">
        <v>81</v>
      </c>
      <c r="B58" s="535"/>
      <c r="C58" s="536"/>
      <c r="D58" s="537">
        <v>0</v>
      </c>
      <c r="E58" s="537"/>
      <c r="F58" s="537">
        <f t="shared" ref="F58:F63" si="7">ROUND(ROUND(D58,2)*ROUND(E58,2),2)</f>
        <v>0</v>
      </c>
      <c r="G58" s="537">
        <v>0</v>
      </c>
      <c r="H58" s="537">
        <f t="shared" si="4"/>
        <v>0</v>
      </c>
      <c r="I58" s="537">
        <f t="shared" ref="I58:I63" si="8">ROUND(ROUND(G58,2)*ROUND(H58,2),2)</f>
        <v>0</v>
      </c>
      <c r="J58" s="537">
        <v>0</v>
      </c>
      <c r="K58" s="537">
        <f t="shared" si="5"/>
        <v>0</v>
      </c>
      <c r="L58" s="537">
        <f t="shared" ref="L58:L63" si="9">ROUND(ROUND(J58,2)*ROUND(K58,2),2)</f>
        <v>0</v>
      </c>
      <c r="M58" s="537">
        <v>0</v>
      </c>
      <c r="N58" s="537">
        <f t="shared" si="6"/>
        <v>0</v>
      </c>
      <c r="O58" s="537">
        <f t="shared" ref="O58:O63" si="10">ROUND(ROUND(M58,2)*ROUND(N58,2),2)</f>
        <v>0</v>
      </c>
      <c r="P58" s="537"/>
      <c r="Q58" s="538"/>
      <c r="R58" s="539">
        <f t="shared" ref="R58:R63" si="11">ROUND(ROUND(P58,2)*ROUND(Q58,2),2)</f>
        <v>0</v>
      </c>
    </row>
    <row r="59" spans="1:18" ht="15">
      <c r="A59" s="540" t="s">
        <v>82</v>
      </c>
      <c r="B59" s="535"/>
      <c r="C59" s="536"/>
      <c r="D59" s="537">
        <v>100</v>
      </c>
      <c r="E59" s="537"/>
      <c r="F59" s="537">
        <f t="shared" si="7"/>
        <v>0</v>
      </c>
      <c r="G59" s="537">
        <v>100</v>
      </c>
      <c r="H59" s="537">
        <f t="shared" si="4"/>
        <v>0</v>
      </c>
      <c r="I59" s="537">
        <f t="shared" si="8"/>
        <v>0</v>
      </c>
      <c r="J59" s="537">
        <v>100</v>
      </c>
      <c r="K59" s="537">
        <f t="shared" si="5"/>
        <v>0</v>
      </c>
      <c r="L59" s="537">
        <f t="shared" si="9"/>
        <v>0</v>
      </c>
      <c r="M59" s="537">
        <v>100</v>
      </c>
      <c r="N59" s="537">
        <f t="shared" si="6"/>
        <v>0</v>
      </c>
      <c r="O59" s="537">
        <f t="shared" si="10"/>
        <v>0</v>
      </c>
      <c r="P59" s="537"/>
      <c r="Q59" s="538"/>
      <c r="R59" s="539">
        <f t="shared" si="11"/>
        <v>0</v>
      </c>
    </row>
    <row r="60" spans="1:18" ht="15">
      <c r="A60" s="540" t="s">
        <v>83</v>
      </c>
      <c r="B60" s="535"/>
      <c r="C60" s="536"/>
      <c r="D60" s="537">
        <v>0</v>
      </c>
      <c r="E60" s="537"/>
      <c r="F60" s="537">
        <f t="shared" si="7"/>
        <v>0</v>
      </c>
      <c r="G60" s="537">
        <v>0</v>
      </c>
      <c r="H60" s="537">
        <f t="shared" si="4"/>
        <v>0</v>
      </c>
      <c r="I60" s="537">
        <f t="shared" si="8"/>
        <v>0</v>
      </c>
      <c r="J60" s="537">
        <v>0</v>
      </c>
      <c r="K60" s="537">
        <f t="shared" si="5"/>
        <v>0</v>
      </c>
      <c r="L60" s="537">
        <f t="shared" si="9"/>
        <v>0</v>
      </c>
      <c r="M60" s="537">
        <v>0</v>
      </c>
      <c r="N60" s="537">
        <f t="shared" si="6"/>
        <v>0</v>
      </c>
      <c r="O60" s="537">
        <f t="shared" si="10"/>
        <v>0</v>
      </c>
      <c r="P60" s="537"/>
      <c r="Q60" s="538"/>
      <c r="R60" s="539">
        <f t="shared" si="11"/>
        <v>0</v>
      </c>
    </row>
    <row r="61" spans="1:18" ht="15">
      <c r="A61" s="540" t="s">
        <v>84</v>
      </c>
      <c r="B61" s="535"/>
      <c r="C61" s="536"/>
      <c r="D61" s="537">
        <v>0</v>
      </c>
      <c r="E61" s="537"/>
      <c r="F61" s="537">
        <f t="shared" si="7"/>
        <v>0</v>
      </c>
      <c r="G61" s="537">
        <v>0</v>
      </c>
      <c r="H61" s="537">
        <f t="shared" si="4"/>
        <v>0</v>
      </c>
      <c r="I61" s="537">
        <f t="shared" si="8"/>
        <v>0</v>
      </c>
      <c r="J61" s="537">
        <v>0</v>
      </c>
      <c r="K61" s="537">
        <f t="shared" si="5"/>
        <v>0</v>
      </c>
      <c r="L61" s="537">
        <f t="shared" si="9"/>
        <v>0</v>
      </c>
      <c r="M61" s="537">
        <v>0</v>
      </c>
      <c r="N61" s="537">
        <f t="shared" si="6"/>
        <v>0</v>
      </c>
      <c r="O61" s="537">
        <f t="shared" si="10"/>
        <v>0</v>
      </c>
      <c r="P61" s="537"/>
      <c r="Q61" s="538"/>
      <c r="R61" s="539">
        <f t="shared" si="11"/>
        <v>0</v>
      </c>
    </row>
    <row r="62" spans="1:18" ht="15">
      <c r="A62" s="546" t="s">
        <v>85</v>
      </c>
      <c r="B62" s="535"/>
      <c r="C62" s="542"/>
      <c r="D62" s="543">
        <v>100</v>
      </c>
      <c r="E62" s="543"/>
      <c r="F62" s="543">
        <f t="shared" si="7"/>
        <v>0</v>
      </c>
      <c r="G62" s="543">
        <v>100</v>
      </c>
      <c r="H62" s="543">
        <f t="shared" si="4"/>
        <v>0</v>
      </c>
      <c r="I62" s="543">
        <f t="shared" si="8"/>
        <v>0</v>
      </c>
      <c r="J62" s="543">
        <v>100</v>
      </c>
      <c r="K62" s="543">
        <f t="shared" si="5"/>
        <v>0</v>
      </c>
      <c r="L62" s="543">
        <f t="shared" si="9"/>
        <v>0</v>
      </c>
      <c r="M62" s="543">
        <v>100</v>
      </c>
      <c r="N62" s="543">
        <f t="shared" si="6"/>
        <v>0</v>
      </c>
      <c r="O62" s="543">
        <f t="shared" si="10"/>
        <v>0</v>
      </c>
      <c r="P62" s="543"/>
      <c r="Q62" s="544"/>
      <c r="R62" s="545">
        <f t="shared" si="11"/>
        <v>0</v>
      </c>
    </row>
    <row r="63" spans="1:18" ht="15">
      <c r="A63" s="541" t="s">
        <v>86</v>
      </c>
      <c r="B63" s="535"/>
      <c r="C63" s="542"/>
      <c r="D63" s="543">
        <v>300</v>
      </c>
      <c r="E63" s="543"/>
      <c r="F63" s="543">
        <f t="shared" si="7"/>
        <v>0</v>
      </c>
      <c r="G63" s="543">
        <v>330</v>
      </c>
      <c r="H63" s="543">
        <f t="shared" si="4"/>
        <v>0</v>
      </c>
      <c r="I63" s="543">
        <f t="shared" si="8"/>
        <v>0</v>
      </c>
      <c r="J63" s="543">
        <v>360</v>
      </c>
      <c r="K63" s="543">
        <f t="shared" si="5"/>
        <v>0</v>
      </c>
      <c r="L63" s="543">
        <f t="shared" si="9"/>
        <v>0</v>
      </c>
      <c r="M63" s="543">
        <v>390</v>
      </c>
      <c r="N63" s="543">
        <f t="shared" si="6"/>
        <v>0</v>
      </c>
      <c r="O63" s="543">
        <f t="shared" si="10"/>
        <v>0</v>
      </c>
      <c r="P63" s="543"/>
      <c r="Q63" s="544"/>
      <c r="R63" s="545">
        <f t="shared" si="11"/>
        <v>0</v>
      </c>
    </row>
    <row r="64" spans="1:18" ht="15">
      <c r="A64" s="528" t="s">
        <v>87</v>
      </c>
      <c r="B64" s="529" t="s">
        <v>659</v>
      </c>
      <c r="C64" s="530"/>
      <c r="D64" s="531">
        <v>0</v>
      </c>
      <c r="E64" s="531"/>
      <c r="F64" s="531" t="e">
        <f>#REF!+#REF!+#REF!</f>
        <v>#REF!</v>
      </c>
      <c r="G64" s="531">
        <v>0</v>
      </c>
      <c r="H64" s="531">
        <f t="shared" si="4"/>
        <v>0</v>
      </c>
      <c r="I64" s="531" t="e">
        <f>#REF!+#REF!+#REF!</f>
        <v>#REF!</v>
      </c>
      <c r="J64" s="531">
        <v>0</v>
      </c>
      <c r="K64" s="531">
        <f t="shared" si="5"/>
        <v>0</v>
      </c>
      <c r="L64" s="531" t="e">
        <f>#REF!+#REF!+#REF!</f>
        <v>#REF!</v>
      </c>
      <c r="M64" s="531">
        <v>0</v>
      </c>
      <c r="N64" s="531">
        <f t="shared" si="6"/>
        <v>0</v>
      </c>
      <c r="O64" s="531" t="e">
        <f>#REF!+#REF!+#REF!</f>
        <v>#REF!</v>
      </c>
      <c r="P64" s="531"/>
      <c r="Q64" s="532"/>
      <c r="R64" s="533">
        <f>SUM(R65:R73)</f>
        <v>0</v>
      </c>
    </row>
    <row r="65" spans="1:18" ht="15">
      <c r="A65" s="540" t="s">
        <v>88</v>
      </c>
      <c r="B65" s="535" t="s">
        <v>820</v>
      </c>
      <c r="C65" s="536"/>
      <c r="D65" s="537">
        <v>3500</v>
      </c>
      <c r="E65" s="537"/>
      <c r="F65" s="537">
        <f t="shared" ref="F65:F73" si="12">ROUND(ROUND(D65,2)*ROUND(E65,2),2)</f>
        <v>0</v>
      </c>
      <c r="G65" s="537">
        <v>3600</v>
      </c>
      <c r="H65" s="537">
        <f t="shared" si="4"/>
        <v>0</v>
      </c>
      <c r="I65" s="537">
        <f t="shared" ref="I65:I73" si="13">ROUND(ROUND(G65,2)*ROUND(H65,2),2)</f>
        <v>0</v>
      </c>
      <c r="J65" s="537">
        <v>3800</v>
      </c>
      <c r="K65" s="537">
        <f t="shared" si="5"/>
        <v>0</v>
      </c>
      <c r="L65" s="537">
        <f t="shared" ref="L65:L73" si="14">ROUND(ROUND(J65,2)*ROUND(K65,2),2)</f>
        <v>0</v>
      </c>
      <c r="M65" s="537">
        <v>4000</v>
      </c>
      <c r="N65" s="537">
        <f t="shared" si="6"/>
        <v>0</v>
      </c>
      <c r="O65" s="537">
        <f t="shared" ref="O65:O73" si="15">ROUND(ROUND(M65,2)*ROUND(N65,2),2)</f>
        <v>0</v>
      </c>
      <c r="P65" s="537"/>
      <c r="Q65" s="538"/>
      <c r="R65" s="539">
        <f t="shared" ref="R65:R73" si="16">ROUND(ROUND(P65,2)*ROUND(Q65,2),2)</f>
        <v>0</v>
      </c>
    </row>
    <row r="66" spans="1:18" ht="15">
      <c r="A66" s="540" t="s">
        <v>89</v>
      </c>
      <c r="B66" s="535"/>
      <c r="C66" s="536"/>
      <c r="D66" s="537">
        <v>100</v>
      </c>
      <c r="E66" s="537"/>
      <c r="F66" s="537">
        <f t="shared" si="12"/>
        <v>0</v>
      </c>
      <c r="G66" s="537">
        <v>100</v>
      </c>
      <c r="H66" s="537">
        <f t="shared" si="4"/>
        <v>0</v>
      </c>
      <c r="I66" s="537">
        <f t="shared" si="13"/>
        <v>0</v>
      </c>
      <c r="J66" s="537">
        <v>100</v>
      </c>
      <c r="K66" s="537">
        <f t="shared" si="5"/>
        <v>0</v>
      </c>
      <c r="L66" s="537">
        <f t="shared" si="14"/>
        <v>0</v>
      </c>
      <c r="M66" s="537">
        <v>100</v>
      </c>
      <c r="N66" s="537">
        <f t="shared" si="6"/>
        <v>0</v>
      </c>
      <c r="O66" s="537">
        <f t="shared" si="15"/>
        <v>0</v>
      </c>
      <c r="P66" s="537"/>
      <c r="Q66" s="538"/>
      <c r="R66" s="539">
        <f t="shared" si="16"/>
        <v>0</v>
      </c>
    </row>
    <row r="67" spans="1:18" ht="15">
      <c r="A67" s="540" t="s">
        <v>91</v>
      </c>
      <c r="B67" s="535"/>
      <c r="C67" s="536"/>
      <c r="D67" s="537">
        <v>24000</v>
      </c>
      <c r="E67" s="537"/>
      <c r="F67" s="537">
        <f t="shared" si="12"/>
        <v>0</v>
      </c>
      <c r="G67" s="537">
        <v>30000</v>
      </c>
      <c r="H67" s="537">
        <f t="shared" si="4"/>
        <v>0</v>
      </c>
      <c r="I67" s="537">
        <f t="shared" si="13"/>
        <v>0</v>
      </c>
      <c r="J67" s="537">
        <v>35000</v>
      </c>
      <c r="K67" s="537">
        <f t="shared" si="5"/>
        <v>0</v>
      </c>
      <c r="L67" s="537">
        <f t="shared" si="14"/>
        <v>0</v>
      </c>
      <c r="M67" s="537">
        <v>40000</v>
      </c>
      <c r="N67" s="537">
        <f t="shared" si="6"/>
        <v>0</v>
      </c>
      <c r="O67" s="537">
        <f t="shared" si="15"/>
        <v>0</v>
      </c>
      <c r="P67" s="537"/>
      <c r="Q67" s="538"/>
      <c r="R67" s="539">
        <f t="shared" si="16"/>
        <v>0</v>
      </c>
    </row>
    <row r="68" spans="1:18" ht="15">
      <c r="A68" s="534" t="s">
        <v>616</v>
      </c>
      <c r="B68" s="535"/>
      <c r="C68" s="536"/>
      <c r="D68" s="537">
        <v>800</v>
      </c>
      <c r="E68" s="537"/>
      <c r="F68" s="537">
        <f t="shared" si="12"/>
        <v>0</v>
      </c>
      <c r="G68" s="537">
        <v>900</v>
      </c>
      <c r="H68" s="537">
        <f t="shared" si="4"/>
        <v>0</v>
      </c>
      <c r="I68" s="537">
        <f t="shared" si="13"/>
        <v>0</v>
      </c>
      <c r="J68" s="537">
        <v>1000</v>
      </c>
      <c r="K68" s="537">
        <f t="shared" si="5"/>
        <v>0</v>
      </c>
      <c r="L68" s="537">
        <f t="shared" si="14"/>
        <v>0</v>
      </c>
      <c r="M68" s="537">
        <v>1100</v>
      </c>
      <c r="N68" s="537">
        <f t="shared" si="6"/>
        <v>0</v>
      </c>
      <c r="O68" s="537">
        <f t="shared" si="15"/>
        <v>0</v>
      </c>
      <c r="P68" s="537"/>
      <c r="Q68" s="538"/>
      <c r="R68" s="539">
        <f t="shared" si="16"/>
        <v>0</v>
      </c>
    </row>
    <row r="69" spans="1:18" ht="15">
      <c r="A69" s="540" t="s">
        <v>620</v>
      </c>
      <c r="B69" s="535"/>
      <c r="C69" s="536"/>
      <c r="D69" s="537">
        <v>10</v>
      </c>
      <c r="E69" s="537"/>
      <c r="F69" s="537">
        <f t="shared" si="12"/>
        <v>0</v>
      </c>
      <c r="G69" s="537">
        <v>10</v>
      </c>
      <c r="H69" s="537">
        <f t="shared" si="4"/>
        <v>0</v>
      </c>
      <c r="I69" s="537">
        <f t="shared" si="13"/>
        <v>0</v>
      </c>
      <c r="J69" s="537">
        <v>10</v>
      </c>
      <c r="K69" s="537">
        <f t="shared" si="5"/>
        <v>0</v>
      </c>
      <c r="L69" s="537">
        <f t="shared" si="14"/>
        <v>0</v>
      </c>
      <c r="M69" s="537">
        <v>10</v>
      </c>
      <c r="N69" s="537">
        <f t="shared" si="6"/>
        <v>0</v>
      </c>
      <c r="O69" s="537">
        <f t="shared" si="15"/>
        <v>0</v>
      </c>
      <c r="P69" s="537"/>
      <c r="Q69" s="538"/>
      <c r="R69" s="539">
        <f t="shared" si="16"/>
        <v>0</v>
      </c>
    </row>
    <row r="70" spans="1:18" ht="15">
      <c r="A70" s="540" t="s">
        <v>621</v>
      </c>
      <c r="B70" s="535"/>
      <c r="C70" s="536"/>
      <c r="D70" s="537">
        <v>100</v>
      </c>
      <c r="E70" s="537"/>
      <c r="F70" s="537">
        <f t="shared" si="12"/>
        <v>0</v>
      </c>
      <c r="G70" s="537">
        <v>100</v>
      </c>
      <c r="H70" s="537">
        <f t="shared" si="4"/>
        <v>0</v>
      </c>
      <c r="I70" s="537">
        <f t="shared" si="13"/>
        <v>0</v>
      </c>
      <c r="J70" s="537">
        <v>100</v>
      </c>
      <c r="K70" s="537">
        <f t="shared" si="5"/>
        <v>0</v>
      </c>
      <c r="L70" s="537">
        <f t="shared" si="14"/>
        <v>0</v>
      </c>
      <c r="M70" s="537">
        <v>100</v>
      </c>
      <c r="N70" s="537">
        <f t="shared" si="6"/>
        <v>0</v>
      </c>
      <c r="O70" s="537">
        <f t="shared" si="15"/>
        <v>0</v>
      </c>
      <c r="P70" s="537"/>
      <c r="Q70" s="538"/>
      <c r="R70" s="539">
        <f t="shared" si="16"/>
        <v>0</v>
      </c>
    </row>
    <row r="71" spans="1:18" ht="15">
      <c r="A71" s="540" t="s">
        <v>622</v>
      </c>
      <c r="B71" s="535"/>
      <c r="C71" s="536"/>
      <c r="D71" s="537">
        <v>100</v>
      </c>
      <c r="E71" s="537"/>
      <c r="F71" s="537">
        <f t="shared" si="12"/>
        <v>0</v>
      </c>
      <c r="G71" s="537">
        <v>100</v>
      </c>
      <c r="H71" s="537">
        <f t="shared" si="4"/>
        <v>0</v>
      </c>
      <c r="I71" s="537">
        <f t="shared" si="13"/>
        <v>0</v>
      </c>
      <c r="J71" s="537">
        <v>100</v>
      </c>
      <c r="K71" s="537">
        <f t="shared" si="5"/>
        <v>0</v>
      </c>
      <c r="L71" s="537">
        <f t="shared" si="14"/>
        <v>0</v>
      </c>
      <c r="M71" s="537">
        <v>100</v>
      </c>
      <c r="N71" s="537">
        <f t="shared" si="6"/>
        <v>0</v>
      </c>
      <c r="O71" s="537">
        <f t="shared" si="15"/>
        <v>0</v>
      </c>
      <c r="P71" s="537"/>
      <c r="Q71" s="538"/>
      <c r="R71" s="539">
        <f t="shared" si="16"/>
        <v>0</v>
      </c>
    </row>
    <row r="72" spans="1:18" ht="15">
      <c r="A72" s="540" t="s">
        <v>623</v>
      </c>
      <c r="B72" s="535"/>
      <c r="C72" s="536"/>
      <c r="D72" s="537">
        <v>6</v>
      </c>
      <c r="E72" s="537"/>
      <c r="F72" s="537">
        <f t="shared" si="12"/>
        <v>0</v>
      </c>
      <c r="G72" s="537">
        <v>6</v>
      </c>
      <c r="H72" s="537">
        <f t="shared" si="4"/>
        <v>0</v>
      </c>
      <c r="I72" s="537">
        <f t="shared" si="13"/>
        <v>0</v>
      </c>
      <c r="J72" s="537">
        <v>6</v>
      </c>
      <c r="K72" s="537">
        <f t="shared" si="5"/>
        <v>0</v>
      </c>
      <c r="L72" s="537">
        <f t="shared" si="14"/>
        <v>0</v>
      </c>
      <c r="M72" s="537">
        <v>6</v>
      </c>
      <c r="N72" s="537">
        <f t="shared" si="6"/>
        <v>0</v>
      </c>
      <c r="O72" s="537">
        <f t="shared" si="15"/>
        <v>0</v>
      </c>
      <c r="P72" s="537"/>
      <c r="Q72" s="538"/>
      <c r="R72" s="539">
        <f t="shared" si="16"/>
        <v>0</v>
      </c>
    </row>
    <row r="73" spans="1:18" ht="15">
      <c r="A73" s="540" t="s">
        <v>624</v>
      </c>
      <c r="B73" s="535"/>
      <c r="C73" s="536"/>
      <c r="D73" s="537">
        <v>12</v>
      </c>
      <c r="E73" s="537"/>
      <c r="F73" s="537">
        <f t="shared" si="12"/>
        <v>0</v>
      </c>
      <c r="G73" s="537">
        <v>12</v>
      </c>
      <c r="H73" s="537">
        <f t="shared" si="4"/>
        <v>0</v>
      </c>
      <c r="I73" s="537">
        <f t="shared" si="13"/>
        <v>0</v>
      </c>
      <c r="J73" s="537">
        <v>12</v>
      </c>
      <c r="K73" s="537">
        <f t="shared" si="5"/>
        <v>0</v>
      </c>
      <c r="L73" s="537">
        <f t="shared" si="14"/>
        <v>0</v>
      </c>
      <c r="M73" s="537">
        <v>12</v>
      </c>
      <c r="N73" s="537">
        <f t="shared" si="6"/>
        <v>0</v>
      </c>
      <c r="O73" s="537">
        <f t="shared" si="15"/>
        <v>0</v>
      </c>
      <c r="P73" s="537"/>
      <c r="Q73" s="538"/>
      <c r="R73" s="539">
        <f t="shared" si="16"/>
        <v>0</v>
      </c>
    </row>
    <row r="74" spans="1:18" ht="15">
      <c r="A74" s="528" t="s">
        <v>92</v>
      </c>
      <c r="B74" s="529" t="s">
        <v>653</v>
      </c>
      <c r="C74" s="530"/>
      <c r="D74" s="531">
        <v>0</v>
      </c>
      <c r="E74" s="531"/>
      <c r="F74" s="531" t="e">
        <f>#REF!+#REF!+#REF!</f>
        <v>#REF!</v>
      </c>
      <c r="G74" s="531">
        <v>0</v>
      </c>
      <c r="H74" s="531">
        <f t="shared" si="4"/>
        <v>0</v>
      </c>
      <c r="I74" s="531" t="e">
        <f>#REF!+#REF!+#REF!</f>
        <v>#REF!</v>
      </c>
      <c r="J74" s="531">
        <v>0</v>
      </c>
      <c r="K74" s="531">
        <f t="shared" si="5"/>
        <v>0</v>
      </c>
      <c r="L74" s="531" t="e">
        <f>#REF!+#REF!+#REF!</f>
        <v>#REF!</v>
      </c>
      <c r="M74" s="531">
        <v>0</v>
      </c>
      <c r="N74" s="531">
        <f t="shared" si="6"/>
        <v>0</v>
      </c>
      <c r="O74" s="531" t="e">
        <f>#REF!+#REF!+#REF!</f>
        <v>#REF!</v>
      </c>
      <c r="P74" s="531"/>
      <c r="Q74" s="532"/>
      <c r="R74" s="533">
        <f>SUM(R75:R80)</f>
        <v>0</v>
      </c>
    </row>
    <row r="75" spans="1:18" ht="15">
      <c r="A75" s="534" t="s">
        <v>93</v>
      </c>
      <c r="B75" s="535" t="s">
        <v>820</v>
      </c>
      <c r="C75" s="536"/>
      <c r="D75" s="547">
        <v>50976</v>
      </c>
      <c r="E75" s="537"/>
      <c r="F75" s="537">
        <f t="shared" ref="F75:F80" si="17">ROUND(ROUND(D75,2)*ROUND(E75,2),2)</f>
        <v>0</v>
      </c>
      <c r="G75" s="537">
        <v>58976</v>
      </c>
      <c r="H75" s="537">
        <f t="shared" si="4"/>
        <v>0</v>
      </c>
      <c r="I75" s="537">
        <f t="shared" ref="I75:I80" si="18">ROUND(ROUND(G75,2)*ROUND(H75,2),2)</f>
        <v>0</v>
      </c>
      <c r="J75" s="537">
        <v>63976</v>
      </c>
      <c r="K75" s="537">
        <f t="shared" si="5"/>
        <v>0</v>
      </c>
      <c r="L75" s="537">
        <f t="shared" ref="L75:L80" si="19">ROUND(ROUND(J75,2)*ROUND(K75,2),2)</f>
        <v>0</v>
      </c>
      <c r="M75" s="537">
        <v>68976</v>
      </c>
      <c r="N75" s="537">
        <f t="shared" si="6"/>
        <v>0</v>
      </c>
      <c r="O75" s="537">
        <f t="shared" ref="O75:O80" si="20">ROUND(ROUND(M75,2)*ROUND(N75,2),2)</f>
        <v>0</v>
      </c>
      <c r="P75" s="537"/>
      <c r="Q75" s="538"/>
      <c r="R75" s="539">
        <f t="shared" ref="R75:R80" si="21">ROUND(ROUND(P75,2)*ROUND(Q75,2),2)</f>
        <v>0</v>
      </c>
    </row>
    <row r="76" spans="1:18" ht="15">
      <c r="A76" s="534" t="s">
        <v>94</v>
      </c>
      <c r="B76" s="535"/>
      <c r="C76" s="536"/>
      <c r="D76" s="547">
        <v>2400</v>
      </c>
      <c r="E76" s="537"/>
      <c r="F76" s="537">
        <f t="shared" si="17"/>
        <v>0</v>
      </c>
      <c r="G76" s="537">
        <v>2400</v>
      </c>
      <c r="H76" s="537">
        <f t="shared" si="4"/>
        <v>0</v>
      </c>
      <c r="I76" s="537">
        <f t="shared" si="18"/>
        <v>0</v>
      </c>
      <c r="J76" s="537">
        <v>2400</v>
      </c>
      <c r="K76" s="537">
        <f t="shared" si="5"/>
        <v>0</v>
      </c>
      <c r="L76" s="537">
        <f t="shared" si="19"/>
        <v>0</v>
      </c>
      <c r="M76" s="537">
        <v>2400</v>
      </c>
      <c r="N76" s="537">
        <f t="shared" si="6"/>
        <v>0</v>
      </c>
      <c r="O76" s="537">
        <f t="shared" si="20"/>
        <v>0</v>
      </c>
      <c r="P76" s="537"/>
      <c r="Q76" s="538"/>
      <c r="R76" s="539">
        <f t="shared" si="21"/>
        <v>0</v>
      </c>
    </row>
    <row r="77" spans="1:18" ht="15">
      <c r="A77" s="534" t="s">
        <v>95</v>
      </c>
      <c r="B77" s="535"/>
      <c r="C77" s="536"/>
      <c r="D77" s="537">
        <v>20000</v>
      </c>
      <c r="E77" s="537"/>
      <c r="F77" s="537">
        <f t="shared" si="17"/>
        <v>0</v>
      </c>
      <c r="G77" s="537">
        <v>25000</v>
      </c>
      <c r="H77" s="537">
        <f t="shared" si="4"/>
        <v>0</v>
      </c>
      <c r="I77" s="537">
        <f t="shared" si="18"/>
        <v>0</v>
      </c>
      <c r="J77" s="537">
        <v>30000</v>
      </c>
      <c r="K77" s="537">
        <f t="shared" si="5"/>
        <v>0</v>
      </c>
      <c r="L77" s="537">
        <f t="shared" si="19"/>
        <v>0</v>
      </c>
      <c r="M77" s="537">
        <v>35000</v>
      </c>
      <c r="N77" s="537">
        <f t="shared" si="6"/>
        <v>0</v>
      </c>
      <c r="O77" s="537">
        <f t="shared" si="20"/>
        <v>0</v>
      </c>
      <c r="P77" s="537"/>
      <c r="Q77" s="538"/>
      <c r="R77" s="539">
        <f t="shared" si="21"/>
        <v>0</v>
      </c>
    </row>
    <row r="78" spans="1:18" ht="15">
      <c r="A78" s="534" t="s">
        <v>617</v>
      </c>
      <c r="B78" s="535"/>
      <c r="C78" s="536"/>
      <c r="D78" s="537">
        <v>0</v>
      </c>
      <c r="E78" s="537"/>
      <c r="F78" s="537">
        <f t="shared" si="17"/>
        <v>0</v>
      </c>
      <c r="G78" s="537">
        <v>0</v>
      </c>
      <c r="H78" s="537">
        <f t="shared" si="4"/>
        <v>0</v>
      </c>
      <c r="I78" s="537">
        <f t="shared" si="18"/>
        <v>0</v>
      </c>
      <c r="J78" s="537">
        <v>0</v>
      </c>
      <c r="K78" s="537">
        <f t="shared" si="5"/>
        <v>0</v>
      </c>
      <c r="L78" s="537">
        <f t="shared" si="19"/>
        <v>0</v>
      </c>
      <c r="M78" s="537">
        <v>0</v>
      </c>
      <c r="N78" s="537">
        <f t="shared" si="6"/>
        <v>0</v>
      </c>
      <c r="O78" s="537">
        <f t="shared" si="20"/>
        <v>0</v>
      </c>
      <c r="P78" s="537"/>
      <c r="Q78" s="538"/>
      <c r="R78" s="539">
        <f t="shared" si="21"/>
        <v>0</v>
      </c>
    </row>
    <row r="79" spans="1:18" ht="15">
      <c r="A79" s="534" t="s">
        <v>618</v>
      </c>
      <c r="B79" s="535"/>
      <c r="C79" s="536"/>
      <c r="D79" s="547">
        <v>6800</v>
      </c>
      <c r="E79" s="537"/>
      <c r="F79" s="537">
        <f t="shared" si="17"/>
        <v>0</v>
      </c>
      <c r="G79" s="537">
        <v>7000</v>
      </c>
      <c r="H79" s="537">
        <f t="shared" si="4"/>
        <v>0</v>
      </c>
      <c r="I79" s="537">
        <f t="shared" si="18"/>
        <v>0</v>
      </c>
      <c r="J79" s="537">
        <v>7500</v>
      </c>
      <c r="K79" s="537">
        <f t="shared" si="5"/>
        <v>0</v>
      </c>
      <c r="L79" s="537">
        <f t="shared" si="19"/>
        <v>0</v>
      </c>
      <c r="M79" s="537">
        <v>8000</v>
      </c>
      <c r="N79" s="537">
        <f t="shared" si="6"/>
        <v>0</v>
      </c>
      <c r="O79" s="537">
        <f t="shared" si="20"/>
        <v>0</v>
      </c>
      <c r="P79" s="537"/>
      <c r="Q79" s="538"/>
      <c r="R79" s="539">
        <f t="shared" si="21"/>
        <v>0</v>
      </c>
    </row>
    <row r="80" spans="1:18" ht="15">
      <c r="A80" s="534" t="s">
        <v>619</v>
      </c>
      <c r="B80" s="535"/>
      <c r="C80" s="536"/>
      <c r="D80" s="537">
        <v>56</v>
      </c>
      <c r="E80" s="537"/>
      <c r="F80" s="537">
        <f t="shared" si="17"/>
        <v>0</v>
      </c>
      <c r="G80" s="537">
        <v>56</v>
      </c>
      <c r="H80" s="537">
        <f t="shared" si="4"/>
        <v>0</v>
      </c>
      <c r="I80" s="537">
        <f t="shared" si="18"/>
        <v>0</v>
      </c>
      <c r="J80" s="537">
        <v>56</v>
      </c>
      <c r="K80" s="537">
        <f t="shared" si="5"/>
        <v>0</v>
      </c>
      <c r="L80" s="537">
        <f t="shared" si="19"/>
        <v>0</v>
      </c>
      <c r="M80" s="537">
        <v>56</v>
      </c>
      <c r="N80" s="537">
        <f t="shared" si="6"/>
        <v>0</v>
      </c>
      <c r="O80" s="537">
        <f t="shared" si="20"/>
        <v>0</v>
      </c>
      <c r="P80" s="537"/>
      <c r="Q80" s="538"/>
      <c r="R80" s="539">
        <f t="shared" si="21"/>
        <v>0</v>
      </c>
    </row>
    <row r="81" spans="1:18" ht="15">
      <c r="A81" s="528" t="s">
        <v>96</v>
      </c>
      <c r="B81" s="529" t="s">
        <v>654</v>
      </c>
      <c r="C81" s="530"/>
      <c r="D81" s="531">
        <v>0</v>
      </c>
      <c r="E81" s="531"/>
      <c r="F81" s="531">
        <f>SUM(F82:F88)</f>
        <v>0</v>
      </c>
      <c r="G81" s="531">
        <v>0</v>
      </c>
      <c r="H81" s="531">
        <f t="shared" ref="H81:H101" si="22">$E81</f>
        <v>0</v>
      </c>
      <c r="I81" s="531">
        <f>SUM(I82:I88)</f>
        <v>0</v>
      </c>
      <c r="J81" s="531">
        <v>0</v>
      </c>
      <c r="K81" s="531">
        <f t="shared" ref="K81:K101" si="23">$E81</f>
        <v>0</v>
      </c>
      <c r="L81" s="531">
        <f>SUM(L82:L88)</f>
        <v>0</v>
      </c>
      <c r="M81" s="531">
        <v>0</v>
      </c>
      <c r="N81" s="531">
        <f t="shared" ref="N81:N101" si="24">$E81</f>
        <v>0</v>
      </c>
      <c r="O81" s="531">
        <f>SUM(O82:O88)</f>
        <v>0</v>
      </c>
      <c r="P81" s="531"/>
      <c r="Q81" s="532"/>
      <c r="R81" s="533">
        <f>SUM(R82:R88)</f>
        <v>0</v>
      </c>
    </row>
    <row r="82" spans="1:18" ht="15">
      <c r="A82" s="534" t="s">
        <v>97</v>
      </c>
      <c r="B82" s="535" t="s">
        <v>820</v>
      </c>
      <c r="C82" s="536"/>
      <c r="D82" s="537">
        <v>3500</v>
      </c>
      <c r="E82" s="537"/>
      <c r="F82" s="537">
        <f t="shared" ref="F82:F88" si="25">ROUND(ROUND(D82,2)*ROUND(E82,2),2)</f>
        <v>0</v>
      </c>
      <c r="G82" s="537">
        <v>4000</v>
      </c>
      <c r="H82" s="537">
        <f t="shared" si="22"/>
        <v>0</v>
      </c>
      <c r="I82" s="537">
        <f t="shared" ref="I82:I88" si="26">ROUND(ROUND(G82,2)*ROUND(H82,2),2)</f>
        <v>0</v>
      </c>
      <c r="J82" s="537">
        <v>4500</v>
      </c>
      <c r="K82" s="537">
        <f t="shared" si="23"/>
        <v>0</v>
      </c>
      <c r="L82" s="537">
        <f t="shared" ref="L82:L88" si="27">ROUND(ROUND(J82,2)*ROUND(K82,2),2)</f>
        <v>0</v>
      </c>
      <c r="M82" s="537">
        <v>5000</v>
      </c>
      <c r="N82" s="537">
        <f t="shared" si="24"/>
        <v>0</v>
      </c>
      <c r="O82" s="537">
        <f t="shared" ref="O82:O88" si="28">ROUND(ROUND(M82,2)*ROUND(N82,2),2)</f>
        <v>0</v>
      </c>
      <c r="P82" s="537"/>
      <c r="Q82" s="538"/>
      <c r="R82" s="539">
        <f t="shared" ref="R82:R88" si="29">ROUND(ROUND(P82,2)*ROUND(Q82,2),2)</f>
        <v>0</v>
      </c>
    </row>
    <row r="83" spans="1:18" ht="15">
      <c r="A83" s="534" t="s">
        <v>98</v>
      </c>
      <c r="B83" s="535"/>
      <c r="C83" s="536"/>
      <c r="D83" s="537">
        <v>2400000</v>
      </c>
      <c r="E83" s="537"/>
      <c r="F83" s="537">
        <f t="shared" si="25"/>
        <v>0</v>
      </c>
      <c r="G83" s="537">
        <v>2400000</v>
      </c>
      <c r="H83" s="537">
        <f t="shared" si="22"/>
        <v>0</v>
      </c>
      <c r="I83" s="537">
        <f t="shared" si="26"/>
        <v>0</v>
      </c>
      <c r="J83" s="537">
        <v>2400000</v>
      </c>
      <c r="K83" s="537">
        <f t="shared" si="23"/>
        <v>0</v>
      </c>
      <c r="L83" s="537">
        <f t="shared" si="27"/>
        <v>0</v>
      </c>
      <c r="M83" s="537">
        <v>2500000</v>
      </c>
      <c r="N83" s="537">
        <f t="shared" si="24"/>
        <v>0</v>
      </c>
      <c r="O83" s="537">
        <f t="shared" si="28"/>
        <v>0</v>
      </c>
      <c r="P83" s="537"/>
      <c r="Q83" s="538"/>
      <c r="R83" s="539">
        <f t="shared" si="29"/>
        <v>0</v>
      </c>
    </row>
    <row r="84" spans="1:18" ht="15">
      <c r="A84" s="534" t="s">
        <v>99</v>
      </c>
      <c r="B84" s="535"/>
      <c r="C84" s="536"/>
      <c r="D84" s="537">
        <v>4800000</v>
      </c>
      <c r="E84" s="537"/>
      <c r="F84" s="537">
        <f t="shared" si="25"/>
        <v>0</v>
      </c>
      <c r="G84" s="537">
        <v>5000000</v>
      </c>
      <c r="H84" s="537">
        <f t="shared" si="22"/>
        <v>0</v>
      </c>
      <c r="I84" s="537">
        <f t="shared" si="26"/>
        <v>0</v>
      </c>
      <c r="J84" s="537">
        <v>5000000</v>
      </c>
      <c r="K84" s="537">
        <f t="shared" si="23"/>
        <v>0</v>
      </c>
      <c r="L84" s="537">
        <f t="shared" si="27"/>
        <v>0</v>
      </c>
      <c r="M84" s="537">
        <v>5000000</v>
      </c>
      <c r="N84" s="537">
        <f t="shared" si="24"/>
        <v>0</v>
      </c>
      <c r="O84" s="537">
        <f t="shared" si="28"/>
        <v>0</v>
      </c>
      <c r="P84" s="537"/>
      <c r="Q84" s="538"/>
      <c r="R84" s="539">
        <f t="shared" si="29"/>
        <v>0</v>
      </c>
    </row>
    <row r="85" spans="1:18" ht="15">
      <c r="A85" s="534" t="s">
        <v>100</v>
      </c>
      <c r="B85" s="535"/>
      <c r="C85" s="536"/>
      <c r="D85" s="537">
        <v>0</v>
      </c>
      <c r="E85" s="537"/>
      <c r="F85" s="537">
        <f t="shared" si="25"/>
        <v>0</v>
      </c>
      <c r="G85" s="537">
        <v>0</v>
      </c>
      <c r="H85" s="537">
        <f t="shared" si="22"/>
        <v>0</v>
      </c>
      <c r="I85" s="537">
        <f t="shared" si="26"/>
        <v>0</v>
      </c>
      <c r="J85" s="537">
        <v>0</v>
      </c>
      <c r="K85" s="537">
        <f t="shared" si="23"/>
        <v>0</v>
      </c>
      <c r="L85" s="537">
        <f t="shared" si="27"/>
        <v>0</v>
      </c>
      <c r="M85" s="537">
        <v>0</v>
      </c>
      <c r="N85" s="537">
        <f t="shared" si="24"/>
        <v>0</v>
      </c>
      <c r="O85" s="537">
        <f t="shared" si="28"/>
        <v>0</v>
      </c>
      <c r="P85" s="537"/>
      <c r="Q85" s="538"/>
      <c r="R85" s="539">
        <f t="shared" si="29"/>
        <v>0</v>
      </c>
    </row>
    <row r="86" spans="1:18" ht="15">
      <c r="A86" s="534" t="s">
        <v>101</v>
      </c>
      <c r="B86" s="535"/>
      <c r="C86" s="536"/>
      <c r="D86" s="537">
        <v>50</v>
      </c>
      <c r="E86" s="537"/>
      <c r="F86" s="537">
        <f t="shared" si="25"/>
        <v>0</v>
      </c>
      <c r="G86" s="537">
        <v>50</v>
      </c>
      <c r="H86" s="537">
        <f t="shared" si="22"/>
        <v>0</v>
      </c>
      <c r="I86" s="537">
        <f t="shared" si="26"/>
        <v>0</v>
      </c>
      <c r="J86" s="537">
        <v>50</v>
      </c>
      <c r="K86" s="537">
        <f t="shared" si="23"/>
        <v>0</v>
      </c>
      <c r="L86" s="537">
        <f t="shared" si="27"/>
        <v>0</v>
      </c>
      <c r="M86" s="537">
        <v>50</v>
      </c>
      <c r="N86" s="537">
        <f t="shared" si="24"/>
        <v>0</v>
      </c>
      <c r="O86" s="537">
        <f t="shared" si="28"/>
        <v>0</v>
      </c>
      <c r="P86" s="537"/>
      <c r="Q86" s="538"/>
      <c r="R86" s="539">
        <f t="shared" si="29"/>
        <v>0</v>
      </c>
    </row>
    <row r="87" spans="1:18" ht="15">
      <c r="A87" s="534" t="s">
        <v>102</v>
      </c>
      <c r="B87" s="535"/>
      <c r="C87" s="536"/>
      <c r="D87" s="537">
        <v>150</v>
      </c>
      <c r="E87" s="537"/>
      <c r="F87" s="537">
        <f t="shared" si="25"/>
        <v>0</v>
      </c>
      <c r="G87" s="537">
        <v>150</v>
      </c>
      <c r="H87" s="537">
        <f t="shared" si="22"/>
        <v>0</v>
      </c>
      <c r="I87" s="537">
        <f t="shared" si="26"/>
        <v>0</v>
      </c>
      <c r="J87" s="537">
        <v>150</v>
      </c>
      <c r="K87" s="537">
        <f t="shared" si="23"/>
        <v>0</v>
      </c>
      <c r="L87" s="537">
        <f t="shared" si="27"/>
        <v>0</v>
      </c>
      <c r="M87" s="537">
        <v>150</v>
      </c>
      <c r="N87" s="537">
        <f t="shared" si="24"/>
        <v>0</v>
      </c>
      <c r="O87" s="537">
        <f t="shared" si="28"/>
        <v>0</v>
      </c>
      <c r="P87" s="537"/>
      <c r="Q87" s="538"/>
      <c r="R87" s="539">
        <f t="shared" si="29"/>
        <v>0</v>
      </c>
    </row>
    <row r="88" spans="1:18" ht="15">
      <c r="A88" s="534" t="s">
        <v>103</v>
      </c>
      <c r="B88" s="535"/>
      <c r="C88" s="536"/>
      <c r="D88" s="537">
        <v>12000</v>
      </c>
      <c r="E88" s="537"/>
      <c r="F88" s="537">
        <f t="shared" si="25"/>
        <v>0</v>
      </c>
      <c r="G88" s="537">
        <v>13000</v>
      </c>
      <c r="H88" s="537">
        <f t="shared" si="22"/>
        <v>0</v>
      </c>
      <c r="I88" s="537">
        <f t="shared" si="26"/>
        <v>0</v>
      </c>
      <c r="J88" s="537">
        <v>16000</v>
      </c>
      <c r="K88" s="537">
        <f t="shared" si="23"/>
        <v>0</v>
      </c>
      <c r="L88" s="537">
        <f t="shared" si="27"/>
        <v>0</v>
      </c>
      <c r="M88" s="537">
        <v>17500</v>
      </c>
      <c r="N88" s="537">
        <f t="shared" si="24"/>
        <v>0</v>
      </c>
      <c r="O88" s="537">
        <f t="shared" si="28"/>
        <v>0</v>
      </c>
      <c r="P88" s="537"/>
      <c r="Q88" s="538"/>
      <c r="R88" s="539">
        <f t="shared" si="29"/>
        <v>0</v>
      </c>
    </row>
    <row r="89" spans="1:18" ht="15">
      <c r="A89" s="528" t="s">
        <v>104</v>
      </c>
      <c r="B89" s="529" t="s">
        <v>641</v>
      </c>
      <c r="C89" s="530"/>
      <c r="D89" s="531">
        <v>0</v>
      </c>
      <c r="E89" s="531"/>
      <c r="F89" s="531" t="e">
        <f>#REF!+#REF!+#REF!</f>
        <v>#REF!</v>
      </c>
      <c r="G89" s="531">
        <v>0</v>
      </c>
      <c r="H89" s="531">
        <f t="shared" si="22"/>
        <v>0</v>
      </c>
      <c r="I89" s="531" t="e">
        <f>#REF!+#REF!+#REF!</f>
        <v>#REF!</v>
      </c>
      <c r="J89" s="531">
        <v>0</v>
      </c>
      <c r="K89" s="531">
        <f t="shared" si="23"/>
        <v>0</v>
      </c>
      <c r="L89" s="531" t="e">
        <f>#REF!+#REF!+#REF!</f>
        <v>#REF!</v>
      </c>
      <c r="M89" s="531">
        <v>0</v>
      </c>
      <c r="N89" s="531">
        <f t="shared" si="24"/>
        <v>0</v>
      </c>
      <c r="O89" s="531" t="e">
        <f>#REF!+#REF!+#REF!</f>
        <v>#REF!</v>
      </c>
      <c r="P89" s="531"/>
      <c r="Q89" s="532"/>
      <c r="R89" s="533">
        <f>SUM(R90:R97)</f>
        <v>0</v>
      </c>
    </row>
    <row r="90" spans="1:18" ht="15">
      <c r="A90" s="534" t="s">
        <v>625</v>
      </c>
      <c r="B90" s="535" t="s">
        <v>820</v>
      </c>
      <c r="C90" s="536"/>
      <c r="D90" s="537">
        <v>400</v>
      </c>
      <c r="E90" s="537"/>
      <c r="F90" s="537">
        <f t="shared" ref="F90:F97" si="30">ROUND(ROUND(D90,2)*ROUND(E90,2),2)</f>
        <v>0</v>
      </c>
      <c r="G90" s="537">
        <v>400</v>
      </c>
      <c r="H90" s="537">
        <f t="shared" si="22"/>
        <v>0</v>
      </c>
      <c r="I90" s="537">
        <f t="shared" ref="I90:I97" si="31">ROUND(ROUND(G90,2)*ROUND(H90,2),2)</f>
        <v>0</v>
      </c>
      <c r="J90" s="537">
        <v>400</v>
      </c>
      <c r="K90" s="537">
        <f t="shared" si="23"/>
        <v>0</v>
      </c>
      <c r="L90" s="537">
        <f t="shared" ref="L90:L97" si="32">ROUND(ROUND(J90,2)*ROUND(K90,2),2)</f>
        <v>0</v>
      </c>
      <c r="M90" s="537">
        <v>400</v>
      </c>
      <c r="N90" s="537">
        <f t="shared" si="24"/>
        <v>0</v>
      </c>
      <c r="O90" s="537">
        <f t="shared" ref="O90:O97" si="33">ROUND(ROUND(M90,2)*ROUND(N90,2),2)</f>
        <v>0</v>
      </c>
      <c r="P90" s="537"/>
      <c r="Q90" s="538"/>
      <c r="R90" s="539">
        <f t="shared" ref="R90:R97" si="34">ROUND(ROUND(P90,2)*ROUND(Q90,2),2)</f>
        <v>0</v>
      </c>
    </row>
    <row r="91" spans="1:18" ht="15">
      <c r="A91" s="534" t="s">
        <v>105</v>
      </c>
      <c r="B91" s="535"/>
      <c r="C91" s="536"/>
      <c r="D91" s="537">
        <v>22</v>
      </c>
      <c r="E91" s="537"/>
      <c r="F91" s="537">
        <f t="shared" si="30"/>
        <v>0</v>
      </c>
      <c r="G91" s="537">
        <v>22</v>
      </c>
      <c r="H91" s="537">
        <f t="shared" si="22"/>
        <v>0</v>
      </c>
      <c r="I91" s="537">
        <f t="shared" si="31"/>
        <v>0</v>
      </c>
      <c r="J91" s="537">
        <v>22</v>
      </c>
      <c r="K91" s="537">
        <f t="shared" si="23"/>
        <v>0</v>
      </c>
      <c r="L91" s="537">
        <f t="shared" si="32"/>
        <v>0</v>
      </c>
      <c r="M91" s="537">
        <v>22</v>
      </c>
      <c r="N91" s="537">
        <f t="shared" si="24"/>
        <v>0</v>
      </c>
      <c r="O91" s="537">
        <f t="shared" si="33"/>
        <v>0</v>
      </c>
      <c r="P91" s="537"/>
      <c r="Q91" s="538"/>
      <c r="R91" s="539">
        <f t="shared" si="34"/>
        <v>0</v>
      </c>
    </row>
    <row r="92" spans="1:18" ht="15">
      <c r="A92" s="534" t="s">
        <v>107</v>
      </c>
      <c r="B92" s="535"/>
      <c r="C92" s="536"/>
      <c r="D92" s="537">
        <v>20</v>
      </c>
      <c r="E92" s="537"/>
      <c r="F92" s="537">
        <f t="shared" si="30"/>
        <v>0</v>
      </c>
      <c r="G92" s="537">
        <v>20</v>
      </c>
      <c r="H92" s="537">
        <f t="shared" si="22"/>
        <v>0</v>
      </c>
      <c r="I92" s="537">
        <f t="shared" si="31"/>
        <v>0</v>
      </c>
      <c r="J92" s="537">
        <v>20</v>
      </c>
      <c r="K92" s="537">
        <f t="shared" si="23"/>
        <v>0</v>
      </c>
      <c r="L92" s="537">
        <f t="shared" si="32"/>
        <v>0</v>
      </c>
      <c r="M92" s="537">
        <v>20</v>
      </c>
      <c r="N92" s="537">
        <f t="shared" si="24"/>
        <v>0</v>
      </c>
      <c r="O92" s="537">
        <f t="shared" si="33"/>
        <v>0</v>
      </c>
      <c r="P92" s="537"/>
      <c r="Q92" s="538"/>
      <c r="R92" s="539">
        <f t="shared" si="34"/>
        <v>0</v>
      </c>
    </row>
    <row r="93" spans="1:18" ht="15">
      <c r="A93" s="534" t="s">
        <v>626</v>
      </c>
      <c r="B93" s="535"/>
      <c r="C93" s="536"/>
      <c r="D93" s="537">
        <v>75</v>
      </c>
      <c r="E93" s="537"/>
      <c r="F93" s="537">
        <f t="shared" si="30"/>
        <v>0</v>
      </c>
      <c r="G93" s="537">
        <v>75</v>
      </c>
      <c r="H93" s="537">
        <f t="shared" si="22"/>
        <v>0</v>
      </c>
      <c r="I93" s="537">
        <f t="shared" si="31"/>
        <v>0</v>
      </c>
      <c r="J93" s="537">
        <v>75</v>
      </c>
      <c r="K93" s="537">
        <f t="shared" si="23"/>
        <v>0</v>
      </c>
      <c r="L93" s="537">
        <f t="shared" si="32"/>
        <v>0</v>
      </c>
      <c r="M93" s="537">
        <v>75</v>
      </c>
      <c r="N93" s="537">
        <f t="shared" si="24"/>
        <v>0</v>
      </c>
      <c r="O93" s="537">
        <f t="shared" si="33"/>
        <v>0</v>
      </c>
      <c r="P93" s="537"/>
      <c r="Q93" s="538"/>
      <c r="R93" s="539">
        <f t="shared" si="34"/>
        <v>0</v>
      </c>
    </row>
    <row r="94" spans="1:18" ht="15">
      <c r="A94" s="534" t="s">
        <v>627</v>
      </c>
      <c r="B94" s="535"/>
      <c r="C94" s="536"/>
      <c r="D94" s="537">
        <v>235</v>
      </c>
      <c r="E94" s="537"/>
      <c r="F94" s="537">
        <f t="shared" si="30"/>
        <v>0</v>
      </c>
      <c r="G94" s="537">
        <v>235</v>
      </c>
      <c r="H94" s="537">
        <f t="shared" si="22"/>
        <v>0</v>
      </c>
      <c r="I94" s="537">
        <f t="shared" si="31"/>
        <v>0</v>
      </c>
      <c r="J94" s="537">
        <v>235</v>
      </c>
      <c r="K94" s="537">
        <f t="shared" si="23"/>
        <v>0</v>
      </c>
      <c r="L94" s="537">
        <f t="shared" si="32"/>
        <v>0</v>
      </c>
      <c r="M94" s="537">
        <v>235</v>
      </c>
      <c r="N94" s="537">
        <f t="shared" si="24"/>
        <v>0</v>
      </c>
      <c r="O94" s="537">
        <f t="shared" si="33"/>
        <v>0</v>
      </c>
      <c r="P94" s="537"/>
      <c r="Q94" s="538"/>
      <c r="R94" s="539">
        <f t="shared" si="34"/>
        <v>0</v>
      </c>
    </row>
    <row r="95" spans="1:18" ht="15">
      <c r="A95" s="534" t="s">
        <v>628</v>
      </c>
      <c r="B95" s="535"/>
      <c r="C95" s="536"/>
      <c r="D95" s="537">
        <v>0</v>
      </c>
      <c r="E95" s="537"/>
      <c r="F95" s="537">
        <f t="shared" si="30"/>
        <v>0</v>
      </c>
      <c r="G95" s="537">
        <v>0</v>
      </c>
      <c r="H95" s="537">
        <f t="shared" si="22"/>
        <v>0</v>
      </c>
      <c r="I95" s="537">
        <f t="shared" si="31"/>
        <v>0</v>
      </c>
      <c r="J95" s="537">
        <v>0</v>
      </c>
      <c r="K95" s="537">
        <f t="shared" si="23"/>
        <v>0</v>
      </c>
      <c r="L95" s="537">
        <f t="shared" si="32"/>
        <v>0</v>
      </c>
      <c r="M95" s="537">
        <v>0</v>
      </c>
      <c r="N95" s="537">
        <f t="shared" si="24"/>
        <v>0</v>
      </c>
      <c r="O95" s="537">
        <f t="shared" si="33"/>
        <v>0</v>
      </c>
      <c r="P95" s="537"/>
      <c r="Q95" s="538"/>
      <c r="R95" s="539">
        <f t="shared" si="34"/>
        <v>0</v>
      </c>
    </row>
    <row r="96" spans="1:18" ht="15">
      <c r="A96" s="534" t="s">
        <v>629</v>
      </c>
      <c r="B96" s="535"/>
      <c r="C96" s="542"/>
      <c r="D96" s="543">
        <v>0</v>
      </c>
      <c r="E96" s="543"/>
      <c r="F96" s="543">
        <f t="shared" si="30"/>
        <v>0</v>
      </c>
      <c r="G96" s="543">
        <v>0</v>
      </c>
      <c r="H96" s="543">
        <f t="shared" si="22"/>
        <v>0</v>
      </c>
      <c r="I96" s="543">
        <f t="shared" si="31"/>
        <v>0</v>
      </c>
      <c r="J96" s="543">
        <v>0</v>
      </c>
      <c r="K96" s="543">
        <f t="shared" si="23"/>
        <v>0</v>
      </c>
      <c r="L96" s="543">
        <f t="shared" si="32"/>
        <v>0</v>
      </c>
      <c r="M96" s="543">
        <v>0</v>
      </c>
      <c r="N96" s="543">
        <f t="shared" si="24"/>
        <v>0</v>
      </c>
      <c r="O96" s="543">
        <f t="shared" si="33"/>
        <v>0</v>
      </c>
      <c r="P96" s="543"/>
      <c r="Q96" s="538"/>
      <c r="R96" s="545">
        <f t="shared" si="34"/>
        <v>0</v>
      </c>
    </row>
    <row r="97" spans="1:18" ht="15">
      <c r="A97" s="534" t="s">
        <v>630</v>
      </c>
      <c r="B97" s="535"/>
      <c r="C97" s="536"/>
      <c r="D97" s="537">
        <v>0</v>
      </c>
      <c r="E97" s="537"/>
      <c r="F97" s="537">
        <f t="shared" si="30"/>
        <v>0</v>
      </c>
      <c r="G97" s="537">
        <v>0</v>
      </c>
      <c r="H97" s="537">
        <f t="shared" si="22"/>
        <v>0</v>
      </c>
      <c r="I97" s="537">
        <f t="shared" si="31"/>
        <v>0</v>
      </c>
      <c r="J97" s="537">
        <v>0</v>
      </c>
      <c r="K97" s="537">
        <f t="shared" si="23"/>
        <v>0</v>
      </c>
      <c r="L97" s="537">
        <f t="shared" si="32"/>
        <v>0</v>
      </c>
      <c r="M97" s="537">
        <v>0</v>
      </c>
      <c r="N97" s="537">
        <f t="shared" si="24"/>
        <v>0</v>
      </c>
      <c r="O97" s="537">
        <f t="shared" si="33"/>
        <v>0</v>
      </c>
      <c r="P97" s="537"/>
      <c r="Q97" s="538"/>
      <c r="R97" s="539">
        <f t="shared" si="34"/>
        <v>0</v>
      </c>
    </row>
    <row r="98" spans="1:18" ht="15">
      <c r="A98" s="528" t="s">
        <v>108</v>
      </c>
      <c r="B98" s="529" t="s">
        <v>634</v>
      </c>
      <c r="C98" s="530"/>
      <c r="D98" s="531">
        <v>0</v>
      </c>
      <c r="E98" s="531"/>
      <c r="F98" s="531" t="e">
        <f>#REF!+#REF!+#REF!</f>
        <v>#REF!</v>
      </c>
      <c r="G98" s="531">
        <v>0</v>
      </c>
      <c r="H98" s="531">
        <f t="shared" si="22"/>
        <v>0</v>
      </c>
      <c r="I98" s="531" t="e">
        <f>#REF!+#REF!+#REF!</f>
        <v>#REF!</v>
      </c>
      <c r="J98" s="531">
        <v>0</v>
      </c>
      <c r="K98" s="531">
        <f t="shared" si="23"/>
        <v>0</v>
      </c>
      <c r="L98" s="531" t="e">
        <f>#REF!+#REF!+#REF!</f>
        <v>#REF!</v>
      </c>
      <c r="M98" s="531">
        <v>0</v>
      </c>
      <c r="N98" s="531">
        <f t="shared" si="24"/>
        <v>0</v>
      </c>
      <c r="O98" s="531" t="e">
        <f>#REF!+#REF!+#REF!</f>
        <v>#REF!</v>
      </c>
      <c r="P98" s="531"/>
      <c r="Q98" s="532"/>
      <c r="R98" s="533">
        <f>SUM(R99:R110)</f>
        <v>0</v>
      </c>
    </row>
    <row r="99" spans="1:18" ht="15">
      <c r="A99" s="534" t="s">
        <v>109</v>
      </c>
      <c r="B99" s="535" t="s">
        <v>820</v>
      </c>
      <c r="C99" s="536"/>
      <c r="D99" s="547">
        <v>10</v>
      </c>
      <c r="E99" s="537"/>
      <c r="F99" s="537">
        <f t="shared" ref="F99:F104" si="35">ROUND(ROUND(D99,2)*ROUND(E99,2),2)</f>
        <v>0</v>
      </c>
      <c r="G99" s="537">
        <v>10</v>
      </c>
      <c r="H99" s="537">
        <f t="shared" si="22"/>
        <v>0</v>
      </c>
      <c r="I99" s="537">
        <f t="shared" ref="I99:I104" si="36">ROUND(ROUND(G99,2)*ROUND(H99,2),2)</f>
        <v>0</v>
      </c>
      <c r="J99" s="537">
        <v>10</v>
      </c>
      <c r="K99" s="537">
        <f t="shared" si="23"/>
        <v>0</v>
      </c>
      <c r="L99" s="537">
        <f t="shared" ref="L99:L104" si="37">ROUND(ROUND(J99,2)*ROUND(K99,2),2)</f>
        <v>0</v>
      </c>
      <c r="M99" s="537">
        <v>10</v>
      </c>
      <c r="N99" s="537">
        <f t="shared" si="24"/>
        <v>0</v>
      </c>
      <c r="O99" s="537">
        <f t="shared" ref="O99:O104" si="38">ROUND(ROUND(M99,2)*ROUND(N99,2),2)</f>
        <v>0</v>
      </c>
      <c r="P99" s="537"/>
      <c r="Q99" s="548"/>
      <c r="R99" s="539">
        <f t="shared" ref="R99:R104" si="39">ROUND(ROUND(P99,2)*ROUND(Q99,2),2)</f>
        <v>0</v>
      </c>
    </row>
    <row r="100" spans="1:18" ht="15">
      <c r="A100" s="534" t="s">
        <v>110</v>
      </c>
      <c r="B100" s="535"/>
      <c r="C100" s="536"/>
      <c r="D100" s="547">
        <v>1</v>
      </c>
      <c r="E100" s="537"/>
      <c r="F100" s="537">
        <f t="shared" si="35"/>
        <v>0</v>
      </c>
      <c r="G100" s="537">
        <v>1</v>
      </c>
      <c r="H100" s="537">
        <f t="shared" si="22"/>
        <v>0</v>
      </c>
      <c r="I100" s="537">
        <f t="shared" si="36"/>
        <v>0</v>
      </c>
      <c r="J100" s="537">
        <v>1</v>
      </c>
      <c r="K100" s="537">
        <f t="shared" si="23"/>
        <v>0</v>
      </c>
      <c r="L100" s="537">
        <f t="shared" si="37"/>
        <v>0</v>
      </c>
      <c r="M100" s="537">
        <v>1</v>
      </c>
      <c r="N100" s="537">
        <f t="shared" si="24"/>
        <v>0</v>
      </c>
      <c r="O100" s="537">
        <f t="shared" si="38"/>
        <v>0</v>
      </c>
      <c r="P100" s="537"/>
      <c r="Q100" s="548"/>
      <c r="R100" s="539">
        <f t="shared" si="39"/>
        <v>0</v>
      </c>
    </row>
    <row r="101" spans="1:18" ht="15">
      <c r="A101" s="534" t="s">
        <v>111</v>
      </c>
      <c r="B101" s="535"/>
      <c r="C101" s="536"/>
      <c r="D101" s="547">
        <v>8</v>
      </c>
      <c r="E101" s="537"/>
      <c r="F101" s="537">
        <f t="shared" si="35"/>
        <v>0</v>
      </c>
      <c r="G101" s="537">
        <v>8</v>
      </c>
      <c r="H101" s="537">
        <f t="shared" si="22"/>
        <v>0</v>
      </c>
      <c r="I101" s="537">
        <f t="shared" si="36"/>
        <v>0</v>
      </c>
      <c r="J101" s="537">
        <v>8</v>
      </c>
      <c r="K101" s="537">
        <f t="shared" si="23"/>
        <v>0</v>
      </c>
      <c r="L101" s="537">
        <f t="shared" si="37"/>
        <v>0</v>
      </c>
      <c r="M101" s="537">
        <v>8</v>
      </c>
      <c r="N101" s="537">
        <f t="shared" si="24"/>
        <v>0</v>
      </c>
      <c r="O101" s="537">
        <f t="shared" si="38"/>
        <v>0</v>
      </c>
      <c r="P101" s="537"/>
      <c r="Q101" s="548"/>
      <c r="R101" s="539">
        <f t="shared" si="39"/>
        <v>0</v>
      </c>
    </row>
    <row r="102" spans="1:18" ht="15">
      <c r="A102" s="534" t="s">
        <v>631</v>
      </c>
      <c r="B102" s="535"/>
      <c r="C102" s="536"/>
      <c r="D102" s="547">
        <v>12</v>
      </c>
      <c r="E102" s="537"/>
      <c r="F102" s="537">
        <f t="shared" si="35"/>
        <v>0</v>
      </c>
      <c r="G102" s="537">
        <v>12</v>
      </c>
      <c r="H102" s="537">
        <f t="shared" ref="H102:H123" si="40">$E102</f>
        <v>0</v>
      </c>
      <c r="I102" s="537">
        <f t="shared" si="36"/>
        <v>0</v>
      </c>
      <c r="J102" s="537">
        <v>12</v>
      </c>
      <c r="K102" s="537">
        <f t="shared" ref="K102:K123" si="41">$E102</f>
        <v>0</v>
      </c>
      <c r="L102" s="537">
        <f t="shared" si="37"/>
        <v>0</v>
      </c>
      <c r="M102" s="537">
        <v>12</v>
      </c>
      <c r="N102" s="537">
        <f t="shared" ref="N102:N123" si="42">$E102</f>
        <v>0</v>
      </c>
      <c r="O102" s="537">
        <f t="shared" si="38"/>
        <v>0</v>
      </c>
      <c r="P102" s="537"/>
      <c r="Q102" s="548"/>
      <c r="R102" s="539">
        <f t="shared" si="39"/>
        <v>0</v>
      </c>
    </row>
    <row r="103" spans="1:18" ht="15">
      <c r="A103" s="534" t="s">
        <v>632</v>
      </c>
      <c r="B103" s="535"/>
      <c r="C103" s="536"/>
      <c r="D103" s="547">
        <v>20</v>
      </c>
      <c r="E103" s="537"/>
      <c r="F103" s="537">
        <f t="shared" si="35"/>
        <v>0</v>
      </c>
      <c r="G103" s="537">
        <v>20</v>
      </c>
      <c r="H103" s="537">
        <f t="shared" si="40"/>
        <v>0</v>
      </c>
      <c r="I103" s="537">
        <f t="shared" si="36"/>
        <v>0</v>
      </c>
      <c r="J103" s="537">
        <v>20</v>
      </c>
      <c r="K103" s="537">
        <f t="shared" si="41"/>
        <v>0</v>
      </c>
      <c r="L103" s="537">
        <f t="shared" si="37"/>
        <v>0</v>
      </c>
      <c r="M103" s="537">
        <v>20</v>
      </c>
      <c r="N103" s="537">
        <f t="shared" si="42"/>
        <v>0</v>
      </c>
      <c r="O103" s="537">
        <f t="shared" si="38"/>
        <v>0</v>
      </c>
      <c r="P103" s="537"/>
      <c r="Q103" s="548"/>
      <c r="R103" s="539">
        <f t="shared" si="39"/>
        <v>0</v>
      </c>
    </row>
    <row r="104" spans="1:18" ht="15">
      <c r="A104" s="534" t="s">
        <v>633</v>
      </c>
      <c r="B104" s="535"/>
      <c r="C104" s="536"/>
      <c r="D104" s="547">
        <v>13</v>
      </c>
      <c r="E104" s="537"/>
      <c r="F104" s="537">
        <f t="shared" si="35"/>
        <v>0</v>
      </c>
      <c r="G104" s="537">
        <v>13</v>
      </c>
      <c r="H104" s="537">
        <f t="shared" si="40"/>
        <v>0</v>
      </c>
      <c r="I104" s="537">
        <f t="shared" si="36"/>
        <v>0</v>
      </c>
      <c r="J104" s="537">
        <v>13</v>
      </c>
      <c r="K104" s="537">
        <f t="shared" si="41"/>
        <v>0</v>
      </c>
      <c r="L104" s="537">
        <f t="shared" si="37"/>
        <v>0</v>
      </c>
      <c r="M104" s="537">
        <v>13</v>
      </c>
      <c r="N104" s="537">
        <f t="shared" si="42"/>
        <v>0</v>
      </c>
      <c r="O104" s="537">
        <f t="shared" si="38"/>
        <v>0</v>
      </c>
      <c r="P104" s="537"/>
      <c r="Q104" s="548"/>
      <c r="R104" s="539">
        <f t="shared" si="39"/>
        <v>0</v>
      </c>
    </row>
    <row r="105" spans="1:18" ht="15">
      <c r="A105" s="534" t="s">
        <v>635</v>
      </c>
      <c r="B105" s="535"/>
      <c r="C105" s="536"/>
      <c r="D105" s="537">
        <v>100</v>
      </c>
      <c r="E105" s="537"/>
      <c r="F105" s="537">
        <f t="shared" ref="F105:F110" si="43">ROUND(ROUND(D105,2)*ROUND(E105,2),2)</f>
        <v>0</v>
      </c>
      <c r="G105" s="537">
        <v>100</v>
      </c>
      <c r="H105" s="537">
        <f t="shared" si="40"/>
        <v>0</v>
      </c>
      <c r="I105" s="537">
        <f t="shared" ref="I105:I110" si="44">ROUND(ROUND(G105,2)*ROUND(H105,2),2)</f>
        <v>0</v>
      </c>
      <c r="J105" s="537">
        <v>100</v>
      </c>
      <c r="K105" s="537">
        <f t="shared" si="41"/>
        <v>0</v>
      </c>
      <c r="L105" s="537">
        <f t="shared" ref="L105:L110" si="45">ROUND(ROUND(J105,2)*ROUND(K105,2),2)</f>
        <v>0</v>
      </c>
      <c r="M105" s="537">
        <v>100</v>
      </c>
      <c r="N105" s="537">
        <f t="shared" si="42"/>
        <v>0</v>
      </c>
      <c r="O105" s="537">
        <f t="shared" ref="O105:O110" si="46">ROUND(ROUND(M105,2)*ROUND(N105,2),2)</f>
        <v>0</v>
      </c>
      <c r="P105" s="537"/>
      <c r="Q105" s="548"/>
      <c r="R105" s="539">
        <f t="shared" ref="R105:R110" si="47">ROUND(ROUND(P105,2)*ROUND(Q105,2),2)</f>
        <v>0</v>
      </c>
    </row>
    <row r="106" spans="1:18" ht="15">
      <c r="A106" s="534" t="s">
        <v>636</v>
      </c>
      <c r="B106" s="535"/>
      <c r="C106" s="536"/>
      <c r="D106" s="547">
        <v>10</v>
      </c>
      <c r="E106" s="537"/>
      <c r="F106" s="537">
        <f t="shared" si="43"/>
        <v>0</v>
      </c>
      <c r="G106" s="537">
        <v>10</v>
      </c>
      <c r="H106" s="537">
        <f t="shared" si="40"/>
        <v>0</v>
      </c>
      <c r="I106" s="537">
        <f t="shared" si="44"/>
        <v>0</v>
      </c>
      <c r="J106" s="537">
        <v>10</v>
      </c>
      <c r="K106" s="537">
        <f t="shared" si="41"/>
        <v>0</v>
      </c>
      <c r="L106" s="537">
        <f t="shared" si="45"/>
        <v>0</v>
      </c>
      <c r="M106" s="537">
        <v>10</v>
      </c>
      <c r="N106" s="537">
        <f t="shared" si="42"/>
        <v>0</v>
      </c>
      <c r="O106" s="537">
        <f t="shared" si="46"/>
        <v>0</v>
      </c>
      <c r="P106" s="537"/>
      <c r="Q106" s="548"/>
      <c r="R106" s="539">
        <f t="shared" si="47"/>
        <v>0</v>
      </c>
    </row>
    <row r="107" spans="1:18" ht="15">
      <c r="A107" s="534" t="s">
        <v>637</v>
      </c>
      <c r="B107" s="535"/>
      <c r="C107" s="536"/>
      <c r="D107" s="547">
        <v>5</v>
      </c>
      <c r="E107" s="537"/>
      <c r="F107" s="537">
        <f t="shared" si="43"/>
        <v>0</v>
      </c>
      <c r="G107" s="537">
        <v>5</v>
      </c>
      <c r="H107" s="537">
        <f t="shared" si="40"/>
        <v>0</v>
      </c>
      <c r="I107" s="537">
        <f t="shared" si="44"/>
        <v>0</v>
      </c>
      <c r="J107" s="537">
        <v>5</v>
      </c>
      <c r="K107" s="537">
        <f t="shared" si="41"/>
        <v>0</v>
      </c>
      <c r="L107" s="537">
        <f t="shared" si="45"/>
        <v>0</v>
      </c>
      <c r="M107" s="537">
        <v>5</v>
      </c>
      <c r="N107" s="537">
        <f t="shared" si="42"/>
        <v>0</v>
      </c>
      <c r="O107" s="537">
        <f t="shared" si="46"/>
        <v>0</v>
      </c>
      <c r="P107" s="537"/>
      <c r="Q107" s="548"/>
      <c r="R107" s="539">
        <f t="shared" si="47"/>
        <v>0</v>
      </c>
    </row>
    <row r="108" spans="1:18" ht="15">
      <c r="A108" s="534" t="s">
        <v>638</v>
      </c>
      <c r="B108" s="535"/>
      <c r="C108" s="536"/>
      <c r="D108" s="547">
        <v>5</v>
      </c>
      <c r="E108" s="537"/>
      <c r="F108" s="537">
        <f t="shared" si="43"/>
        <v>0</v>
      </c>
      <c r="G108" s="537">
        <v>5</v>
      </c>
      <c r="H108" s="537">
        <f t="shared" si="40"/>
        <v>0</v>
      </c>
      <c r="I108" s="537">
        <f t="shared" si="44"/>
        <v>0</v>
      </c>
      <c r="J108" s="537">
        <v>5</v>
      </c>
      <c r="K108" s="537">
        <f t="shared" si="41"/>
        <v>0</v>
      </c>
      <c r="L108" s="537">
        <f t="shared" si="45"/>
        <v>0</v>
      </c>
      <c r="M108" s="537">
        <v>5</v>
      </c>
      <c r="N108" s="537">
        <f t="shared" si="42"/>
        <v>0</v>
      </c>
      <c r="O108" s="537">
        <f t="shared" si="46"/>
        <v>0</v>
      </c>
      <c r="P108" s="537"/>
      <c r="Q108" s="548"/>
      <c r="R108" s="539">
        <f t="shared" si="47"/>
        <v>0</v>
      </c>
    </row>
    <row r="109" spans="1:18" ht="15">
      <c r="A109" s="534" t="s">
        <v>639</v>
      </c>
      <c r="B109" s="535"/>
      <c r="C109" s="536"/>
      <c r="D109" s="547">
        <v>5</v>
      </c>
      <c r="E109" s="537"/>
      <c r="F109" s="537">
        <f t="shared" si="43"/>
        <v>0</v>
      </c>
      <c r="G109" s="537">
        <v>5</v>
      </c>
      <c r="H109" s="537">
        <f t="shared" si="40"/>
        <v>0</v>
      </c>
      <c r="I109" s="537">
        <f t="shared" si="44"/>
        <v>0</v>
      </c>
      <c r="J109" s="537">
        <v>5</v>
      </c>
      <c r="K109" s="537">
        <f t="shared" si="41"/>
        <v>0</v>
      </c>
      <c r="L109" s="537">
        <f t="shared" si="45"/>
        <v>0</v>
      </c>
      <c r="M109" s="537">
        <v>5</v>
      </c>
      <c r="N109" s="537">
        <f t="shared" si="42"/>
        <v>0</v>
      </c>
      <c r="O109" s="537">
        <f t="shared" si="46"/>
        <v>0</v>
      </c>
      <c r="P109" s="537"/>
      <c r="Q109" s="548"/>
      <c r="R109" s="539">
        <f t="shared" si="47"/>
        <v>0</v>
      </c>
    </row>
    <row r="110" spans="1:18" ht="15">
      <c r="A110" s="534" t="s">
        <v>640</v>
      </c>
      <c r="B110" s="535"/>
      <c r="C110" s="536"/>
      <c r="D110" s="547">
        <v>5</v>
      </c>
      <c r="E110" s="537"/>
      <c r="F110" s="537">
        <f t="shared" si="43"/>
        <v>0</v>
      </c>
      <c r="G110" s="537">
        <v>5</v>
      </c>
      <c r="H110" s="537">
        <f t="shared" si="40"/>
        <v>0</v>
      </c>
      <c r="I110" s="537">
        <f t="shared" si="44"/>
        <v>0</v>
      </c>
      <c r="J110" s="537">
        <v>5</v>
      </c>
      <c r="K110" s="537">
        <f t="shared" si="41"/>
        <v>0</v>
      </c>
      <c r="L110" s="537">
        <f t="shared" si="45"/>
        <v>0</v>
      </c>
      <c r="M110" s="537">
        <v>5</v>
      </c>
      <c r="N110" s="537">
        <f t="shared" si="42"/>
        <v>0</v>
      </c>
      <c r="O110" s="537">
        <f t="shared" si="46"/>
        <v>0</v>
      </c>
      <c r="P110" s="537"/>
      <c r="Q110" s="548"/>
      <c r="R110" s="539">
        <f t="shared" si="47"/>
        <v>0</v>
      </c>
    </row>
    <row r="111" spans="1:18" ht="15">
      <c r="A111" s="528" t="s">
        <v>112</v>
      </c>
      <c r="B111" s="529" t="s">
        <v>603</v>
      </c>
      <c r="C111" s="530"/>
      <c r="D111" s="531">
        <v>0</v>
      </c>
      <c r="E111" s="531"/>
      <c r="F111" s="531" t="e">
        <f>#REF!+#REF!+#REF!+#REF!</f>
        <v>#REF!</v>
      </c>
      <c r="G111" s="531">
        <v>0</v>
      </c>
      <c r="H111" s="531">
        <f t="shared" si="40"/>
        <v>0</v>
      </c>
      <c r="I111" s="531" t="e">
        <f>#REF!+#REF!+#REF!+#REF!</f>
        <v>#REF!</v>
      </c>
      <c r="J111" s="531">
        <v>0</v>
      </c>
      <c r="K111" s="531">
        <f t="shared" si="41"/>
        <v>0</v>
      </c>
      <c r="L111" s="531" t="e">
        <f>#REF!+#REF!+#REF!+#REF!</f>
        <v>#REF!</v>
      </c>
      <c r="M111" s="531">
        <v>0</v>
      </c>
      <c r="N111" s="531">
        <f t="shared" si="42"/>
        <v>0</v>
      </c>
      <c r="O111" s="531" t="e">
        <f>#REF!+#REF!+#REF!+#REF!</f>
        <v>#REF!</v>
      </c>
      <c r="P111" s="531"/>
      <c r="Q111" s="532"/>
      <c r="R111" s="533">
        <f>SUM(R112:R120)</f>
        <v>0</v>
      </c>
    </row>
    <row r="112" spans="1:18" ht="15">
      <c r="A112" s="534" t="s">
        <v>113</v>
      </c>
      <c r="B112" s="535" t="s">
        <v>820</v>
      </c>
      <c r="C112" s="542"/>
      <c r="D112" s="549">
        <v>30</v>
      </c>
      <c r="E112" s="543"/>
      <c r="F112" s="543">
        <f>ROUND(ROUND(D112,2)*ROUND(E112,2),2)</f>
        <v>0</v>
      </c>
      <c r="G112" s="543">
        <v>30</v>
      </c>
      <c r="H112" s="543">
        <f t="shared" si="40"/>
        <v>0</v>
      </c>
      <c r="I112" s="543">
        <f>ROUND(ROUND(G112,2)*ROUND(H112,2),2)</f>
        <v>0</v>
      </c>
      <c r="J112" s="543">
        <v>30</v>
      </c>
      <c r="K112" s="543">
        <f t="shared" si="41"/>
        <v>0</v>
      </c>
      <c r="L112" s="543">
        <f>ROUND(ROUND(J112,2)*ROUND(K112,2),2)</f>
        <v>0</v>
      </c>
      <c r="M112" s="543">
        <v>30</v>
      </c>
      <c r="N112" s="543">
        <f t="shared" si="42"/>
        <v>0</v>
      </c>
      <c r="O112" s="543">
        <f>ROUND(ROUND(M112,2)*ROUND(N112,2),2)</f>
        <v>0</v>
      </c>
      <c r="P112" s="543"/>
      <c r="Q112" s="544"/>
      <c r="R112" s="545">
        <f>ROUND(ROUND(P112,2)*ROUND(Q112,2),2)</f>
        <v>0</v>
      </c>
    </row>
    <row r="113" spans="1:18" ht="15">
      <c r="A113" s="534" t="s">
        <v>114</v>
      </c>
      <c r="B113" s="535"/>
      <c r="C113" s="542"/>
      <c r="D113" s="549">
        <v>50</v>
      </c>
      <c r="E113" s="543"/>
      <c r="F113" s="543">
        <f>ROUND(ROUND(D113,2)*ROUND(E113,2),2)</f>
        <v>0</v>
      </c>
      <c r="G113" s="543">
        <v>50</v>
      </c>
      <c r="H113" s="543">
        <f t="shared" si="40"/>
        <v>0</v>
      </c>
      <c r="I113" s="543">
        <f>ROUND(ROUND(G113,2)*ROUND(H113,2),2)</f>
        <v>0</v>
      </c>
      <c r="J113" s="543">
        <v>50</v>
      </c>
      <c r="K113" s="543">
        <f t="shared" si="41"/>
        <v>0</v>
      </c>
      <c r="L113" s="543">
        <f>ROUND(ROUND(J113,2)*ROUND(K113,2),2)</f>
        <v>0</v>
      </c>
      <c r="M113" s="543">
        <v>50</v>
      </c>
      <c r="N113" s="543">
        <f t="shared" si="42"/>
        <v>0</v>
      </c>
      <c r="O113" s="543">
        <f>ROUND(ROUND(M113,2)*ROUND(N113,2),2)</f>
        <v>0</v>
      </c>
      <c r="P113" s="543"/>
      <c r="Q113" s="544"/>
      <c r="R113" s="545">
        <f>ROUND(ROUND(P113,2)*ROUND(Q113,2),2)</f>
        <v>0</v>
      </c>
    </row>
    <row r="114" spans="1:18" ht="15">
      <c r="A114" s="534" t="s">
        <v>115</v>
      </c>
      <c r="B114" s="535"/>
      <c r="C114" s="542"/>
      <c r="D114" s="549">
        <v>500</v>
      </c>
      <c r="E114" s="543"/>
      <c r="F114" s="543">
        <f>ROUND(ROUND(D114,2)*ROUND(E114,2),2)</f>
        <v>0</v>
      </c>
      <c r="G114" s="543">
        <v>200</v>
      </c>
      <c r="H114" s="543">
        <f t="shared" si="40"/>
        <v>0</v>
      </c>
      <c r="I114" s="543">
        <f>ROUND(ROUND(G114,2)*ROUND(H114,2),2)</f>
        <v>0</v>
      </c>
      <c r="J114" s="543">
        <v>200</v>
      </c>
      <c r="K114" s="543">
        <f t="shared" si="41"/>
        <v>0</v>
      </c>
      <c r="L114" s="543">
        <f>ROUND(ROUND(J114,2)*ROUND(K114,2),2)</f>
        <v>0</v>
      </c>
      <c r="M114" s="543">
        <v>200</v>
      </c>
      <c r="N114" s="543">
        <f t="shared" si="42"/>
        <v>0</v>
      </c>
      <c r="O114" s="543">
        <f>ROUND(ROUND(M114,2)*ROUND(N114,2),2)</f>
        <v>0</v>
      </c>
      <c r="P114" s="543"/>
      <c r="Q114" s="544"/>
      <c r="R114" s="545">
        <f>ROUND(ROUND(P114,2)*ROUND(Q114,2),2)</f>
        <v>0</v>
      </c>
    </row>
    <row r="115" spans="1:18" ht="15">
      <c r="A115" s="534" t="s">
        <v>116</v>
      </c>
      <c r="B115" s="535"/>
      <c r="C115" s="542"/>
      <c r="D115" s="543">
        <v>0</v>
      </c>
      <c r="E115" s="543"/>
      <c r="F115" s="543">
        <f>ROUND(ROUND(D115,2)*ROUND(E115,2),2)</f>
        <v>0</v>
      </c>
      <c r="G115" s="543">
        <v>0</v>
      </c>
      <c r="H115" s="543">
        <f t="shared" si="40"/>
        <v>0</v>
      </c>
      <c r="I115" s="543">
        <f>ROUND(ROUND(G115,2)*ROUND(H115,2),2)</f>
        <v>0</v>
      </c>
      <c r="J115" s="543">
        <v>0</v>
      </c>
      <c r="K115" s="543">
        <f t="shared" si="41"/>
        <v>0</v>
      </c>
      <c r="L115" s="543">
        <f>ROUND(ROUND(J115,2)*ROUND(K115,2),2)</f>
        <v>0</v>
      </c>
      <c r="M115" s="543">
        <v>0</v>
      </c>
      <c r="N115" s="543">
        <f t="shared" si="42"/>
        <v>0</v>
      </c>
      <c r="O115" s="543">
        <f>ROUND(ROUND(M115,2)*ROUND(N115,2),2)</f>
        <v>0</v>
      </c>
      <c r="P115" s="543"/>
      <c r="Q115" s="544"/>
      <c r="R115" s="545">
        <f>ROUND(ROUND(P115,2)*ROUND(Q115,2),2)</f>
        <v>0</v>
      </c>
    </row>
    <row r="116" spans="1:18" ht="15">
      <c r="A116" s="534" t="s">
        <v>642</v>
      </c>
      <c r="B116" s="535"/>
      <c r="C116" s="542"/>
      <c r="D116" s="543">
        <v>0</v>
      </c>
      <c r="E116" s="543"/>
      <c r="F116" s="543">
        <f>ROUND(ROUND(D116,2)*ROUND(E116,2),2)</f>
        <v>0</v>
      </c>
      <c r="G116" s="543">
        <v>0</v>
      </c>
      <c r="H116" s="543">
        <f t="shared" si="40"/>
        <v>0</v>
      </c>
      <c r="I116" s="543">
        <f>ROUND(ROUND(G116,2)*ROUND(H116,2),2)</f>
        <v>0</v>
      </c>
      <c r="J116" s="543">
        <v>0</v>
      </c>
      <c r="K116" s="543">
        <f t="shared" si="41"/>
        <v>0</v>
      </c>
      <c r="L116" s="543">
        <f>ROUND(ROUND(J116,2)*ROUND(K116,2),2)</f>
        <v>0</v>
      </c>
      <c r="M116" s="543">
        <v>0</v>
      </c>
      <c r="N116" s="543">
        <f t="shared" si="42"/>
        <v>0</v>
      </c>
      <c r="O116" s="543">
        <f>ROUND(ROUND(M116,2)*ROUND(N116,2),2)</f>
        <v>0</v>
      </c>
      <c r="P116" s="543"/>
      <c r="Q116" s="544"/>
      <c r="R116" s="545">
        <f>ROUND(ROUND(P116,2)*ROUND(Q116,2),2)</f>
        <v>0</v>
      </c>
    </row>
    <row r="117" spans="1:18" ht="15">
      <c r="A117" s="553" t="s">
        <v>643</v>
      </c>
      <c r="B117" s="558"/>
      <c r="C117" s="554"/>
      <c r="D117" s="555"/>
      <c r="E117" s="555"/>
      <c r="F117" s="555"/>
      <c r="G117" s="555"/>
      <c r="H117" s="555"/>
      <c r="I117" s="555"/>
      <c r="J117" s="555"/>
      <c r="K117" s="555"/>
      <c r="L117" s="555"/>
      <c r="M117" s="555"/>
      <c r="N117" s="555"/>
      <c r="O117" s="555"/>
      <c r="P117" s="555"/>
      <c r="Q117" s="556"/>
      <c r="R117" s="557"/>
    </row>
    <row r="118" spans="1:18" ht="15">
      <c r="A118" s="553" t="s">
        <v>644</v>
      </c>
      <c r="B118" s="559"/>
      <c r="C118" s="560"/>
      <c r="D118" s="561">
        <v>120</v>
      </c>
      <c r="E118" s="562"/>
      <c r="F118" s="562">
        <f>ROUND(ROUND(D118,2)*ROUND(E118,2),2)</f>
        <v>0</v>
      </c>
      <c r="G118" s="561">
        <v>120</v>
      </c>
      <c r="H118" s="562">
        <f t="shared" si="40"/>
        <v>0</v>
      </c>
      <c r="I118" s="562">
        <f>ROUND(ROUND(G118,2)*ROUND(H118,2),2)</f>
        <v>0</v>
      </c>
      <c r="J118" s="561">
        <v>120</v>
      </c>
      <c r="K118" s="562">
        <f t="shared" si="41"/>
        <v>0</v>
      </c>
      <c r="L118" s="562">
        <f>ROUND(ROUND(J118,2)*ROUND(K118,2),2)</f>
        <v>0</v>
      </c>
      <c r="M118" s="561">
        <v>120</v>
      </c>
      <c r="N118" s="562">
        <f t="shared" si="42"/>
        <v>0</v>
      </c>
      <c r="O118" s="562">
        <f>ROUND(ROUND(M118,2)*ROUND(N118,2),2)</f>
        <v>0</v>
      </c>
      <c r="P118" s="561"/>
      <c r="Q118" s="563">
        <v>0</v>
      </c>
      <c r="R118" s="564">
        <f>ROUND(ROUND(P118,2)*ROUND(Q118,2),2)</f>
        <v>0</v>
      </c>
    </row>
    <row r="119" spans="1:18" ht="15">
      <c r="A119" s="534" t="s">
        <v>645</v>
      </c>
      <c r="B119" s="535"/>
      <c r="C119" s="542"/>
      <c r="D119" s="543">
        <v>10</v>
      </c>
      <c r="E119" s="543"/>
      <c r="F119" s="543">
        <f>ROUND(ROUND(D119,2)*ROUND(E119,2),2)</f>
        <v>0</v>
      </c>
      <c r="G119" s="543">
        <v>10</v>
      </c>
      <c r="H119" s="543">
        <f t="shared" si="40"/>
        <v>0</v>
      </c>
      <c r="I119" s="543">
        <f>ROUND(ROUND(G119,2)*ROUND(H119,2),2)</f>
        <v>0</v>
      </c>
      <c r="J119" s="543">
        <v>10</v>
      </c>
      <c r="K119" s="543">
        <f t="shared" si="41"/>
        <v>0</v>
      </c>
      <c r="L119" s="543">
        <f>ROUND(ROUND(J119,2)*ROUND(K119,2),2)</f>
        <v>0</v>
      </c>
      <c r="M119" s="543">
        <v>10</v>
      </c>
      <c r="N119" s="543">
        <f t="shared" si="42"/>
        <v>0</v>
      </c>
      <c r="O119" s="543">
        <f>ROUND(ROUND(M119,2)*ROUND(N119,2),2)</f>
        <v>0</v>
      </c>
      <c r="P119" s="543"/>
      <c r="Q119" s="544"/>
      <c r="R119" s="545">
        <f>ROUND(ROUND(P119,2)*ROUND(Q119,2),2)</f>
        <v>0</v>
      </c>
    </row>
    <row r="120" spans="1:18" ht="15">
      <c r="A120" s="534" t="s">
        <v>646</v>
      </c>
      <c r="B120" s="535"/>
      <c r="C120" s="542"/>
      <c r="D120" s="543">
        <v>700</v>
      </c>
      <c r="E120" s="543"/>
      <c r="F120" s="543">
        <f>ROUND(ROUND(D120,2)*ROUND(E120,2),2)</f>
        <v>0</v>
      </c>
      <c r="G120" s="543">
        <v>700</v>
      </c>
      <c r="H120" s="543">
        <f t="shared" si="40"/>
        <v>0</v>
      </c>
      <c r="I120" s="543">
        <f>ROUND(ROUND(G120,2)*ROUND(H120,2),2)</f>
        <v>0</v>
      </c>
      <c r="J120" s="543">
        <v>700</v>
      </c>
      <c r="K120" s="543">
        <f t="shared" si="41"/>
        <v>0</v>
      </c>
      <c r="L120" s="543">
        <f>ROUND(ROUND(J120,2)*ROUND(K120,2),2)</f>
        <v>0</v>
      </c>
      <c r="M120" s="543">
        <v>700</v>
      </c>
      <c r="N120" s="543">
        <f t="shared" si="42"/>
        <v>0</v>
      </c>
      <c r="O120" s="543">
        <f>ROUND(ROUND(M120,2)*ROUND(N120,2),2)</f>
        <v>0</v>
      </c>
      <c r="P120" s="543"/>
      <c r="Q120" s="544"/>
      <c r="R120" s="545">
        <f>ROUND(ROUND(P120,2)*ROUND(Q120,2),2)</f>
        <v>0</v>
      </c>
    </row>
    <row r="121" spans="1:18" ht="15">
      <c r="A121" s="528" t="s">
        <v>117</v>
      </c>
      <c r="B121" s="529" t="s">
        <v>603</v>
      </c>
      <c r="C121" s="530"/>
      <c r="D121" s="531">
        <v>0</v>
      </c>
      <c r="E121" s="531"/>
      <c r="F121" s="531">
        <f>SUM(F122:F123)</f>
        <v>0</v>
      </c>
      <c r="G121" s="531">
        <v>0</v>
      </c>
      <c r="H121" s="531">
        <f t="shared" si="40"/>
        <v>0</v>
      </c>
      <c r="I121" s="531">
        <f>SUM(I122:I123)</f>
        <v>0</v>
      </c>
      <c r="J121" s="531">
        <v>0</v>
      </c>
      <c r="K121" s="531">
        <f t="shared" si="41"/>
        <v>0</v>
      </c>
      <c r="L121" s="531">
        <f>SUM(L122:L123)</f>
        <v>0</v>
      </c>
      <c r="M121" s="531">
        <v>0</v>
      </c>
      <c r="N121" s="531">
        <f t="shared" si="42"/>
        <v>0</v>
      </c>
      <c r="O121" s="531">
        <f>SUM(O122:O123)</f>
        <v>0</v>
      </c>
      <c r="P121" s="531"/>
      <c r="Q121" s="532"/>
      <c r="R121" s="533">
        <f>SUM(R122:R130)</f>
        <v>0</v>
      </c>
    </row>
    <row r="122" spans="1:18" ht="15">
      <c r="A122" s="534" t="s">
        <v>118</v>
      </c>
      <c r="B122" s="535" t="s">
        <v>820</v>
      </c>
      <c r="C122" s="542"/>
      <c r="D122" s="543">
        <v>0</v>
      </c>
      <c r="E122" s="543"/>
      <c r="F122" s="543">
        <f>ROUND(ROUND(D122,2)*ROUND(E122,2),2)</f>
        <v>0</v>
      </c>
      <c r="G122" s="543">
        <v>0</v>
      </c>
      <c r="H122" s="543">
        <f t="shared" si="40"/>
        <v>0</v>
      </c>
      <c r="I122" s="543">
        <f>ROUND(ROUND(G122,2)*ROUND(H122,2),2)</f>
        <v>0</v>
      </c>
      <c r="J122" s="543">
        <v>0</v>
      </c>
      <c r="K122" s="543">
        <f t="shared" si="41"/>
        <v>0</v>
      </c>
      <c r="L122" s="543">
        <f>ROUND(ROUND(J122,2)*ROUND(K122,2),2)</f>
        <v>0</v>
      </c>
      <c r="M122" s="543">
        <v>0</v>
      </c>
      <c r="N122" s="543">
        <f t="shared" si="42"/>
        <v>0</v>
      </c>
      <c r="O122" s="543">
        <f>ROUND(ROUND(M122,2)*ROUND(N122,2),2)</f>
        <v>0</v>
      </c>
      <c r="P122" s="543"/>
      <c r="Q122" s="550"/>
      <c r="R122" s="545">
        <f>ROUND(ROUND(P122,2)*ROUND(Q122,2),2)</f>
        <v>0</v>
      </c>
    </row>
    <row r="123" spans="1:18" ht="15">
      <c r="A123" s="534" t="s">
        <v>119</v>
      </c>
      <c r="B123" s="535"/>
      <c r="C123" s="542"/>
      <c r="D123" s="543">
        <v>133</v>
      </c>
      <c r="E123" s="543"/>
      <c r="F123" s="543">
        <f>ROUND(ROUND(D123,2)*ROUND(E123,2),2)</f>
        <v>0</v>
      </c>
      <c r="G123" s="543">
        <v>133</v>
      </c>
      <c r="H123" s="543">
        <f t="shared" si="40"/>
        <v>0</v>
      </c>
      <c r="I123" s="543">
        <f>ROUND(ROUND(G123,2)*ROUND(H123,2),2)</f>
        <v>0</v>
      </c>
      <c r="J123" s="543">
        <v>133</v>
      </c>
      <c r="K123" s="543">
        <f t="shared" si="41"/>
        <v>0</v>
      </c>
      <c r="L123" s="543">
        <f>ROUND(ROUND(J123,2)*ROUND(K123,2),2)</f>
        <v>0</v>
      </c>
      <c r="M123" s="543">
        <v>133</v>
      </c>
      <c r="N123" s="543">
        <f t="shared" si="42"/>
        <v>0</v>
      </c>
      <c r="O123" s="543">
        <f>ROUND(ROUND(M123,2)*ROUND(N123,2),2)</f>
        <v>0</v>
      </c>
      <c r="P123" s="543"/>
      <c r="Q123" s="550"/>
      <c r="R123" s="545">
        <f>ROUND(ROUND(P123,2)*ROUND(Q123,2),2)</f>
        <v>0</v>
      </c>
    </row>
    <row r="124" spans="1:18" ht="15">
      <c r="A124" s="579" t="s">
        <v>120</v>
      </c>
      <c r="B124" s="535"/>
      <c r="C124" s="567"/>
      <c r="D124" s="568"/>
      <c r="E124" s="568"/>
      <c r="F124" s="568"/>
      <c r="G124" s="568"/>
      <c r="H124" s="568"/>
      <c r="I124" s="568"/>
      <c r="J124" s="568"/>
      <c r="K124" s="568"/>
      <c r="L124" s="568"/>
      <c r="M124" s="568"/>
      <c r="N124" s="568"/>
      <c r="O124" s="568"/>
      <c r="P124" s="568"/>
      <c r="Q124" s="569"/>
      <c r="R124" s="570"/>
    </row>
    <row r="125" spans="1:18" ht="15">
      <c r="A125" s="576" t="s">
        <v>647</v>
      </c>
      <c r="B125" s="571"/>
      <c r="C125" s="572"/>
      <c r="D125" s="573"/>
      <c r="E125" s="573"/>
      <c r="F125" s="573"/>
      <c r="G125" s="573"/>
      <c r="H125" s="573"/>
      <c r="I125" s="573"/>
      <c r="J125" s="573"/>
      <c r="K125" s="573"/>
      <c r="L125" s="573"/>
      <c r="M125" s="573"/>
      <c r="N125" s="573"/>
      <c r="O125" s="573"/>
      <c r="P125" s="573"/>
      <c r="Q125" s="574"/>
      <c r="R125" s="575"/>
    </row>
    <row r="126" spans="1:18" ht="15">
      <c r="A126" s="576" t="s">
        <v>648</v>
      </c>
      <c r="B126" s="535"/>
      <c r="C126" s="542"/>
      <c r="D126" s="543"/>
      <c r="E126" s="543"/>
      <c r="F126" s="543"/>
      <c r="G126" s="543"/>
      <c r="H126" s="543"/>
      <c r="I126" s="543"/>
      <c r="J126" s="543"/>
      <c r="K126" s="543"/>
      <c r="L126" s="543"/>
      <c r="M126" s="543"/>
      <c r="N126" s="543"/>
      <c r="O126" s="543"/>
      <c r="P126" s="543"/>
      <c r="Q126" s="550"/>
      <c r="R126" s="577"/>
    </row>
    <row r="127" spans="1:18" ht="15">
      <c r="A127" s="576" t="s">
        <v>649</v>
      </c>
      <c r="B127" s="535"/>
      <c r="C127" s="542"/>
      <c r="D127" s="543"/>
      <c r="E127" s="543"/>
      <c r="F127" s="543"/>
      <c r="G127" s="543"/>
      <c r="H127" s="543"/>
      <c r="I127" s="543"/>
      <c r="J127" s="543"/>
      <c r="K127" s="543"/>
      <c r="L127" s="543"/>
      <c r="M127" s="543"/>
      <c r="N127" s="543"/>
      <c r="O127" s="543"/>
      <c r="P127" s="543"/>
      <c r="Q127" s="550"/>
      <c r="R127" s="577"/>
    </row>
    <row r="128" spans="1:18" ht="15">
      <c r="A128" s="576" t="s">
        <v>650</v>
      </c>
      <c r="B128" s="535"/>
      <c r="C128" s="542"/>
      <c r="D128" s="543"/>
      <c r="E128" s="543"/>
      <c r="F128" s="543"/>
      <c r="G128" s="543"/>
      <c r="H128" s="543"/>
      <c r="I128" s="543"/>
      <c r="J128" s="543"/>
      <c r="K128" s="543"/>
      <c r="L128" s="543"/>
      <c r="M128" s="543"/>
      <c r="N128" s="543"/>
      <c r="O128" s="543"/>
      <c r="P128" s="543"/>
      <c r="Q128" s="550"/>
      <c r="R128" s="577"/>
    </row>
    <row r="129" spans="1:18" ht="15">
      <c r="A129" s="576" t="s">
        <v>651</v>
      </c>
      <c r="B129" s="535"/>
      <c r="C129" s="542"/>
      <c r="D129" s="543"/>
      <c r="E129" s="543"/>
      <c r="F129" s="543"/>
      <c r="G129" s="543"/>
      <c r="H129" s="543"/>
      <c r="I129" s="543"/>
      <c r="J129" s="543"/>
      <c r="K129" s="543"/>
      <c r="L129" s="543"/>
      <c r="M129" s="543"/>
      <c r="N129" s="543"/>
      <c r="O129" s="543"/>
      <c r="P129" s="543"/>
      <c r="Q129" s="550"/>
      <c r="R129" s="577"/>
    </row>
    <row r="130" spans="1:18" ht="15">
      <c r="A130" s="576" t="s">
        <v>652</v>
      </c>
      <c r="B130" s="535"/>
      <c r="C130" s="542"/>
      <c r="D130" s="543"/>
      <c r="E130" s="543"/>
      <c r="F130" s="543"/>
      <c r="G130" s="543"/>
      <c r="H130" s="543"/>
      <c r="I130" s="543"/>
      <c r="J130" s="543"/>
      <c r="K130" s="543"/>
      <c r="L130" s="543"/>
      <c r="M130" s="543"/>
      <c r="N130" s="543"/>
      <c r="O130" s="543"/>
      <c r="P130" s="543"/>
      <c r="Q130" s="550"/>
      <c r="R130" s="577"/>
    </row>
    <row r="131" spans="1:18" ht="15">
      <c r="A131" s="576"/>
      <c r="B131" s="535"/>
      <c r="C131" s="542"/>
      <c r="D131" s="543"/>
      <c r="E131" s="543"/>
      <c r="F131" s="543"/>
      <c r="G131" s="543"/>
      <c r="H131" s="543"/>
      <c r="I131" s="543"/>
      <c r="J131" s="543"/>
      <c r="K131" s="543"/>
      <c r="L131" s="543"/>
      <c r="M131" s="543"/>
      <c r="N131" s="543"/>
      <c r="O131" s="543"/>
      <c r="P131" s="543" t="s">
        <v>121</v>
      </c>
      <c r="Q131" s="550"/>
      <c r="R131" s="577">
        <f>R8+R28+R45+R54+R64+R74+R81+R89+R98+R111+R121</f>
        <v>0</v>
      </c>
    </row>
    <row r="132" spans="1:18" s="416" customFormat="1" ht="15" customHeight="1">
      <c r="A132" s="580"/>
      <c r="B132" s="566"/>
      <c r="C132" s="567"/>
      <c r="D132" s="568"/>
      <c r="E132" s="568"/>
      <c r="F132" s="568"/>
      <c r="G132" s="568"/>
      <c r="H132" s="568"/>
      <c r="I132" s="568"/>
      <c r="J132" s="568"/>
      <c r="K132" s="568"/>
      <c r="L132" s="568"/>
      <c r="M132" s="568"/>
      <c r="N132" s="568"/>
      <c r="O132" s="568"/>
      <c r="P132" s="568"/>
      <c r="Q132" s="569"/>
      <c r="R132" s="570"/>
    </row>
    <row r="133" spans="1:18" ht="15">
      <c r="A133" s="565"/>
      <c r="B133" s="566"/>
      <c r="C133" s="567"/>
      <c r="D133" s="568"/>
      <c r="E133" s="568"/>
      <c r="F133" s="568"/>
      <c r="G133" s="568"/>
      <c r="H133" s="568"/>
      <c r="I133" s="568"/>
      <c r="J133" s="568"/>
      <c r="K133" s="568"/>
      <c r="L133" s="568"/>
      <c r="M133" s="568"/>
      <c r="N133" s="568"/>
      <c r="O133" s="568"/>
      <c r="P133" s="568"/>
      <c r="Q133" s="569"/>
      <c r="R133" s="570"/>
    </row>
    <row r="134" spans="1:18" ht="15">
      <c r="A134" s="565"/>
      <c r="B134" s="600" t="s">
        <v>260</v>
      </c>
      <c r="C134" s="567"/>
      <c r="D134" s="568"/>
      <c r="E134" s="568"/>
      <c r="F134" s="568"/>
      <c r="G134" s="568"/>
      <c r="H134" s="568"/>
      <c r="I134" s="568"/>
      <c r="J134" s="568"/>
      <c r="K134" s="568"/>
      <c r="L134" s="568"/>
      <c r="M134" s="568"/>
      <c r="N134" s="568"/>
      <c r="O134" s="568"/>
      <c r="P134" s="568" t="s">
        <v>261</v>
      </c>
      <c r="Q134" s="569"/>
      <c r="R134" s="570"/>
    </row>
    <row r="136" spans="1:18">
      <c r="B136" s="439" t="s">
        <v>816</v>
      </c>
      <c r="P136" s="412" t="s">
        <v>815</v>
      </c>
    </row>
  </sheetData>
  <mergeCells count="9">
    <mergeCell ref="P5:R5"/>
    <mergeCell ref="A1:B1"/>
    <mergeCell ref="A3:C3"/>
    <mergeCell ref="M5:O5"/>
    <mergeCell ref="G5:I5"/>
    <mergeCell ref="J5:L5"/>
    <mergeCell ref="D5:F5"/>
    <mergeCell ref="A2:B2"/>
    <mergeCell ref="Q1:R1"/>
  </mergeCells>
  <phoneticPr fontId="44" type="noConversion"/>
  <printOptions horizontalCentered="1"/>
  <pageMargins left="0" right="0" top="0.39370078740157483" bottom="0.39370078740157483" header="0.19685039370078741" footer="0.19685039370078741"/>
  <pageSetup paperSize="9" scale="80" fitToWidth="0" fitToHeight="13" orientation="portrait" r:id="rId1"/>
  <headerFooter alignWithMargins="0">
    <oddHeader>&amp;C&amp;5REDOVITO ODRŽAVANJE OBJEKATA U VLASNIŠTVU OPĆINE PERUŠIĆ</oddHeader>
    <oddFooter>&amp;L&amp;5&amp;F&amp;R&amp;5&amp;P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60"/>
  </sheetPr>
  <dimension ref="A1:R117"/>
  <sheetViews>
    <sheetView showZeros="0" view="pageLayout" topLeftCell="A31" zoomScaleNormal="100" zoomScaleSheetLayoutView="115" workbookViewId="0">
      <selection activeCell="B46" sqref="B46:B54"/>
    </sheetView>
  </sheetViews>
  <sheetFormatPr defaultRowHeight="12.75"/>
  <cols>
    <col min="1" max="1" width="7.140625" style="410" customWidth="1"/>
    <col min="2" max="2" width="74.140625" style="439" customWidth="1"/>
    <col min="3" max="3" width="8.5703125" style="411" customWidth="1"/>
    <col min="4" max="4" width="10.7109375" style="412" hidden="1" customWidth="1"/>
    <col min="5" max="5" width="10.7109375" style="413" hidden="1" customWidth="1"/>
    <col min="6" max="6" width="15.7109375" style="413" hidden="1" customWidth="1"/>
    <col min="7" max="7" width="10.7109375" style="412" hidden="1" customWidth="1"/>
    <col min="8" max="8" width="10.7109375" style="413" hidden="1" customWidth="1"/>
    <col min="9" max="9" width="15.7109375" style="413" hidden="1" customWidth="1"/>
    <col min="10" max="10" width="10.7109375" style="412" hidden="1" customWidth="1"/>
    <col min="11" max="11" width="10.7109375" style="413" hidden="1" customWidth="1"/>
    <col min="12" max="12" width="15.7109375" style="413" hidden="1" customWidth="1"/>
    <col min="13" max="13" width="10.7109375" style="412" hidden="1" customWidth="1"/>
    <col min="14" max="14" width="10.7109375" style="413" hidden="1" customWidth="1"/>
    <col min="15" max="15" width="15.7109375" style="413" hidden="1" customWidth="1"/>
    <col min="16" max="16" width="12.85546875" style="412" customWidth="1"/>
    <col min="17" max="17" width="10.5703125" style="442" customWidth="1"/>
    <col min="18" max="18" width="12.28515625" style="413" customWidth="1"/>
    <col min="19" max="16384" width="9.140625" style="413"/>
  </cols>
  <sheetData>
    <row r="1" spans="1:18" s="409" customFormat="1" ht="15">
      <c r="A1" s="762" t="s">
        <v>0</v>
      </c>
      <c r="B1" s="763"/>
      <c r="C1" s="513"/>
      <c r="D1" s="513"/>
      <c r="E1" s="514"/>
      <c r="F1" s="514"/>
      <c r="G1" s="513"/>
      <c r="H1" s="514"/>
      <c r="I1" s="514"/>
      <c r="J1" s="513"/>
      <c r="K1" s="514"/>
      <c r="L1" s="514"/>
      <c r="M1" s="513"/>
      <c r="N1" s="514"/>
      <c r="O1" s="514"/>
      <c r="P1" s="513"/>
      <c r="Q1" s="770" t="s">
        <v>605</v>
      </c>
      <c r="R1" s="771"/>
    </row>
    <row r="2" spans="1:18" ht="15">
      <c r="A2" s="768" t="s">
        <v>1</v>
      </c>
      <c r="B2" s="769"/>
      <c r="C2" s="516"/>
      <c r="D2" s="516"/>
      <c r="E2" s="517"/>
      <c r="F2" s="517"/>
      <c r="G2" s="516"/>
      <c r="H2" s="517"/>
      <c r="I2" s="517"/>
      <c r="J2" s="516"/>
      <c r="K2" s="517"/>
      <c r="L2" s="517"/>
      <c r="M2" s="516"/>
      <c r="N2" s="517"/>
      <c r="O2" s="517"/>
      <c r="P2" s="516"/>
      <c r="Q2" s="518"/>
      <c r="R2" s="517"/>
    </row>
    <row r="3" spans="1:18" ht="29.25" customHeight="1">
      <c r="A3" s="764" t="s">
        <v>934</v>
      </c>
      <c r="B3" s="764"/>
      <c r="C3" s="764"/>
      <c r="D3" s="647"/>
      <c r="E3" s="517"/>
      <c r="F3" s="517"/>
      <c r="G3" s="647"/>
      <c r="H3" s="517"/>
      <c r="I3" s="517"/>
      <c r="J3" s="647"/>
      <c r="K3" s="517"/>
      <c r="L3" s="517"/>
      <c r="M3" s="647"/>
      <c r="N3" s="517"/>
      <c r="O3" s="517"/>
      <c r="P3" s="513"/>
      <c r="Q3" s="515"/>
      <c r="R3" s="514"/>
    </row>
    <row r="4" spans="1:18" ht="15" customHeight="1" thickBot="1">
      <c r="A4" s="520"/>
      <c r="B4" s="521"/>
      <c r="C4" s="647"/>
      <c r="D4" s="647"/>
      <c r="E4" s="517"/>
      <c r="F4" s="517"/>
      <c r="G4" s="647"/>
      <c r="H4" s="517"/>
      <c r="I4" s="517"/>
      <c r="J4" s="647"/>
      <c r="K4" s="517"/>
      <c r="L4" s="517"/>
      <c r="M4" s="647"/>
      <c r="N4" s="517"/>
      <c r="O4" s="517"/>
      <c r="P4" s="647"/>
      <c r="Q4" s="522"/>
      <c r="R4" s="517"/>
    </row>
    <row r="5" spans="1:18" ht="29.25" customHeight="1" thickBot="1">
      <c r="A5" s="520"/>
      <c r="B5" s="521"/>
      <c r="C5" s="647"/>
      <c r="D5" s="765" t="s">
        <v>2</v>
      </c>
      <c r="E5" s="766"/>
      <c r="F5" s="767"/>
      <c r="G5" s="765" t="s">
        <v>3</v>
      </c>
      <c r="H5" s="766"/>
      <c r="I5" s="767"/>
      <c r="J5" s="765" t="s">
        <v>4</v>
      </c>
      <c r="K5" s="766"/>
      <c r="L5" s="767"/>
      <c r="M5" s="765" t="s">
        <v>5</v>
      </c>
      <c r="N5" s="766"/>
      <c r="O5" s="767"/>
      <c r="P5" s="759" t="s">
        <v>6</v>
      </c>
      <c r="Q5" s="760"/>
      <c r="R5" s="761"/>
    </row>
    <row r="6" spans="1:18" s="414" customFormat="1" ht="39" thickBot="1">
      <c r="A6" s="508" t="s">
        <v>7</v>
      </c>
      <c r="B6" s="509" t="s">
        <v>8</v>
      </c>
      <c r="C6" s="510" t="s">
        <v>9</v>
      </c>
      <c r="D6" s="510" t="s">
        <v>10</v>
      </c>
      <c r="E6" s="511" t="s">
        <v>11</v>
      </c>
      <c r="F6" s="511" t="s">
        <v>12</v>
      </c>
      <c r="G6" s="510" t="s">
        <v>10</v>
      </c>
      <c r="H6" s="511" t="s">
        <v>11</v>
      </c>
      <c r="I6" s="511" t="s">
        <v>12</v>
      </c>
      <c r="J6" s="510" t="s">
        <v>10</v>
      </c>
      <c r="K6" s="511" t="s">
        <v>11</v>
      </c>
      <c r="L6" s="511" t="s">
        <v>12</v>
      </c>
      <c r="M6" s="510" t="s">
        <v>10</v>
      </c>
      <c r="N6" s="511" t="s">
        <v>11</v>
      </c>
      <c r="O6" s="511" t="s">
        <v>12</v>
      </c>
      <c r="P6" s="510" t="s">
        <v>10</v>
      </c>
      <c r="Q6" s="512" t="s">
        <v>11</v>
      </c>
      <c r="R6" s="511" t="s">
        <v>12</v>
      </c>
    </row>
    <row r="7" spans="1:18" s="415" customFormat="1" ht="15">
      <c r="A7" s="578"/>
      <c r="B7" s="523"/>
      <c r="C7" s="524"/>
      <c r="D7" s="525"/>
      <c r="E7" s="526"/>
      <c r="F7" s="526"/>
      <c r="G7" s="525"/>
      <c r="H7" s="526"/>
      <c r="I7" s="526"/>
      <c r="J7" s="525"/>
      <c r="K7" s="526"/>
      <c r="L7" s="526"/>
      <c r="M7" s="525"/>
      <c r="N7" s="526"/>
      <c r="O7" s="526"/>
      <c r="P7" s="525"/>
      <c r="Q7" s="527"/>
      <c r="R7" s="526"/>
    </row>
    <row r="8" spans="1:18" ht="15">
      <c r="A8" s="528" t="s">
        <v>13</v>
      </c>
      <c r="B8" s="529" t="s">
        <v>655</v>
      </c>
      <c r="C8" s="530"/>
      <c r="D8" s="531"/>
      <c r="E8" s="531"/>
      <c r="F8" s="531" t="e">
        <f>#REF!+#REF!</f>
        <v>#REF!</v>
      </c>
      <c r="G8" s="531"/>
      <c r="H8" s="531"/>
      <c r="I8" s="531" t="e">
        <f>#REF!+#REF!</f>
        <v>#REF!</v>
      </c>
      <c r="J8" s="531"/>
      <c r="K8" s="531"/>
      <c r="L8" s="531" t="e">
        <f>#REF!+#REF!</f>
        <v>#REF!</v>
      </c>
      <c r="M8" s="531"/>
      <c r="N8" s="531"/>
      <c r="O8" s="531" t="e">
        <f>#REF!+#REF!</f>
        <v>#REF!</v>
      </c>
      <c r="P8" s="531"/>
      <c r="Q8" s="532"/>
      <c r="R8" s="533">
        <f>SUM(R9:R17)</f>
        <v>0</v>
      </c>
    </row>
    <row r="9" spans="1:18" ht="36" customHeight="1">
      <c r="A9" s="632" t="s">
        <v>14</v>
      </c>
      <c r="B9" s="620"/>
      <c r="C9" s="633" t="s">
        <v>20</v>
      </c>
      <c r="D9" s="634"/>
      <c r="E9" s="634"/>
      <c r="F9" s="635"/>
      <c r="G9" s="624">
        <v>7605</v>
      </c>
      <c r="H9" s="624">
        <f t="shared" ref="H9:H30" si="0">$E9</f>
        <v>0</v>
      </c>
      <c r="I9" s="624">
        <f>ROUND(ROUND(G9,2)*ROUND(H9,2),2)</f>
        <v>0</v>
      </c>
      <c r="J9" s="624">
        <v>7551</v>
      </c>
      <c r="K9" s="624">
        <f t="shared" ref="K9:K30" si="1">$E9</f>
        <v>0</v>
      </c>
      <c r="L9" s="624">
        <f>ROUND(ROUND(J9,2)*ROUND(K9,2),2)</f>
        <v>0</v>
      </c>
      <c r="M9" s="624">
        <v>7600</v>
      </c>
      <c r="N9" s="624">
        <f t="shared" ref="N9:N30" si="2">$E9</f>
        <v>0</v>
      </c>
      <c r="O9" s="624">
        <f>ROUND(ROUND(M9,2)*ROUND(N9,2),2)</f>
        <v>0</v>
      </c>
      <c r="P9" s="624"/>
      <c r="Q9" s="636"/>
      <c r="R9" s="626">
        <f>ROUND(ROUND(P9,2)*ROUND(Q9,2),2)</f>
        <v>0</v>
      </c>
    </row>
    <row r="10" spans="1:18">
      <c r="A10" s="632" t="s">
        <v>16</v>
      </c>
      <c r="B10" s="603"/>
      <c r="C10" s="623"/>
      <c r="D10" s="624">
        <v>135</v>
      </c>
      <c r="E10" s="624"/>
      <c r="F10" s="624">
        <f>ROUND(ROUND(D10,2)*ROUND(E10,2),2)</f>
        <v>0</v>
      </c>
      <c r="G10" s="624">
        <v>143</v>
      </c>
      <c r="H10" s="624">
        <f t="shared" si="0"/>
        <v>0</v>
      </c>
      <c r="I10" s="624">
        <f>ROUND(ROUND(G10,2)*ROUND(H10,2),2)</f>
        <v>0</v>
      </c>
      <c r="J10" s="624">
        <v>152</v>
      </c>
      <c r="K10" s="624">
        <f t="shared" si="1"/>
        <v>0</v>
      </c>
      <c r="L10" s="624">
        <f>ROUND(ROUND(J10,2)*ROUND(K10,2),2)</f>
        <v>0</v>
      </c>
      <c r="M10" s="624">
        <v>160</v>
      </c>
      <c r="N10" s="624">
        <f t="shared" si="2"/>
        <v>0</v>
      </c>
      <c r="O10" s="624">
        <f>ROUND(ROUND(M10,2)*ROUND(N10,2),2)</f>
        <v>0</v>
      </c>
      <c r="P10" s="624"/>
      <c r="Q10" s="636"/>
      <c r="R10" s="626">
        <f>ROUND(ROUND(P10,2)*ROUND(Q10,2),2)</f>
        <v>0</v>
      </c>
    </row>
    <row r="11" spans="1:18">
      <c r="A11" s="632" t="s">
        <v>606</v>
      </c>
      <c r="B11" s="603"/>
      <c r="C11" s="623"/>
      <c r="D11" s="624">
        <v>1690</v>
      </c>
      <c r="E11" s="624"/>
      <c r="F11" s="624">
        <f>ROUND(ROUND(D11,2)*ROUND(E11,2),2)</f>
        <v>0</v>
      </c>
      <c r="G11" s="624">
        <v>1690</v>
      </c>
      <c r="H11" s="624">
        <f t="shared" si="0"/>
        <v>0</v>
      </c>
      <c r="I11" s="624">
        <f>ROUND(ROUND(G11,2)*ROUND(H11,2),2)</f>
        <v>0</v>
      </c>
      <c r="J11" s="624">
        <v>1690</v>
      </c>
      <c r="K11" s="624">
        <f t="shared" si="1"/>
        <v>0</v>
      </c>
      <c r="L11" s="624">
        <f>ROUND(ROUND(J11,2)*ROUND(K11,2),2)</f>
        <v>0</v>
      </c>
      <c r="M11" s="624">
        <v>1690</v>
      </c>
      <c r="N11" s="624">
        <f t="shared" si="2"/>
        <v>0</v>
      </c>
      <c r="O11" s="624">
        <f>ROUND(ROUND(M11,2)*ROUND(N11,2),2)</f>
        <v>0</v>
      </c>
      <c r="P11" s="624"/>
      <c r="Q11" s="636"/>
      <c r="R11" s="626">
        <f>ROUND(ROUND(P11,2)*ROUND(Q11,2),2)</f>
        <v>0</v>
      </c>
    </row>
    <row r="12" spans="1:18">
      <c r="A12" s="632" t="s">
        <v>607</v>
      </c>
      <c r="B12" s="603"/>
      <c r="C12" s="623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36"/>
      <c r="R12" s="626"/>
    </row>
    <row r="13" spans="1:18">
      <c r="A13" s="637" t="s">
        <v>608</v>
      </c>
      <c r="B13" s="622"/>
      <c r="C13" s="628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38"/>
      <c r="R13" s="631"/>
    </row>
    <row r="14" spans="1:18">
      <c r="A14" s="637" t="s">
        <v>609</v>
      </c>
      <c r="B14" s="622"/>
      <c r="C14" s="628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38"/>
      <c r="R14" s="631"/>
    </row>
    <row r="15" spans="1:18">
      <c r="A15" s="637" t="s">
        <v>610</v>
      </c>
      <c r="B15" s="622"/>
      <c r="C15" s="628"/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29"/>
      <c r="P15" s="629"/>
      <c r="Q15" s="638"/>
      <c r="R15" s="631"/>
    </row>
    <row r="16" spans="1:18">
      <c r="A16" s="637" t="s">
        <v>611</v>
      </c>
      <c r="B16" s="622"/>
      <c r="C16" s="628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38"/>
      <c r="R16" s="631"/>
    </row>
    <row r="17" spans="1:18">
      <c r="A17" s="632" t="s">
        <v>612</v>
      </c>
      <c r="B17" s="603"/>
      <c r="C17" s="623"/>
      <c r="D17" s="624">
        <v>520</v>
      </c>
      <c r="E17" s="624"/>
      <c r="F17" s="624">
        <f>ROUND(ROUND(D17,2)*ROUND(E17,2),2)</f>
        <v>0</v>
      </c>
      <c r="G17" s="624">
        <v>524</v>
      </c>
      <c r="H17" s="624">
        <f t="shared" si="0"/>
        <v>0</v>
      </c>
      <c r="I17" s="624">
        <f>ROUND(ROUND(G17,2)*ROUND(H17,2),2)</f>
        <v>0</v>
      </c>
      <c r="J17" s="624">
        <v>525</v>
      </c>
      <c r="K17" s="624">
        <f t="shared" si="1"/>
        <v>0</v>
      </c>
      <c r="L17" s="624">
        <f>ROUND(ROUND(J17,2)*ROUND(K17,2),2)</f>
        <v>0</v>
      </c>
      <c r="M17" s="624">
        <v>524</v>
      </c>
      <c r="N17" s="624">
        <f t="shared" si="2"/>
        <v>0</v>
      </c>
      <c r="O17" s="624">
        <f>ROUND(ROUND(M17,2)*ROUND(N17,2),2)</f>
        <v>0</v>
      </c>
      <c r="P17" s="624"/>
      <c r="Q17" s="636"/>
      <c r="R17" s="626">
        <f>ROUND(ROUND(P17,2)*ROUND(Q17,2),2)</f>
        <v>0</v>
      </c>
    </row>
    <row r="18" spans="1:18" ht="33.75" customHeight="1">
      <c r="A18" s="528" t="s">
        <v>17</v>
      </c>
      <c r="B18" s="529" t="s">
        <v>656</v>
      </c>
      <c r="C18" s="530"/>
      <c r="D18" s="531">
        <v>0</v>
      </c>
      <c r="E18" s="531"/>
      <c r="F18" s="531" t="e">
        <f>#REF!+#REF!+#REF!</f>
        <v>#REF!</v>
      </c>
      <c r="G18" s="531">
        <v>0</v>
      </c>
      <c r="H18" s="531">
        <f t="shared" si="0"/>
        <v>0</v>
      </c>
      <c r="I18" s="531" t="e">
        <f>#REF!+#REF!+#REF!</f>
        <v>#REF!</v>
      </c>
      <c r="J18" s="531">
        <v>0</v>
      </c>
      <c r="K18" s="531">
        <f t="shared" si="1"/>
        <v>0</v>
      </c>
      <c r="L18" s="531" t="e">
        <f>#REF!+#REF!+#REF!</f>
        <v>#REF!</v>
      </c>
      <c r="M18" s="531">
        <v>0</v>
      </c>
      <c r="N18" s="531">
        <f t="shared" si="2"/>
        <v>0</v>
      </c>
      <c r="O18" s="531" t="e">
        <f>#REF!+#REF!+#REF!</f>
        <v>#REF!</v>
      </c>
      <c r="P18" s="531"/>
      <c r="Q18" s="532"/>
      <c r="R18" s="533">
        <f>SUM(R19:R25)</f>
        <v>0</v>
      </c>
    </row>
    <row r="19" spans="1:18" ht="37.5" customHeight="1">
      <c r="A19" s="534" t="s">
        <v>19</v>
      </c>
      <c r="B19" s="603"/>
      <c r="C19" s="536"/>
      <c r="D19" s="537">
        <v>7587</v>
      </c>
      <c r="E19" s="537"/>
      <c r="F19" s="537">
        <f>ROUND(ROUND(D19,2)*ROUND(E19,2),2)</f>
        <v>0</v>
      </c>
      <c r="G19" s="537">
        <v>7605</v>
      </c>
      <c r="H19" s="537">
        <f t="shared" si="0"/>
        <v>0</v>
      </c>
      <c r="I19" s="537">
        <f>ROUND(ROUND(G19,2)*ROUND(H19,2),2)</f>
        <v>0</v>
      </c>
      <c r="J19" s="537">
        <v>7551</v>
      </c>
      <c r="K19" s="537">
        <f t="shared" si="1"/>
        <v>0</v>
      </c>
      <c r="L19" s="537">
        <f>ROUND(ROUND(J19,2)*ROUND(K19,2),2)</f>
        <v>0</v>
      </c>
      <c r="M19" s="537">
        <v>7600</v>
      </c>
      <c r="N19" s="537">
        <f t="shared" si="2"/>
        <v>0</v>
      </c>
      <c r="O19" s="537">
        <f>ROUND(ROUND(M19,2)*ROUND(N19,2),2)</f>
        <v>0</v>
      </c>
      <c r="P19" s="537"/>
      <c r="Q19" s="538"/>
      <c r="R19" s="539">
        <f>ROUND(ROUND(P19,2)*ROUND(Q19,2),2)</f>
        <v>0</v>
      </c>
    </row>
    <row r="20" spans="1:18" ht="27.75" customHeight="1">
      <c r="A20" s="534" t="s">
        <v>22</v>
      </c>
      <c r="B20" s="603"/>
      <c r="C20" s="623"/>
      <c r="D20" s="624">
        <v>135</v>
      </c>
      <c r="E20" s="624"/>
      <c r="F20" s="624">
        <f>ROUND(ROUND(D20,2)*ROUND(E20,2),2)</f>
        <v>0</v>
      </c>
      <c r="G20" s="624">
        <v>143</v>
      </c>
      <c r="H20" s="624">
        <f t="shared" si="0"/>
        <v>0</v>
      </c>
      <c r="I20" s="624">
        <f>ROUND(ROUND(G20,2)*ROUND(H20,2),2)</f>
        <v>0</v>
      </c>
      <c r="J20" s="624">
        <v>152</v>
      </c>
      <c r="K20" s="624">
        <f t="shared" si="1"/>
        <v>0</v>
      </c>
      <c r="L20" s="624">
        <f>ROUND(ROUND(J20,2)*ROUND(K20,2),2)</f>
        <v>0</v>
      </c>
      <c r="M20" s="624">
        <v>160</v>
      </c>
      <c r="N20" s="624">
        <f t="shared" si="2"/>
        <v>0</v>
      </c>
      <c r="O20" s="624">
        <f>ROUND(ROUND(M20,2)*ROUND(N20,2),2)</f>
        <v>0</v>
      </c>
      <c r="P20" s="624"/>
      <c r="Q20" s="625"/>
      <c r="R20" s="626">
        <f>ROUND(ROUND(P20,2)*ROUND(Q20,2),2)</f>
        <v>0</v>
      </c>
    </row>
    <row r="21" spans="1:18" ht="14.25">
      <c r="A21" s="534" t="s">
        <v>61</v>
      </c>
      <c r="B21" s="603"/>
      <c r="C21" s="623"/>
      <c r="D21" s="624">
        <v>1690</v>
      </c>
      <c r="E21" s="624"/>
      <c r="F21" s="624">
        <f>ROUND(ROUND(D21,2)*ROUND(E21,2),2)</f>
        <v>0</v>
      </c>
      <c r="G21" s="624">
        <v>1690</v>
      </c>
      <c r="H21" s="624">
        <f t="shared" si="0"/>
        <v>0</v>
      </c>
      <c r="I21" s="624">
        <f>ROUND(ROUND(G21,2)*ROUND(H21,2),2)</f>
        <v>0</v>
      </c>
      <c r="J21" s="624">
        <v>1690</v>
      </c>
      <c r="K21" s="624">
        <f t="shared" si="1"/>
        <v>0</v>
      </c>
      <c r="L21" s="624">
        <f>ROUND(ROUND(J21,2)*ROUND(K21,2),2)</f>
        <v>0</v>
      </c>
      <c r="M21" s="624">
        <v>1690</v>
      </c>
      <c r="N21" s="624">
        <f t="shared" si="2"/>
        <v>0</v>
      </c>
      <c r="O21" s="624">
        <f>ROUND(ROUND(M21,2)*ROUND(N21,2),2)</f>
        <v>0</v>
      </c>
      <c r="P21" s="624"/>
      <c r="Q21" s="625">
        <f>'Cjenik RS'!D25</f>
        <v>0</v>
      </c>
      <c r="R21" s="626">
        <f>ROUND(ROUND(P21,2)*ROUND(Q21,2),2)</f>
        <v>0</v>
      </c>
    </row>
    <row r="22" spans="1:18" ht="14.25">
      <c r="A22" s="534" t="s">
        <v>195</v>
      </c>
      <c r="B22" s="603"/>
      <c r="C22" s="623"/>
      <c r="D22" s="624"/>
      <c r="E22" s="624"/>
      <c r="F22" s="624"/>
      <c r="G22" s="624"/>
      <c r="H22" s="624"/>
      <c r="I22" s="624"/>
      <c r="J22" s="624"/>
      <c r="K22" s="624"/>
      <c r="L22" s="624"/>
      <c r="M22" s="624"/>
      <c r="N22" s="624"/>
      <c r="O22" s="624"/>
      <c r="P22" s="624"/>
      <c r="Q22" s="625"/>
      <c r="R22" s="626"/>
    </row>
    <row r="23" spans="1:18" ht="14.25">
      <c r="A23" s="553" t="s">
        <v>613</v>
      </c>
      <c r="B23" s="627"/>
      <c r="C23" s="628"/>
      <c r="D23" s="629">
        <v>0</v>
      </c>
      <c r="E23" s="629"/>
      <c r="F23" s="629" t="e">
        <f>#REF!+#REF!+#REF!+#REF!</f>
        <v>#REF!</v>
      </c>
      <c r="G23" s="629">
        <v>0</v>
      </c>
      <c r="H23" s="629">
        <f t="shared" si="0"/>
        <v>0</v>
      </c>
      <c r="I23" s="629" t="e">
        <f>#REF!+#REF!+#REF!+#REF!</f>
        <v>#REF!</v>
      </c>
      <c r="J23" s="629">
        <v>0</v>
      </c>
      <c r="K23" s="629">
        <f t="shared" si="1"/>
        <v>0</v>
      </c>
      <c r="L23" s="629" t="e">
        <f>#REF!+#REF!+#REF!+#REF!</f>
        <v>#REF!</v>
      </c>
      <c r="M23" s="629">
        <v>0</v>
      </c>
      <c r="N23" s="629">
        <f t="shared" si="2"/>
        <v>0</v>
      </c>
      <c r="O23" s="629" t="e">
        <f>#REF!+#REF!+#REF!+#REF!</f>
        <v>#REF!</v>
      </c>
      <c r="P23" s="629"/>
      <c r="Q23" s="630"/>
      <c r="R23" s="631"/>
    </row>
    <row r="24" spans="1:18" ht="14.25">
      <c r="A24" s="553" t="s">
        <v>614</v>
      </c>
      <c r="B24" s="627"/>
      <c r="C24" s="628"/>
      <c r="D24" s="629"/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629"/>
      <c r="Q24" s="630"/>
      <c r="R24" s="631"/>
    </row>
    <row r="25" spans="1:18" ht="14.25">
      <c r="A25" s="553" t="s">
        <v>615</v>
      </c>
      <c r="B25" s="627"/>
      <c r="C25" s="628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30"/>
      <c r="R25" s="631"/>
    </row>
    <row r="26" spans="1:18" ht="30">
      <c r="A26" s="528" t="s">
        <v>68</v>
      </c>
      <c r="B26" s="529" t="s">
        <v>657</v>
      </c>
      <c r="C26" s="530"/>
      <c r="D26" s="531">
        <v>0</v>
      </c>
      <c r="E26" s="531"/>
      <c r="F26" s="531">
        <f>SUM(F27:F34)</f>
        <v>0</v>
      </c>
      <c r="G26" s="531">
        <v>0</v>
      </c>
      <c r="H26" s="531">
        <f t="shared" si="0"/>
        <v>0</v>
      </c>
      <c r="I26" s="531">
        <f>SUM(I27:I34)</f>
        <v>0</v>
      </c>
      <c r="J26" s="531">
        <v>0</v>
      </c>
      <c r="K26" s="531">
        <f t="shared" si="1"/>
        <v>0</v>
      </c>
      <c r="L26" s="531">
        <f>SUM(L27:L34)</f>
        <v>0</v>
      </c>
      <c r="M26" s="531">
        <v>0</v>
      </c>
      <c r="N26" s="531">
        <f t="shared" si="2"/>
        <v>0</v>
      </c>
      <c r="O26" s="531">
        <f>SUM(O27:O34)</f>
        <v>0</v>
      </c>
      <c r="P26" s="531"/>
      <c r="Q26" s="532"/>
      <c r="R26" s="533">
        <f>SUM(R27:R34)</f>
        <v>0</v>
      </c>
    </row>
    <row r="27" spans="1:18" ht="14.25">
      <c r="A27" s="540" t="s">
        <v>69</v>
      </c>
      <c r="B27" s="603"/>
      <c r="C27" s="623"/>
      <c r="D27" s="624">
        <v>7587</v>
      </c>
      <c r="E27" s="624"/>
      <c r="F27" s="624">
        <f>ROUND(ROUND(D27,2)*ROUND(E27,2),2)</f>
        <v>0</v>
      </c>
      <c r="G27" s="624">
        <v>7605</v>
      </c>
      <c r="H27" s="624">
        <f t="shared" si="0"/>
        <v>0</v>
      </c>
      <c r="I27" s="624">
        <f>ROUND(ROUND(G27,2)*ROUND(H27,2),2)</f>
        <v>0</v>
      </c>
      <c r="J27" s="624">
        <v>7551</v>
      </c>
      <c r="K27" s="624">
        <f t="shared" si="1"/>
        <v>0</v>
      </c>
      <c r="L27" s="624">
        <f>ROUND(ROUND(J27,2)*ROUND(K27,2),2)</f>
        <v>0</v>
      </c>
      <c r="M27" s="624">
        <v>7600</v>
      </c>
      <c r="N27" s="624">
        <f t="shared" si="2"/>
        <v>0</v>
      </c>
      <c r="O27" s="624">
        <f>ROUND(ROUND(M27,2)*ROUND(N27,2),2)</f>
        <v>0</v>
      </c>
      <c r="P27" s="624"/>
      <c r="Q27" s="625"/>
      <c r="R27" s="626">
        <f>ROUND(ROUND(P27,2)*ROUND(Q27,2),2)</f>
        <v>0</v>
      </c>
    </row>
    <row r="28" spans="1:18" ht="14.25">
      <c r="A28" s="540" t="s">
        <v>70</v>
      </c>
      <c r="B28" s="603"/>
      <c r="C28" s="623"/>
      <c r="D28" s="624">
        <v>135</v>
      </c>
      <c r="E28" s="624"/>
      <c r="F28" s="624">
        <f>ROUND(ROUND(D28,2)*ROUND(E28,2),2)</f>
        <v>0</v>
      </c>
      <c r="G28" s="624">
        <v>143</v>
      </c>
      <c r="H28" s="624">
        <f t="shared" si="0"/>
        <v>0</v>
      </c>
      <c r="I28" s="624">
        <f>ROUND(ROUND(G28,2)*ROUND(H28,2),2)</f>
        <v>0</v>
      </c>
      <c r="J28" s="624">
        <v>152</v>
      </c>
      <c r="K28" s="624">
        <f t="shared" si="1"/>
        <v>0</v>
      </c>
      <c r="L28" s="624">
        <f>ROUND(ROUND(J28,2)*ROUND(K28,2),2)</f>
        <v>0</v>
      </c>
      <c r="M28" s="624">
        <v>160</v>
      </c>
      <c r="N28" s="624">
        <f t="shared" si="2"/>
        <v>0</v>
      </c>
      <c r="O28" s="624">
        <f>ROUND(ROUND(M28,2)*ROUND(N28,2),2)</f>
        <v>0</v>
      </c>
      <c r="P28" s="624"/>
      <c r="Q28" s="625">
        <f>'Cjenik RS'!D32</f>
        <v>0</v>
      </c>
      <c r="R28" s="626">
        <f>ROUND(ROUND(P28,2)*ROUND(Q28,2),2)</f>
        <v>0</v>
      </c>
    </row>
    <row r="29" spans="1:18" ht="14.25">
      <c r="A29" s="540" t="s">
        <v>71</v>
      </c>
      <c r="B29" s="603"/>
      <c r="C29" s="623"/>
      <c r="D29" s="624">
        <v>1690</v>
      </c>
      <c r="E29" s="624"/>
      <c r="F29" s="624">
        <f>ROUND(ROUND(D29,2)*ROUND(E29,2),2)</f>
        <v>0</v>
      </c>
      <c r="G29" s="624">
        <v>1690</v>
      </c>
      <c r="H29" s="624">
        <f t="shared" si="0"/>
        <v>0</v>
      </c>
      <c r="I29" s="624">
        <f>ROUND(ROUND(G29,2)*ROUND(H29,2),2)</f>
        <v>0</v>
      </c>
      <c r="J29" s="624">
        <v>1690</v>
      </c>
      <c r="K29" s="624">
        <f t="shared" si="1"/>
        <v>0</v>
      </c>
      <c r="L29" s="624">
        <f>ROUND(ROUND(J29,2)*ROUND(K29,2),2)</f>
        <v>0</v>
      </c>
      <c r="M29" s="624">
        <v>1690</v>
      </c>
      <c r="N29" s="624">
        <f t="shared" si="2"/>
        <v>0</v>
      </c>
      <c r="O29" s="624">
        <f>ROUND(ROUND(M29,2)*ROUND(N29,2),2)</f>
        <v>0</v>
      </c>
      <c r="P29" s="624"/>
      <c r="Q29" s="625">
        <f>'Cjenik RS'!D33</f>
        <v>0</v>
      </c>
      <c r="R29" s="626">
        <f>ROUND(ROUND(P29,2)*ROUND(Q29,2),2)</f>
        <v>0</v>
      </c>
    </row>
    <row r="30" spans="1:18" ht="14.25">
      <c r="A30" s="540" t="s">
        <v>72</v>
      </c>
      <c r="B30" s="603"/>
      <c r="C30" s="623"/>
      <c r="D30" s="624">
        <v>2500</v>
      </c>
      <c r="E30" s="624"/>
      <c r="F30" s="624">
        <f>ROUND(ROUND(D30,2)*ROUND(E30,2),2)</f>
        <v>0</v>
      </c>
      <c r="G30" s="624">
        <v>2500</v>
      </c>
      <c r="H30" s="624">
        <f t="shared" si="0"/>
        <v>0</v>
      </c>
      <c r="I30" s="624">
        <f>ROUND(ROUND(G30,2)*ROUND(H30,2),2)</f>
        <v>0</v>
      </c>
      <c r="J30" s="624">
        <v>2600</v>
      </c>
      <c r="K30" s="624">
        <f t="shared" si="1"/>
        <v>0</v>
      </c>
      <c r="L30" s="624">
        <f>ROUND(ROUND(J30,2)*ROUND(K30,2),2)</f>
        <v>0</v>
      </c>
      <c r="M30" s="624">
        <v>3000</v>
      </c>
      <c r="N30" s="624">
        <f t="shared" si="2"/>
        <v>0</v>
      </c>
      <c r="O30" s="624">
        <f>ROUND(ROUND(M30,2)*ROUND(N30,2),2)</f>
        <v>0</v>
      </c>
      <c r="P30" s="624"/>
      <c r="Q30" s="625"/>
      <c r="R30" s="626">
        <f>ROUND(ROUND(P30,2)*ROUND(Q30,2),2)</f>
        <v>0</v>
      </c>
    </row>
    <row r="31" spans="1:18" ht="14.25">
      <c r="A31" s="540" t="s">
        <v>73</v>
      </c>
      <c r="B31" s="622"/>
      <c r="C31" s="628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30"/>
      <c r="R31" s="631"/>
    </row>
    <row r="32" spans="1:18" ht="14.25">
      <c r="A32" s="534" t="s">
        <v>74</v>
      </c>
      <c r="B32" s="622"/>
      <c r="C32" s="628"/>
      <c r="D32" s="629"/>
      <c r="E32" s="629"/>
      <c r="F32" s="629"/>
      <c r="G32" s="629"/>
      <c r="H32" s="629"/>
      <c r="I32" s="629"/>
      <c r="J32" s="629"/>
      <c r="K32" s="629"/>
      <c r="L32" s="629"/>
      <c r="M32" s="629"/>
      <c r="N32" s="629"/>
      <c r="O32" s="629"/>
      <c r="P32" s="629"/>
      <c r="Q32" s="630"/>
      <c r="R32" s="631"/>
    </row>
    <row r="33" spans="1:18" ht="14.25">
      <c r="A33" s="534" t="s">
        <v>75</v>
      </c>
      <c r="B33" s="603"/>
      <c r="C33" s="623"/>
      <c r="D33" s="624"/>
      <c r="E33" s="624"/>
      <c r="F33" s="624"/>
      <c r="G33" s="624"/>
      <c r="H33" s="624"/>
      <c r="I33" s="624"/>
      <c r="J33" s="624"/>
      <c r="K33" s="624"/>
      <c r="L33" s="624"/>
      <c r="M33" s="624"/>
      <c r="N33" s="624"/>
      <c r="O33" s="624"/>
      <c r="P33" s="624"/>
      <c r="Q33" s="625"/>
      <c r="R33" s="626"/>
    </row>
    <row r="34" spans="1:18" ht="14.25">
      <c r="A34" s="540" t="s">
        <v>76</v>
      </c>
      <c r="B34" s="603"/>
      <c r="C34" s="623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  <c r="O34" s="624"/>
      <c r="P34" s="624"/>
      <c r="Q34" s="625"/>
      <c r="R34" s="626"/>
    </row>
    <row r="35" spans="1:18" ht="30">
      <c r="A35" s="528" t="s">
        <v>77</v>
      </c>
      <c r="B35" s="529" t="s">
        <v>658</v>
      </c>
      <c r="C35" s="530"/>
      <c r="D35" s="531">
        <v>0</v>
      </c>
      <c r="E35" s="531"/>
      <c r="F35" s="531">
        <f>SUM(F36:F44)</f>
        <v>0</v>
      </c>
      <c r="G35" s="531">
        <v>0</v>
      </c>
      <c r="H35" s="531">
        <f t="shared" ref="H35:H97" si="3">$E35</f>
        <v>0</v>
      </c>
      <c r="I35" s="531">
        <f>SUM(I36:I44)</f>
        <v>0</v>
      </c>
      <c r="J35" s="531">
        <v>0</v>
      </c>
      <c r="K35" s="531">
        <f t="shared" ref="K35:K97" si="4">$E35</f>
        <v>0</v>
      </c>
      <c r="L35" s="531">
        <f>SUM(L36:L44)</f>
        <v>0</v>
      </c>
      <c r="M35" s="531">
        <v>0</v>
      </c>
      <c r="N35" s="531">
        <f t="shared" ref="N35:N97" si="5">$E35</f>
        <v>0</v>
      </c>
      <c r="O35" s="531">
        <f>SUM(O36:O44)</f>
        <v>0</v>
      </c>
      <c r="P35" s="531"/>
      <c r="Q35" s="532"/>
      <c r="R35" s="533">
        <f>SUM(R36:R44)</f>
        <v>0</v>
      </c>
    </row>
    <row r="36" spans="1:18" ht="46.5" customHeight="1">
      <c r="A36" s="540" t="s">
        <v>78</v>
      </c>
      <c r="B36" s="535"/>
      <c r="C36" s="536"/>
      <c r="D36" s="537">
        <v>7587</v>
      </c>
      <c r="E36" s="537"/>
      <c r="F36" s="537">
        <f>ROUND(ROUND(D36,2)*ROUND(E36,2),2)</f>
        <v>0</v>
      </c>
      <c r="G36" s="537">
        <v>7605</v>
      </c>
      <c r="H36" s="537">
        <f t="shared" si="3"/>
        <v>0</v>
      </c>
      <c r="I36" s="537">
        <f>ROUND(ROUND(G36,2)*ROUND(H36,2),2)</f>
        <v>0</v>
      </c>
      <c r="J36" s="537">
        <v>7551</v>
      </c>
      <c r="K36" s="537">
        <f t="shared" si="4"/>
        <v>0</v>
      </c>
      <c r="L36" s="537">
        <f>ROUND(ROUND(J36,2)*ROUND(K36,2),2)</f>
        <v>0</v>
      </c>
      <c r="M36" s="537">
        <v>7600</v>
      </c>
      <c r="N36" s="537">
        <f t="shared" si="5"/>
        <v>0</v>
      </c>
      <c r="O36" s="537">
        <f>ROUND(ROUND(M36,2)*ROUND(N36,2),2)</f>
        <v>0</v>
      </c>
      <c r="P36" s="537"/>
      <c r="Q36" s="538">
        <f>'Cjenik RS'!D47</f>
        <v>0</v>
      </c>
      <c r="R36" s="539">
        <f>ROUND(ROUND(P36,2)*ROUND(Q36,2),2)</f>
        <v>0</v>
      </c>
    </row>
    <row r="37" spans="1:18" ht="15">
      <c r="A37" s="540" t="s">
        <v>79</v>
      </c>
      <c r="B37" s="535"/>
      <c r="C37" s="536"/>
      <c r="D37" s="537">
        <v>135</v>
      </c>
      <c r="E37" s="537"/>
      <c r="F37" s="537">
        <f>ROUND(ROUND(D37,2)*ROUND(E37,2),2)</f>
        <v>0</v>
      </c>
      <c r="G37" s="537">
        <v>143</v>
      </c>
      <c r="H37" s="537">
        <f t="shared" si="3"/>
        <v>0</v>
      </c>
      <c r="I37" s="537">
        <f>ROUND(ROUND(G37,2)*ROUND(H37,2),2)</f>
        <v>0</v>
      </c>
      <c r="J37" s="537">
        <v>152</v>
      </c>
      <c r="K37" s="537">
        <f t="shared" si="4"/>
        <v>0</v>
      </c>
      <c r="L37" s="537">
        <f>ROUND(ROUND(J37,2)*ROUND(K37,2),2)</f>
        <v>0</v>
      </c>
      <c r="M37" s="537">
        <v>160</v>
      </c>
      <c r="N37" s="537">
        <f t="shared" si="5"/>
        <v>0</v>
      </c>
      <c r="O37" s="537">
        <f>ROUND(ROUND(M37,2)*ROUND(N37,2),2)</f>
        <v>0</v>
      </c>
      <c r="P37" s="537"/>
      <c r="Q37" s="538">
        <f>'Cjenik RS'!D48</f>
        <v>0</v>
      </c>
      <c r="R37" s="539">
        <f>ROUND(ROUND(P37,2)*ROUND(Q37,2),2)</f>
        <v>0</v>
      </c>
    </row>
    <row r="38" spans="1:18" ht="15">
      <c r="A38" s="540" t="s">
        <v>80</v>
      </c>
      <c r="B38" s="535"/>
      <c r="C38" s="536"/>
      <c r="D38" s="537">
        <v>1690</v>
      </c>
      <c r="E38" s="537"/>
      <c r="F38" s="537">
        <f>ROUND(ROUND(D38,2)*ROUND(E38,2),2)</f>
        <v>0</v>
      </c>
      <c r="G38" s="537">
        <v>1690</v>
      </c>
      <c r="H38" s="537">
        <f t="shared" si="3"/>
        <v>0</v>
      </c>
      <c r="I38" s="537">
        <f>ROUND(ROUND(G38,2)*ROUND(H38,2),2)</f>
        <v>0</v>
      </c>
      <c r="J38" s="537">
        <v>1690</v>
      </c>
      <c r="K38" s="537">
        <f t="shared" si="4"/>
        <v>0</v>
      </c>
      <c r="L38" s="537">
        <f>ROUND(ROUND(J38,2)*ROUND(K38,2),2)</f>
        <v>0</v>
      </c>
      <c r="M38" s="537">
        <v>1690</v>
      </c>
      <c r="N38" s="537">
        <f t="shared" si="5"/>
        <v>0</v>
      </c>
      <c r="O38" s="537">
        <f>ROUND(ROUND(M38,2)*ROUND(N38,2),2)</f>
        <v>0</v>
      </c>
      <c r="P38" s="537"/>
      <c r="Q38" s="538">
        <f>'Cjenik RS'!D49</f>
        <v>0</v>
      </c>
      <c r="R38" s="539">
        <f>ROUND(ROUND(P38,2)*ROUND(Q38,2),2)</f>
        <v>0</v>
      </c>
    </row>
    <row r="39" spans="1:18" ht="15">
      <c r="A39" s="540" t="s">
        <v>81</v>
      </c>
      <c r="B39" s="535"/>
      <c r="C39" s="536"/>
      <c r="D39" s="537">
        <v>0</v>
      </c>
      <c r="E39" s="537"/>
      <c r="F39" s="537">
        <f t="shared" ref="F39:F44" si="6">ROUND(ROUND(D39,2)*ROUND(E39,2),2)</f>
        <v>0</v>
      </c>
      <c r="G39" s="537">
        <v>0</v>
      </c>
      <c r="H39" s="537">
        <f t="shared" si="3"/>
        <v>0</v>
      </c>
      <c r="I39" s="537">
        <f t="shared" ref="I39:I44" si="7">ROUND(ROUND(G39,2)*ROUND(H39,2),2)</f>
        <v>0</v>
      </c>
      <c r="J39" s="537">
        <v>0</v>
      </c>
      <c r="K39" s="537">
        <f t="shared" si="4"/>
        <v>0</v>
      </c>
      <c r="L39" s="537">
        <f t="shared" ref="L39:L44" si="8">ROUND(ROUND(J39,2)*ROUND(K39,2),2)</f>
        <v>0</v>
      </c>
      <c r="M39" s="537">
        <v>0</v>
      </c>
      <c r="N39" s="537">
        <f t="shared" si="5"/>
        <v>0</v>
      </c>
      <c r="O39" s="537">
        <f t="shared" ref="O39:O44" si="9">ROUND(ROUND(M39,2)*ROUND(N39,2),2)</f>
        <v>0</v>
      </c>
      <c r="P39" s="537"/>
      <c r="Q39" s="538"/>
      <c r="R39" s="539">
        <f t="shared" ref="R39:R44" si="10">ROUND(ROUND(P39,2)*ROUND(Q39,2),2)</f>
        <v>0</v>
      </c>
    </row>
    <row r="40" spans="1:18" ht="15">
      <c r="A40" s="540" t="s">
        <v>82</v>
      </c>
      <c r="B40" s="535"/>
      <c r="C40" s="536"/>
      <c r="D40" s="537">
        <v>100</v>
      </c>
      <c r="E40" s="537"/>
      <c r="F40" s="537">
        <f t="shared" si="6"/>
        <v>0</v>
      </c>
      <c r="G40" s="537">
        <v>100</v>
      </c>
      <c r="H40" s="537">
        <f t="shared" si="3"/>
        <v>0</v>
      </c>
      <c r="I40" s="537">
        <f t="shared" si="7"/>
        <v>0</v>
      </c>
      <c r="J40" s="537">
        <v>100</v>
      </c>
      <c r="K40" s="537">
        <f t="shared" si="4"/>
        <v>0</v>
      </c>
      <c r="L40" s="537">
        <f t="shared" si="8"/>
        <v>0</v>
      </c>
      <c r="M40" s="537">
        <v>100</v>
      </c>
      <c r="N40" s="537">
        <f t="shared" si="5"/>
        <v>0</v>
      </c>
      <c r="O40" s="537">
        <f t="shared" si="9"/>
        <v>0</v>
      </c>
      <c r="P40" s="537"/>
      <c r="Q40" s="538"/>
      <c r="R40" s="539">
        <f t="shared" si="10"/>
        <v>0</v>
      </c>
    </row>
    <row r="41" spans="1:18" ht="15">
      <c r="A41" s="540" t="s">
        <v>83</v>
      </c>
      <c r="B41" s="535"/>
      <c r="C41" s="536"/>
      <c r="D41" s="537">
        <v>0</v>
      </c>
      <c r="E41" s="537"/>
      <c r="F41" s="537">
        <f t="shared" si="6"/>
        <v>0</v>
      </c>
      <c r="G41" s="537">
        <v>0</v>
      </c>
      <c r="H41" s="537">
        <f t="shared" si="3"/>
        <v>0</v>
      </c>
      <c r="I41" s="537">
        <f t="shared" si="7"/>
        <v>0</v>
      </c>
      <c r="J41" s="537">
        <v>0</v>
      </c>
      <c r="K41" s="537">
        <f t="shared" si="4"/>
        <v>0</v>
      </c>
      <c r="L41" s="537">
        <f t="shared" si="8"/>
        <v>0</v>
      </c>
      <c r="M41" s="537">
        <v>0</v>
      </c>
      <c r="N41" s="537">
        <f t="shared" si="5"/>
        <v>0</v>
      </c>
      <c r="O41" s="537">
        <f t="shared" si="9"/>
        <v>0</v>
      </c>
      <c r="P41" s="537"/>
      <c r="Q41" s="538"/>
      <c r="R41" s="539">
        <f t="shared" si="10"/>
        <v>0</v>
      </c>
    </row>
    <row r="42" spans="1:18" ht="15">
      <c r="A42" s="540" t="s">
        <v>84</v>
      </c>
      <c r="B42" s="535"/>
      <c r="C42" s="536"/>
      <c r="D42" s="537">
        <v>0</v>
      </c>
      <c r="E42" s="537"/>
      <c r="F42" s="537">
        <f t="shared" si="6"/>
        <v>0</v>
      </c>
      <c r="G42" s="537">
        <v>0</v>
      </c>
      <c r="H42" s="537">
        <f t="shared" si="3"/>
        <v>0</v>
      </c>
      <c r="I42" s="537">
        <f t="shared" si="7"/>
        <v>0</v>
      </c>
      <c r="J42" s="537">
        <v>0</v>
      </c>
      <c r="K42" s="537">
        <f t="shared" si="4"/>
        <v>0</v>
      </c>
      <c r="L42" s="537">
        <f t="shared" si="8"/>
        <v>0</v>
      </c>
      <c r="M42" s="537">
        <v>0</v>
      </c>
      <c r="N42" s="537">
        <f t="shared" si="5"/>
        <v>0</v>
      </c>
      <c r="O42" s="537">
        <f t="shared" si="9"/>
        <v>0</v>
      </c>
      <c r="P42" s="537"/>
      <c r="Q42" s="538"/>
      <c r="R42" s="539">
        <f t="shared" si="10"/>
        <v>0</v>
      </c>
    </row>
    <row r="43" spans="1:18" ht="15">
      <c r="A43" s="546" t="s">
        <v>85</v>
      </c>
      <c r="B43" s="535"/>
      <c r="C43" s="542"/>
      <c r="D43" s="543">
        <v>100</v>
      </c>
      <c r="E43" s="543"/>
      <c r="F43" s="543">
        <f t="shared" si="6"/>
        <v>0</v>
      </c>
      <c r="G43" s="543">
        <v>100</v>
      </c>
      <c r="H43" s="543">
        <f t="shared" si="3"/>
        <v>0</v>
      </c>
      <c r="I43" s="543">
        <f t="shared" si="7"/>
        <v>0</v>
      </c>
      <c r="J43" s="543">
        <v>100</v>
      </c>
      <c r="K43" s="543">
        <f t="shared" si="4"/>
        <v>0</v>
      </c>
      <c r="L43" s="543">
        <f t="shared" si="8"/>
        <v>0</v>
      </c>
      <c r="M43" s="543">
        <v>100</v>
      </c>
      <c r="N43" s="543">
        <f t="shared" si="5"/>
        <v>0</v>
      </c>
      <c r="O43" s="543">
        <f t="shared" si="9"/>
        <v>0</v>
      </c>
      <c r="P43" s="543"/>
      <c r="Q43" s="544"/>
      <c r="R43" s="545">
        <f t="shared" si="10"/>
        <v>0</v>
      </c>
    </row>
    <row r="44" spans="1:18" ht="15">
      <c r="A44" s="541" t="s">
        <v>86</v>
      </c>
      <c r="B44" s="535"/>
      <c r="C44" s="542"/>
      <c r="D44" s="543">
        <v>300</v>
      </c>
      <c r="E44" s="543"/>
      <c r="F44" s="543">
        <f t="shared" si="6"/>
        <v>0</v>
      </c>
      <c r="G44" s="543">
        <v>330</v>
      </c>
      <c r="H44" s="543">
        <f t="shared" si="3"/>
        <v>0</v>
      </c>
      <c r="I44" s="543">
        <f t="shared" si="7"/>
        <v>0</v>
      </c>
      <c r="J44" s="543">
        <v>360</v>
      </c>
      <c r="K44" s="543">
        <f t="shared" si="4"/>
        <v>0</v>
      </c>
      <c r="L44" s="543">
        <f t="shared" si="8"/>
        <v>0</v>
      </c>
      <c r="M44" s="543">
        <v>390</v>
      </c>
      <c r="N44" s="543">
        <f t="shared" si="5"/>
        <v>0</v>
      </c>
      <c r="O44" s="543">
        <f t="shared" si="9"/>
        <v>0</v>
      </c>
      <c r="P44" s="543"/>
      <c r="Q44" s="544"/>
      <c r="R44" s="545">
        <f t="shared" si="10"/>
        <v>0</v>
      </c>
    </row>
    <row r="45" spans="1:18" ht="15">
      <c r="A45" s="528" t="s">
        <v>87</v>
      </c>
      <c r="B45" s="529" t="s">
        <v>659</v>
      </c>
      <c r="C45" s="530"/>
      <c r="D45" s="531">
        <v>0</v>
      </c>
      <c r="E45" s="531"/>
      <c r="F45" s="531" t="e">
        <f>#REF!+#REF!+#REF!</f>
        <v>#REF!</v>
      </c>
      <c r="G45" s="531">
        <v>0</v>
      </c>
      <c r="H45" s="531">
        <f t="shared" si="3"/>
        <v>0</v>
      </c>
      <c r="I45" s="531" t="e">
        <f>#REF!+#REF!+#REF!</f>
        <v>#REF!</v>
      </c>
      <c r="J45" s="531">
        <v>0</v>
      </c>
      <c r="K45" s="531">
        <f t="shared" si="4"/>
        <v>0</v>
      </c>
      <c r="L45" s="531" t="e">
        <f>#REF!+#REF!+#REF!</f>
        <v>#REF!</v>
      </c>
      <c r="M45" s="531">
        <v>0</v>
      </c>
      <c r="N45" s="531">
        <f t="shared" si="5"/>
        <v>0</v>
      </c>
      <c r="O45" s="531" t="e">
        <f>#REF!+#REF!+#REF!</f>
        <v>#REF!</v>
      </c>
      <c r="P45" s="531"/>
      <c r="Q45" s="532"/>
      <c r="R45" s="533">
        <f>SUM(R46:R54)</f>
        <v>0</v>
      </c>
    </row>
    <row r="46" spans="1:18" ht="15">
      <c r="A46" s="540" t="s">
        <v>88</v>
      </c>
      <c r="B46" s="535"/>
      <c r="C46" s="536"/>
      <c r="D46" s="537">
        <v>3500</v>
      </c>
      <c r="E46" s="537"/>
      <c r="F46" s="537">
        <f t="shared" ref="F46:F54" si="11">ROUND(ROUND(D46,2)*ROUND(E46,2),2)</f>
        <v>0</v>
      </c>
      <c r="G46" s="537">
        <v>3600</v>
      </c>
      <c r="H46" s="537">
        <f t="shared" si="3"/>
        <v>0</v>
      </c>
      <c r="I46" s="537">
        <f t="shared" ref="I46:I54" si="12">ROUND(ROUND(G46,2)*ROUND(H46,2),2)</f>
        <v>0</v>
      </c>
      <c r="J46" s="537">
        <v>3800</v>
      </c>
      <c r="K46" s="537">
        <f t="shared" si="4"/>
        <v>0</v>
      </c>
      <c r="L46" s="537">
        <f t="shared" ref="L46:L54" si="13">ROUND(ROUND(J46,2)*ROUND(K46,2),2)</f>
        <v>0</v>
      </c>
      <c r="M46" s="537">
        <v>4000</v>
      </c>
      <c r="N46" s="537">
        <f t="shared" si="5"/>
        <v>0</v>
      </c>
      <c r="O46" s="537">
        <f t="shared" ref="O46:O54" si="14">ROUND(ROUND(M46,2)*ROUND(N46,2),2)</f>
        <v>0</v>
      </c>
      <c r="P46" s="537"/>
      <c r="Q46" s="538"/>
      <c r="R46" s="539">
        <f t="shared" ref="R46:R54" si="15">ROUND(ROUND(P46,2)*ROUND(Q46,2),2)</f>
        <v>0</v>
      </c>
    </row>
    <row r="47" spans="1:18" ht="15">
      <c r="A47" s="540" t="s">
        <v>89</v>
      </c>
      <c r="B47" s="535"/>
      <c r="C47" s="536"/>
      <c r="D47" s="537">
        <v>100</v>
      </c>
      <c r="E47" s="537"/>
      <c r="F47" s="537">
        <f t="shared" si="11"/>
        <v>0</v>
      </c>
      <c r="G47" s="537">
        <v>100</v>
      </c>
      <c r="H47" s="537">
        <f t="shared" si="3"/>
        <v>0</v>
      </c>
      <c r="I47" s="537">
        <f t="shared" si="12"/>
        <v>0</v>
      </c>
      <c r="J47" s="537">
        <v>100</v>
      </c>
      <c r="K47" s="537">
        <f t="shared" si="4"/>
        <v>0</v>
      </c>
      <c r="L47" s="537">
        <f t="shared" si="13"/>
        <v>0</v>
      </c>
      <c r="M47" s="537">
        <v>100</v>
      </c>
      <c r="N47" s="537">
        <f t="shared" si="5"/>
        <v>0</v>
      </c>
      <c r="O47" s="537">
        <f t="shared" si="14"/>
        <v>0</v>
      </c>
      <c r="P47" s="537"/>
      <c r="Q47" s="538"/>
      <c r="R47" s="539">
        <f t="shared" si="15"/>
        <v>0</v>
      </c>
    </row>
    <row r="48" spans="1:18" ht="15">
      <c r="A48" s="540" t="s">
        <v>91</v>
      </c>
      <c r="B48" s="535"/>
      <c r="C48" s="536"/>
      <c r="D48" s="537">
        <v>24000</v>
      </c>
      <c r="E48" s="537"/>
      <c r="F48" s="537">
        <f t="shared" si="11"/>
        <v>0</v>
      </c>
      <c r="G48" s="537">
        <v>30000</v>
      </c>
      <c r="H48" s="537">
        <f t="shared" si="3"/>
        <v>0</v>
      </c>
      <c r="I48" s="537">
        <f t="shared" si="12"/>
        <v>0</v>
      </c>
      <c r="J48" s="537">
        <v>35000</v>
      </c>
      <c r="K48" s="537">
        <f t="shared" si="4"/>
        <v>0</v>
      </c>
      <c r="L48" s="537">
        <f t="shared" si="13"/>
        <v>0</v>
      </c>
      <c r="M48" s="537">
        <v>40000</v>
      </c>
      <c r="N48" s="537">
        <f t="shared" si="5"/>
        <v>0</v>
      </c>
      <c r="O48" s="537">
        <f t="shared" si="14"/>
        <v>0</v>
      </c>
      <c r="P48" s="537"/>
      <c r="Q48" s="538"/>
      <c r="R48" s="539">
        <f t="shared" si="15"/>
        <v>0</v>
      </c>
    </row>
    <row r="49" spans="1:18" ht="15">
      <c r="A49" s="534" t="s">
        <v>616</v>
      </c>
      <c r="B49" s="535"/>
      <c r="C49" s="536"/>
      <c r="D49" s="537">
        <v>800</v>
      </c>
      <c r="E49" s="537"/>
      <c r="F49" s="537">
        <f t="shared" si="11"/>
        <v>0</v>
      </c>
      <c r="G49" s="537">
        <v>900</v>
      </c>
      <c r="H49" s="537">
        <f t="shared" si="3"/>
        <v>0</v>
      </c>
      <c r="I49" s="537">
        <f t="shared" si="12"/>
        <v>0</v>
      </c>
      <c r="J49" s="537">
        <v>1000</v>
      </c>
      <c r="K49" s="537">
        <f t="shared" si="4"/>
        <v>0</v>
      </c>
      <c r="L49" s="537">
        <f t="shared" si="13"/>
        <v>0</v>
      </c>
      <c r="M49" s="537">
        <v>1100</v>
      </c>
      <c r="N49" s="537">
        <f t="shared" si="5"/>
        <v>0</v>
      </c>
      <c r="O49" s="537">
        <f t="shared" si="14"/>
        <v>0</v>
      </c>
      <c r="P49" s="537"/>
      <c r="Q49" s="538"/>
      <c r="R49" s="539">
        <f t="shared" si="15"/>
        <v>0</v>
      </c>
    </row>
    <row r="50" spans="1:18" ht="15">
      <c r="A50" s="540" t="s">
        <v>620</v>
      </c>
      <c r="B50" s="535"/>
      <c r="C50" s="536"/>
      <c r="D50" s="537">
        <v>10</v>
      </c>
      <c r="E50" s="537"/>
      <c r="F50" s="537">
        <f t="shared" si="11"/>
        <v>0</v>
      </c>
      <c r="G50" s="537">
        <v>10</v>
      </c>
      <c r="H50" s="537">
        <f t="shared" si="3"/>
        <v>0</v>
      </c>
      <c r="I50" s="537">
        <f t="shared" si="12"/>
        <v>0</v>
      </c>
      <c r="J50" s="537">
        <v>10</v>
      </c>
      <c r="K50" s="537">
        <f t="shared" si="4"/>
        <v>0</v>
      </c>
      <c r="L50" s="537">
        <f t="shared" si="13"/>
        <v>0</v>
      </c>
      <c r="M50" s="537">
        <v>10</v>
      </c>
      <c r="N50" s="537">
        <f t="shared" si="5"/>
        <v>0</v>
      </c>
      <c r="O50" s="537">
        <f t="shared" si="14"/>
        <v>0</v>
      </c>
      <c r="P50" s="537"/>
      <c r="Q50" s="538"/>
      <c r="R50" s="539">
        <f t="shared" si="15"/>
        <v>0</v>
      </c>
    </row>
    <row r="51" spans="1:18" ht="15">
      <c r="A51" s="540" t="s">
        <v>621</v>
      </c>
      <c r="B51" s="535"/>
      <c r="C51" s="536"/>
      <c r="D51" s="537">
        <v>100</v>
      </c>
      <c r="E51" s="537"/>
      <c r="F51" s="537">
        <f t="shared" si="11"/>
        <v>0</v>
      </c>
      <c r="G51" s="537">
        <v>100</v>
      </c>
      <c r="H51" s="537">
        <f t="shared" si="3"/>
        <v>0</v>
      </c>
      <c r="I51" s="537">
        <f t="shared" si="12"/>
        <v>0</v>
      </c>
      <c r="J51" s="537">
        <v>100</v>
      </c>
      <c r="K51" s="537">
        <f t="shared" si="4"/>
        <v>0</v>
      </c>
      <c r="L51" s="537">
        <f t="shared" si="13"/>
        <v>0</v>
      </c>
      <c r="M51" s="537">
        <v>100</v>
      </c>
      <c r="N51" s="537">
        <f t="shared" si="5"/>
        <v>0</v>
      </c>
      <c r="O51" s="537">
        <f t="shared" si="14"/>
        <v>0</v>
      </c>
      <c r="P51" s="537"/>
      <c r="Q51" s="538"/>
      <c r="R51" s="539">
        <f t="shared" si="15"/>
        <v>0</v>
      </c>
    </row>
    <row r="52" spans="1:18" ht="15">
      <c r="A52" s="540" t="s">
        <v>622</v>
      </c>
      <c r="B52" s="535"/>
      <c r="C52" s="536"/>
      <c r="D52" s="537">
        <v>100</v>
      </c>
      <c r="E52" s="537"/>
      <c r="F52" s="537">
        <f t="shared" si="11"/>
        <v>0</v>
      </c>
      <c r="G52" s="537">
        <v>100</v>
      </c>
      <c r="H52" s="537">
        <f t="shared" si="3"/>
        <v>0</v>
      </c>
      <c r="I52" s="537">
        <f t="shared" si="12"/>
        <v>0</v>
      </c>
      <c r="J52" s="537">
        <v>100</v>
      </c>
      <c r="K52" s="537">
        <f t="shared" si="4"/>
        <v>0</v>
      </c>
      <c r="L52" s="537">
        <f t="shared" si="13"/>
        <v>0</v>
      </c>
      <c r="M52" s="537">
        <v>100</v>
      </c>
      <c r="N52" s="537">
        <f t="shared" si="5"/>
        <v>0</v>
      </c>
      <c r="O52" s="537">
        <f t="shared" si="14"/>
        <v>0</v>
      </c>
      <c r="P52" s="537"/>
      <c r="Q52" s="538"/>
      <c r="R52" s="539">
        <f t="shared" si="15"/>
        <v>0</v>
      </c>
    </row>
    <row r="53" spans="1:18" ht="15">
      <c r="A53" s="540" t="s">
        <v>623</v>
      </c>
      <c r="B53" s="535"/>
      <c r="C53" s="536"/>
      <c r="D53" s="537">
        <v>6</v>
      </c>
      <c r="E53" s="537"/>
      <c r="F53" s="537">
        <f t="shared" si="11"/>
        <v>0</v>
      </c>
      <c r="G53" s="537">
        <v>6</v>
      </c>
      <c r="H53" s="537">
        <f t="shared" si="3"/>
        <v>0</v>
      </c>
      <c r="I53" s="537">
        <f t="shared" si="12"/>
        <v>0</v>
      </c>
      <c r="J53" s="537">
        <v>6</v>
      </c>
      <c r="K53" s="537">
        <f t="shared" si="4"/>
        <v>0</v>
      </c>
      <c r="L53" s="537">
        <f t="shared" si="13"/>
        <v>0</v>
      </c>
      <c r="M53" s="537">
        <v>6</v>
      </c>
      <c r="N53" s="537">
        <f t="shared" si="5"/>
        <v>0</v>
      </c>
      <c r="O53" s="537">
        <f t="shared" si="14"/>
        <v>0</v>
      </c>
      <c r="P53" s="537"/>
      <c r="Q53" s="538"/>
      <c r="R53" s="539">
        <f t="shared" si="15"/>
        <v>0</v>
      </c>
    </row>
    <row r="54" spans="1:18" ht="15">
      <c r="A54" s="540" t="s">
        <v>624</v>
      </c>
      <c r="B54" s="535"/>
      <c r="C54" s="536"/>
      <c r="D54" s="537">
        <v>12</v>
      </c>
      <c r="E54" s="537"/>
      <c r="F54" s="537">
        <f t="shared" si="11"/>
        <v>0</v>
      </c>
      <c r="G54" s="537">
        <v>12</v>
      </c>
      <c r="H54" s="537">
        <f t="shared" si="3"/>
        <v>0</v>
      </c>
      <c r="I54" s="537">
        <f t="shared" si="12"/>
        <v>0</v>
      </c>
      <c r="J54" s="537">
        <v>12</v>
      </c>
      <c r="K54" s="537">
        <f t="shared" si="4"/>
        <v>0</v>
      </c>
      <c r="L54" s="537">
        <f t="shared" si="13"/>
        <v>0</v>
      </c>
      <c r="M54" s="537">
        <v>12</v>
      </c>
      <c r="N54" s="537">
        <f t="shared" si="5"/>
        <v>0</v>
      </c>
      <c r="O54" s="537">
        <f t="shared" si="14"/>
        <v>0</v>
      </c>
      <c r="P54" s="537"/>
      <c r="Q54" s="538"/>
      <c r="R54" s="539">
        <f t="shared" si="15"/>
        <v>0</v>
      </c>
    </row>
    <row r="55" spans="1:18" ht="15">
      <c r="A55" s="528" t="s">
        <v>92</v>
      </c>
      <c r="B55" s="529" t="s">
        <v>653</v>
      </c>
      <c r="C55" s="530"/>
      <c r="D55" s="531">
        <v>0</v>
      </c>
      <c r="E55" s="531"/>
      <c r="F55" s="531" t="e">
        <f>#REF!+#REF!+#REF!</f>
        <v>#REF!</v>
      </c>
      <c r="G55" s="531">
        <v>0</v>
      </c>
      <c r="H55" s="531">
        <f t="shared" si="3"/>
        <v>0</v>
      </c>
      <c r="I55" s="531" t="e">
        <f>#REF!+#REF!+#REF!</f>
        <v>#REF!</v>
      </c>
      <c r="J55" s="531">
        <v>0</v>
      </c>
      <c r="K55" s="531">
        <f t="shared" si="4"/>
        <v>0</v>
      </c>
      <c r="L55" s="531" t="e">
        <f>#REF!+#REF!+#REF!</f>
        <v>#REF!</v>
      </c>
      <c r="M55" s="531">
        <v>0</v>
      </c>
      <c r="N55" s="531">
        <f t="shared" si="5"/>
        <v>0</v>
      </c>
      <c r="O55" s="531" t="e">
        <f>#REF!+#REF!+#REF!</f>
        <v>#REF!</v>
      </c>
      <c r="P55" s="531"/>
      <c r="Q55" s="532"/>
      <c r="R55" s="533">
        <f>SUM(R56:R61)</f>
        <v>0</v>
      </c>
    </row>
    <row r="56" spans="1:18" ht="15">
      <c r="A56" s="534" t="s">
        <v>93</v>
      </c>
      <c r="B56" s="535" t="s">
        <v>820</v>
      </c>
      <c r="C56" s="536"/>
      <c r="D56" s="547">
        <v>50976</v>
      </c>
      <c r="E56" s="537"/>
      <c r="F56" s="537">
        <f t="shared" ref="F56:F61" si="16">ROUND(ROUND(D56,2)*ROUND(E56,2),2)</f>
        <v>0</v>
      </c>
      <c r="G56" s="537">
        <v>58976</v>
      </c>
      <c r="H56" s="537">
        <f t="shared" si="3"/>
        <v>0</v>
      </c>
      <c r="I56" s="537">
        <f t="shared" ref="I56:I61" si="17">ROUND(ROUND(G56,2)*ROUND(H56,2),2)</f>
        <v>0</v>
      </c>
      <c r="J56" s="537">
        <v>63976</v>
      </c>
      <c r="K56" s="537">
        <f t="shared" si="4"/>
        <v>0</v>
      </c>
      <c r="L56" s="537">
        <f t="shared" ref="L56:L61" si="18">ROUND(ROUND(J56,2)*ROUND(K56,2),2)</f>
        <v>0</v>
      </c>
      <c r="M56" s="537">
        <v>68976</v>
      </c>
      <c r="N56" s="537">
        <f t="shared" si="5"/>
        <v>0</v>
      </c>
      <c r="O56" s="537">
        <f t="shared" ref="O56:O61" si="19">ROUND(ROUND(M56,2)*ROUND(N56,2),2)</f>
        <v>0</v>
      </c>
      <c r="P56" s="537"/>
      <c r="Q56" s="538"/>
      <c r="R56" s="539">
        <f t="shared" ref="R56:R61" si="20">ROUND(ROUND(P56,2)*ROUND(Q56,2),2)</f>
        <v>0</v>
      </c>
    </row>
    <row r="57" spans="1:18" ht="15">
      <c r="A57" s="534" t="s">
        <v>94</v>
      </c>
      <c r="B57" s="535"/>
      <c r="C57" s="536"/>
      <c r="D57" s="547">
        <v>2400</v>
      </c>
      <c r="E57" s="537"/>
      <c r="F57" s="537">
        <f t="shared" si="16"/>
        <v>0</v>
      </c>
      <c r="G57" s="537">
        <v>2400</v>
      </c>
      <c r="H57" s="537">
        <f t="shared" si="3"/>
        <v>0</v>
      </c>
      <c r="I57" s="537">
        <f t="shared" si="17"/>
        <v>0</v>
      </c>
      <c r="J57" s="537">
        <v>2400</v>
      </c>
      <c r="K57" s="537">
        <f t="shared" si="4"/>
        <v>0</v>
      </c>
      <c r="L57" s="537">
        <f t="shared" si="18"/>
        <v>0</v>
      </c>
      <c r="M57" s="537">
        <v>2400</v>
      </c>
      <c r="N57" s="537">
        <f t="shared" si="5"/>
        <v>0</v>
      </c>
      <c r="O57" s="537">
        <f t="shared" si="19"/>
        <v>0</v>
      </c>
      <c r="P57" s="537"/>
      <c r="Q57" s="538"/>
      <c r="R57" s="539">
        <f t="shared" si="20"/>
        <v>0</v>
      </c>
    </row>
    <row r="58" spans="1:18" ht="15">
      <c r="A58" s="534" t="s">
        <v>95</v>
      </c>
      <c r="B58" s="535"/>
      <c r="C58" s="536"/>
      <c r="D58" s="537">
        <v>20000</v>
      </c>
      <c r="E58" s="537"/>
      <c r="F58" s="537">
        <f t="shared" si="16"/>
        <v>0</v>
      </c>
      <c r="G58" s="537">
        <v>25000</v>
      </c>
      <c r="H58" s="537">
        <f t="shared" si="3"/>
        <v>0</v>
      </c>
      <c r="I58" s="537">
        <f t="shared" si="17"/>
        <v>0</v>
      </c>
      <c r="J58" s="537">
        <v>30000</v>
      </c>
      <c r="K58" s="537">
        <f t="shared" si="4"/>
        <v>0</v>
      </c>
      <c r="L58" s="537">
        <f t="shared" si="18"/>
        <v>0</v>
      </c>
      <c r="M58" s="537">
        <v>35000</v>
      </c>
      <c r="N58" s="537">
        <f t="shared" si="5"/>
        <v>0</v>
      </c>
      <c r="O58" s="537">
        <f t="shared" si="19"/>
        <v>0</v>
      </c>
      <c r="P58" s="537"/>
      <c r="Q58" s="538"/>
      <c r="R58" s="539">
        <f t="shared" si="20"/>
        <v>0</v>
      </c>
    </row>
    <row r="59" spans="1:18" ht="15">
      <c r="A59" s="534" t="s">
        <v>617</v>
      </c>
      <c r="B59" s="535"/>
      <c r="C59" s="536"/>
      <c r="D59" s="537">
        <v>0</v>
      </c>
      <c r="E59" s="537"/>
      <c r="F59" s="537">
        <f t="shared" si="16"/>
        <v>0</v>
      </c>
      <c r="G59" s="537">
        <v>0</v>
      </c>
      <c r="H59" s="537">
        <f t="shared" si="3"/>
        <v>0</v>
      </c>
      <c r="I59" s="537">
        <f t="shared" si="17"/>
        <v>0</v>
      </c>
      <c r="J59" s="537">
        <v>0</v>
      </c>
      <c r="K59" s="537">
        <f t="shared" si="4"/>
        <v>0</v>
      </c>
      <c r="L59" s="537">
        <f t="shared" si="18"/>
        <v>0</v>
      </c>
      <c r="M59" s="537">
        <v>0</v>
      </c>
      <c r="N59" s="537">
        <f t="shared" si="5"/>
        <v>0</v>
      </c>
      <c r="O59" s="537">
        <f t="shared" si="19"/>
        <v>0</v>
      </c>
      <c r="P59" s="537"/>
      <c r="Q59" s="538"/>
      <c r="R59" s="539">
        <f t="shared" si="20"/>
        <v>0</v>
      </c>
    </row>
    <row r="60" spans="1:18" ht="15">
      <c r="A60" s="534" t="s">
        <v>618</v>
      </c>
      <c r="B60" s="535"/>
      <c r="C60" s="536"/>
      <c r="D60" s="547">
        <v>6800</v>
      </c>
      <c r="E60" s="537"/>
      <c r="F60" s="537">
        <f t="shared" si="16"/>
        <v>0</v>
      </c>
      <c r="G60" s="537">
        <v>7000</v>
      </c>
      <c r="H60" s="537">
        <f t="shared" si="3"/>
        <v>0</v>
      </c>
      <c r="I60" s="537">
        <f t="shared" si="17"/>
        <v>0</v>
      </c>
      <c r="J60" s="537">
        <v>7500</v>
      </c>
      <c r="K60" s="537">
        <f t="shared" si="4"/>
        <v>0</v>
      </c>
      <c r="L60" s="537">
        <f t="shared" si="18"/>
        <v>0</v>
      </c>
      <c r="M60" s="537">
        <v>8000</v>
      </c>
      <c r="N60" s="537">
        <f t="shared" si="5"/>
        <v>0</v>
      </c>
      <c r="O60" s="537">
        <f t="shared" si="19"/>
        <v>0</v>
      </c>
      <c r="P60" s="537"/>
      <c r="Q60" s="538"/>
      <c r="R60" s="539">
        <f t="shared" si="20"/>
        <v>0</v>
      </c>
    </row>
    <row r="61" spans="1:18" ht="15">
      <c r="A61" s="534" t="s">
        <v>619</v>
      </c>
      <c r="B61" s="535"/>
      <c r="C61" s="536"/>
      <c r="D61" s="537">
        <v>56</v>
      </c>
      <c r="E61" s="537"/>
      <c r="F61" s="537">
        <f t="shared" si="16"/>
        <v>0</v>
      </c>
      <c r="G61" s="537">
        <v>56</v>
      </c>
      <c r="H61" s="537">
        <f t="shared" si="3"/>
        <v>0</v>
      </c>
      <c r="I61" s="537">
        <f t="shared" si="17"/>
        <v>0</v>
      </c>
      <c r="J61" s="537">
        <v>56</v>
      </c>
      <c r="K61" s="537">
        <f t="shared" si="4"/>
        <v>0</v>
      </c>
      <c r="L61" s="537">
        <f t="shared" si="18"/>
        <v>0</v>
      </c>
      <c r="M61" s="537">
        <v>56</v>
      </c>
      <c r="N61" s="537">
        <f t="shared" si="5"/>
        <v>0</v>
      </c>
      <c r="O61" s="537">
        <f t="shared" si="19"/>
        <v>0</v>
      </c>
      <c r="P61" s="537"/>
      <c r="Q61" s="538"/>
      <c r="R61" s="539">
        <f t="shared" si="20"/>
        <v>0</v>
      </c>
    </row>
    <row r="62" spans="1:18" ht="15">
      <c r="A62" s="528" t="s">
        <v>96</v>
      </c>
      <c r="B62" s="529" t="s">
        <v>654</v>
      </c>
      <c r="C62" s="530"/>
      <c r="D62" s="531">
        <v>0</v>
      </c>
      <c r="E62" s="531"/>
      <c r="F62" s="531">
        <f>SUM(F63:F69)</f>
        <v>0</v>
      </c>
      <c r="G62" s="531">
        <v>0</v>
      </c>
      <c r="H62" s="531">
        <f t="shared" si="3"/>
        <v>0</v>
      </c>
      <c r="I62" s="531">
        <f>SUM(I63:I69)</f>
        <v>0</v>
      </c>
      <c r="J62" s="531">
        <v>0</v>
      </c>
      <c r="K62" s="531">
        <f t="shared" si="4"/>
        <v>0</v>
      </c>
      <c r="L62" s="531">
        <f>SUM(L63:L69)</f>
        <v>0</v>
      </c>
      <c r="M62" s="531">
        <v>0</v>
      </c>
      <c r="N62" s="531">
        <f t="shared" si="5"/>
        <v>0</v>
      </c>
      <c r="O62" s="531">
        <f>SUM(O63:O69)</f>
        <v>0</v>
      </c>
      <c r="P62" s="531"/>
      <c r="Q62" s="532"/>
      <c r="R62" s="533">
        <f>SUM(R63:R69)</f>
        <v>0</v>
      </c>
    </row>
    <row r="63" spans="1:18" ht="15">
      <c r="A63" s="534" t="s">
        <v>97</v>
      </c>
      <c r="B63" s="535" t="s">
        <v>820</v>
      </c>
      <c r="C63" s="536"/>
      <c r="D63" s="537">
        <v>3500</v>
      </c>
      <c r="E63" s="537"/>
      <c r="F63" s="537">
        <f t="shared" ref="F63:F69" si="21">ROUND(ROUND(D63,2)*ROUND(E63,2),2)</f>
        <v>0</v>
      </c>
      <c r="G63" s="537">
        <v>4000</v>
      </c>
      <c r="H63" s="537">
        <f t="shared" si="3"/>
        <v>0</v>
      </c>
      <c r="I63" s="537">
        <f t="shared" ref="I63:I69" si="22">ROUND(ROUND(G63,2)*ROUND(H63,2),2)</f>
        <v>0</v>
      </c>
      <c r="J63" s="537">
        <v>4500</v>
      </c>
      <c r="K63" s="537">
        <f t="shared" si="4"/>
        <v>0</v>
      </c>
      <c r="L63" s="537">
        <f t="shared" ref="L63:L69" si="23">ROUND(ROUND(J63,2)*ROUND(K63,2),2)</f>
        <v>0</v>
      </c>
      <c r="M63" s="537">
        <v>5000</v>
      </c>
      <c r="N63" s="537">
        <f t="shared" si="5"/>
        <v>0</v>
      </c>
      <c r="O63" s="537">
        <f t="shared" ref="O63:O69" si="24">ROUND(ROUND(M63,2)*ROUND(N63,2),2)</f>
        <v>0</v>
      </c>
      <c r="P63" s="537"/>
      <c r="Q63" s="538"/>
      <c r="R63" s="539">
        <f t="shared" ref="R63:R69" si="25">ROUND(ROUND(P63,2)*ROUND(Q63,2),2)</f>
        <v>0</v>
      </c>
    </row>
    <row r="64" spans="1:18" ht="15">
      <c r="A64" s="534" t="s">
        <v>98</v>
      </c>
      <c r="B64" s="535"/>
      <c r="C64" s="536"/>
      <c r="D64" s="537">
        <v>2400000</v>
      </c>
      <c r="E64" s="537"/>
      <c r="F64" s="537">
        <f t="shared" si="21"/>
        <v>0</v>
      </c>
      <c r="G64" s="537">
        <v>2400000</v>
      </c>
      <c r="H64" s="537">
        <f t="shared" si="3"/>
        <v>0</v>
      </c>
      <c r="I64" s="537">
        <f t="shared" si="22"/>
        <v>0</v>
      </c>
      <c r="J64" s="537">
        <v>2400000</v>
      </c>
      <c r="K64" s="537">
        <f t="shared" si="4"/>
        <v>0</v>
      </c>
      <c r="L64" s="537">
        <f t="shared" si="23"/>
        <v>0</v>
      </c>
      <c r="M64" s="537">
        <v>2500000</v>
      </c>
      <c r="N64" s="537">
        <f t="shared" si="5"/>
        <v>0</v>
      </c>
      <c r="O64" s="537">
        <f t="shared" si="24"/>
        <v>0</v>
      </c>
      <c r="P64" s="537"/>
      <c r="Q64" s="538"/>
      <c r="R64" s="539">
        <f t="shared" si="25"/>
        <v>0</v>
      </c>
    </row>
    <row r="65" spans="1:18" ht="15">
      <c r="A65" s="534" t="s">
        <v>99</v>
      </c>
      <c r="B65" s="535"/>
      <c r="C65" s="536"/>
      <c r="D65" s="537">
        <v>4800000</v>
      </c>
      <c r="E65" s="537"/>
      <c r="F65" s="537">
        <f t="shared" si="21"/>
        <v>0</v>
      </c>
      <c r="G65" s="537">
        <v>5000000</v>
      </c>
      <c r="H65" s="537">
        <f t="shared" si="3"/>
        <v>0</v>
      </c>
      <c r="I65" s="537">
        <f t="shared" si="22"/>
        <v>0</v>
      </c>
      <c r="J65" s="537">
        <v>5000000</v>
      </c>
      <c r="K65" s="537">
        <f t="shared" si="4"/>
        <v>0</v>
      </c>
      <c r="L65" s="537">
        <f t="shared" si="23"/>
        <v>0</v>
      </c>
      <c r="M65" s="537">
        <v>5000000</v>
      </c>
      <c r="N65" s="537">
        <f t="shared" si="5"/>
        <v>0</v>
      </c>
      <c r="O65" s="537">
        <f t="shared" si="24"/>
        <v>0</v>
      </c>
      <c r="P65" s="537"/>
      <c r="Q65" s="538"/>
      <c r="R65" s="539">
        <f t="shared" si="25"/>
        <v>0</v>
      </c>
    </row>
    <row r="66" spans="1:18" ht="15">
      <c r="A66" s="534" t="s">
        <v>100</v>
      </c>
      <c r="B66" s="535"/>
      <c r="C66" s="536"/>
      <c r="D66" s="537">
        <v>0</v>
      </c>
      <c r="E66" s="537"/>
      <c r="F66" s="537">
        <f t="shared" si="21"/>
        <v>0</v>
      </c>
      <c r="G66" s="537">
        <v>0</v>
      </c>
      <c r="H66" s="537">
        <f t="shared" si="3"/>
        <v>0</v>
      </c>
      <c r="I66" s="537">
        <f t="shared" si="22"/>
        <v>0</v>
      </c>
      <c r="J66" s="537">
        <v>0</v>
      </c>
      <c r="K66" s="537">
        <f t="shared" si="4"/>
        <v>0</v>
      </c>
      <c r="L66" s="537">
        <f t="shared" si="23"/>
        <v>0</v>
      </c>
      <c r="M66" s="537">
        <v>0</v>
      </c>
      <c r="N66" s="537">
        <f t="shared" si="5"/>
        <v>0</v>
      </c>
      <c r="O66" s="537">
        <f t="shared" si="24"/>
        <v>0</v>
      </c>
      <c r="P66" s="537"/>
      <c r="Q66" s="538"/>
      <c r="R66" s="539">
        <f t="shared" si="25"/>
        <v>0</v>
      </c>
    </row>
    <row r="67" spans="1:18" ht="15">
      <c r="A67" s="534" t="s">
        <v>101</v>
      </c>
      <c r="B67" s="535"/>
      <c r="C67" s="536"/>
      <c r="D67" s="537">
        <v>50</v>
      </c>
      <c r="E67" s="537"/>
      <c r="F67" s="537">
        <f t="shared" si="21"/>
        <v>0</v>
      </c>
      <c r="G67" s="537">
        <v>50</v>
      </c>
      <c r="H67" s="537">
        <f t="shared" si="3"/>
        <v>0</v>
      </c>
      <c r="I67" s="537">
        <f t="shared" si="22"/>
        <v>0</v>
      </c>
      <c r="J67" s="537">
        <v>50</v>
      </c>
      <c r="K67" s="537">
        <f t="shared" si="4"/>
        <v>0</v>
      </c>
      <c r="L67" s="537">
        <f t="shared" si="23"/>
        <v>0</v>
      </c>
      <c r="M67" s="537">
        <v>50</v>
      </c>
      <c r="N67" s="537">
        <f t="shared" si="5"/>
        <v>0</v>
      </c>
      <c r="O67" s="537">
        <f t="shared" si="24"/>
        <v>0</v>
      </c>
      <c r="P67" s="537"/>
      <c r="Q67" s="538"/>
      <c r="R67" s="539">
        <f t="shared" si="25"/>
        <v>0</v>
      </c>
    </row>
    <row r="68" spans="1:18" ht="15">
      <c r="A68" s="534" t="s">
        <v>102</v>
      </c>
      <c r="B68" s="535"/>
      <c r="C68" s="536"/>
      <c r="D68" s="537">
        <v>150</v>
      </c>
      <c r="E68" s="537"/>
      <c r="F68" s="537">
        <f t="shared" si="21"/>
        <v>0</v>
      </c>
      <c r="G68" s="537">
        <v>150</v>
      </c>
      <c r="H68" s="537">
        <f t="shared" si="3"/>
        <v>0</v>
      </c>
      <c r="I68" s="537">
        <f t="shared" si="22"/>
        <v>0</v>
      </c>
      <c r="J68" s="537">
        <v>150</v>
      </c>
      <c r="K68" s="537">
        <f t="shared" si="4"/>
        <v>0</v>
      </c>
      <c r="L68" s="537">
        <f t="shared" si="23"/>
        <v>0</v>
      </c>
      <c r="M68" s="537">
        <v>150</v>
      </c>
      <c r="N68" s="537">
        <f t="shared" si="5"/>
        <v>0</v>
      </c>
      <c r="O68" s="537">
        <f t="shared" si="24"/>
        <v>0</v>
      </c>
      <c r="P68" s="537"/>
      <c r="Q68" s="538"/>
      <c r="R68" s="539">
        <f t="shared" si="25"/>
        <v>0</v>
      </c>
    </row>
    <row r="69" spans="1:18" ht="15">
      <c r="A69" s="534" t="s">
        <v>103</v>
      </c>
      <c r="B69" s="535"/>
      <c r="C69" s="536"/>
      <c r="D69" s="537">
        <v>12000</v>
      </c>
      <c r="E69" s="537"/>
      <c r="F69" s="537">
        <f t="shared" si="21"/>
        <v>0</v>
      </c>
      <c r="G69" s="537">
        <v>13000</v>
      </c>
      <c r="H69" s="537">
        <f t="shared" si="3"/>
        <v>0</v>
      </c>
      <c r="I69" s="537">
        <f t="shared" si="22"/>
        <v>0</v>
      </c>
      <c r="J69" s="537">
        <v>16000</v>
      </c>
      <c r="K69" s="537">
        <f t="shared" si="4"/>
        <v>0</v>
      </c>
      <c r="L69" s="537">
        <f t="shared" si="23"/>
        <v>0</v>
      </c>
      <c r="M69" s="537">
        <v>17500</v>
      </c>
      <c r="N69" s="537">
        <f t="shared" si="5"/>
        <v>0</v>
      </c>
      <c r="O69" s="537">
        <f t="shared" si="24"/>
        <v>0</v>
      </c>
      <c r="P69" s="537"/>
      <c r="Q69" s="538"/>
      <c r="R69" s="539">
        <f t="shared" si="25"/>
        <v>0</v>
      </c>
    </row>
    <row r="70" spans="1:18" ht="15">
      <c r="A70" s="528" t="s">
        <v>104</v>
      </c>
      <c r="B70" s="529" t="s">
        <v>641</v>
      </c>
      <c r="C70" s="530"/>
      <c r="D70" s="531">
        <v>0</v>
      </c>
      <c r="E70" s="531"/>
      <c r="F70" s="531" t="e">
        <f>#REF!+#REF!+#REF!</f>
        <v>#REF!</v>
      </c>
      <c r="G70" s="531">
        <v>0</v>
      </c>
      <c r="H70" s="531">
        <f t="shared" si="3"/>
        <v>0</v>
      </c>
      <c r="I70" s="531" t="e">
        <f>#REF!+#REF!+#REF!</f>
        <v>#REF!</v>
      </c>
      <c r="J70" s="531">
        <v>0</v>
      </c>
      <c r="K70" s="531">
        <f t="shared" si="4"/>
        <v>0</v>
      </c>
      <c r="L70" s="531" t="e">
        <f>#REF!+#REF!+#REF!</f>
        <v>#REF!</v>
      </c>
      <c r="M70" s="531">
        <v>0</v>
      </c>
      <c r="N70" s="531">
        <f t="shared" si="5"/>
        <v>0</v>
      </c>
      <c r="O70" s="531" t="e">
        <f>#REF!+#REF!+#REF!</f>
        <v>#REF!</v>
      </c>
      <c r="P70" s="531"/>
      <c r="Q70" s="532"/>
      <c r="R70" s="533">
        <f>SUM(R71:R78)</f>
        <v>0</v>
      </c>
    </row>
    <row r="71" spans="1:18" ht="15">
      <c r="A71" s="534" t="s">
        <v>625</v>
      </c>
      <c r="B71" s="535" t="s">
        <v>820</v>
      </c>
      <c r="C71" s="536"/>
      <c r="D71" s="537">
        <v>400</v>
      </c>
      <c r="E71" s="537"/>
      <c r="F71" s="537">
        <f t="shared" ref="F71:F78" si="26">ROUND(ROUND(D71,2)*ROUND(E71,2),2)</f>
        <v>0</v>
      </c>
      <c r="G71" s="537">
        <v>400</v>
      </c>
      <c r="H71" s="537">
        <f t="shared" si="3"/>
        <v>0</v>
      </c>
      <c r="I71" s="537">
        <f t="shared" ref="I71:I78" si="27">ROUND(ROUND(G71,2)*ROUND(H71,2),2)</f>
        <v>0</v>
      </c>
      <c r="J71" s="537">
        <v>400</v>
      </c>
      <c r="K71" s="537">
        <f t="shared" si="4"/>
        <v>0</v>
      </c>
      <c r="L71" s="537">
        <f t="shared" ref="L71:L78" si="28">ROUND(ROUND(J71,2)*ROUND(K71,2),2)</f>
        <v>0</v>
      </c>
      <c r="M71" s="537">
        <v>400</v>
      </c>
      <c r="N71" s="537">
        <f t="shared" si="5"/>
        <v>0</v>
      </c>
      <c r="O71" s="537">
        <f t="shared" ref="O71:O78" si="29">ROUND(ROUND(M71,2)*ROUND(N71,2),2)</f>
        <v>0</v>
      </c>
      <c r="P71" s="537"/>
      <c r="Q71" s="538"/>
      <c r="R71" s="539">
        <f t="shared" ref="R71:R78" si="30">ROUND(ROUND(P71,2)*ROUND(Q71,2),2)</f>
        <v>0</v>
      </c>
    </row>
    <row r="72" spans="1:18" ht="15">
      <c r="A72" s="534" t="s">
        <v>105</v>
      </c>
      <c r="B72" s="535"/>
      <c r="C72" s="536"/>
      <c r="D72" s="537">
        <v>22</v>
      </c>
      <c r="E72" s="537"/>
      <c r="F72" s="537">
        <f t="shared" si="26"/>
        <v>0</v>
      </c>
      <c r="G72" s="537">
        <v>22</v>
      </c>
      <c r="H72" s="537">
        <f t="shared" si="3"/>
        <v>0</v>
      </c>
      <c r="I72" s="537">
        <f t="shared" si="27"/>
        <v>0</v>
      </c>
      <c r="J72" s="537">
        <v>22</v>
      </c>
      <c r="K72" s="537">
        <f t="shared" si="4"/>
        <v>0</v>
      </c>
      <c r="L72" s="537">
        <f t="shared" si="28"/>
        <v>0</v>
      </c>
      <c r="M72" s="537">
        <v>22</v>
      </c>
      <c r="N72" s="537">
        <f t="shared" si="5"/>
        <v>0</v>
      </c>
      <c r="O72" s="537">
        <f t="shared" si="29"/>
        <v>0</v>
      </c>
      <c r="P72" s="537"/>
      <c r="Q72" s="538"/>
      <c r="R72" s="539">
        <f t="shared" si="30"/>
        <v>0</v>
      </c>
    </row>
    <row r="73" spans="1:18" ht="15">
      <c r="A73" s="534" t="s">
        <v>107</v>
      </c>
      <c r="B73" s="535"/>
      <c r="C73" s="536"/>
      <c r="D73" s="537">
        <v>20</v>
      </c>
      <c r="E73" s="537"/>
      <c r="F73" s="537">
        <f t="shared" si="26"/>
        <v>0</v>
      </c>
      <c r="G73" s="537">
        <v>20</v>
      </c>
      <c r="H73" s="537">
        <f t="shared" si="3"/>
        <v>0</v>
      </c>
      <c r="I73" s="537">
        <f t="shared" si="27"/>
        <v>0</v>
      </c>
      <c r="J73" s="537">
        <v>20</v>
      </c>
      <c r="K73" s="537">
        <f t="shared" si="4"/>
        <v>0</v>
      </c>
      <c r="L73" s="537">
        <f t="shared" si="28"/>
        <v>0</v>
      </c>
      <c r="M73" s="537">
        <v>20</v>
      </c>
      <c r="N73" s="537">
        <f t="shared" si="5"/>
        <v>0</v>
      </c>
      <c r="O73" s="537">
        <f t="shared" si="29"/>
        <v>0</v>
      </c>
      <c r="P73" s="537"/>
      <c r="Q73" s="538"/>
      <c r="R73" s="539">
        <f t="shared" si="30"/>
        <v>0</v>
      </c>
    </row>
    <row r="74" spans="1:18" ht="15">
      <c r="A74" s="534" t="s">
        <v>626</v>
      </c>
      <c r="B74" s="535"/>
      <c r="C74" s="536"/>
      <c r="D74" s="537">
        <v>75</v>
      </c>
      <c r="E74" s="537"/>
      <c r="F74" s="537">
        <f t="shared" si="26"/>
        <v>0</v>
      </c>
      <c r="G74" s="537">
        <v>75</v>
      </c>
      <c r="H74" s="537">
        <f t="shared" si="3"/>
        <v>0</v>
      </c>
      <c r="I74" s="537">
        <f t="shared" si="27"/>
        <v>0</v>
      </c>
      <c r="J74" s="537">
        <v>75</v>
      </c>
      <c r="K74" s="537">
        <f t="shared" si="4"/>
        <v>0</v>
      </c>
      <c r="L74" s="537">
        <f t="shared" si="28"/>
        <v>0</v>
      </c>
      <c r="M74" s="537">
        <v>75</v>
      </c>
      <c r="N74" s="537">
        <f t="shared" si="5"/>
        <v>0</v>
      </c>
      <c r="O74" s="537">
        <f t="shared" si="29"/>
        <v>0</v>
      </c>
      <c r="P74" s="537"/>
      <c r="Q74" s="538"/>
      <c r="R74" s="539">
        <f t="shared" si="30"/>
        <v>0</v>
      </c>
    </row>
    <row r="75" spans="1:18" ht="15">
      <c r="A75" s="534" t="s">
        <v>627</v>
      </c>
      <c r="B75" s="535"/>
      <c r="C75" s="536"/>
      <c r="D75" s="537">
        <v>235</v>
      </c>
      <c r="E75" s="537"/>
      <c r="F75" s="537">
        <f t="shared" si="26"/>
        <v>0</v>
      </c>
      <c r="G75" s="537">
        <v>235</v>
      </c>
      <c r="H75" s="537">
        <f t="shared" si="3"/>
        <v>0</v>
      </c>
      <c r="I75" s="537">
        <f t="shared" si="27"/>
        <v>0</v>
      </c>
      <c r="J75" s="537">
        <v>235</v>
      </c>
      <c r="K75" s="537">
        <f t="shared" si="4"/>
        <v>0</v>
      </c>
      <c r="L75" s="537">
        <f t="shared" si="28"/>
        <v>0</v>
      </c>
      <c r="M75" s="537">
        <v>235</v>
      </c>
      <c r="N75" s="537">
        <f t="shared" si="5"/>
        <v>0</v>
      </c>
      <c r="O75" s="537">
        <f t="shared" si="29"/>
        <v>0</v>
      </c>
      <c r="P75" s="537"/>
      <c r="Q75" s="538"/>
      <c r="R75" s="539">
        <f t="shared" si="30"/>
        <v>0</v>
      </c>
    </row>
    <row r="76" spans="1:18" ht="15">
      <c r="A76" s="534" t="s">
        <v>628</v>
      </c>
      <c r="B76" s="535"/>
      <c r="C76" s="536"/>
      <c r="D76" s="537">
        <v>0</v>
      </c>
      <c r="E76" s="537"/>
      <c r="F76" s="537">
        <f t="shared" si="26"/>
        <v>0</v>
      </c>
      <c r="G76" s="537">
        <v>0</v>
      </c>
      <c r="H76" s="537">
        <f t="shared" si="3"/>
        <v>0</v>
      </c>
      <c r="I76" s="537">
        <f t="shared" si="27"/>
        <v>0</v>
      </c>
      <c r="J76" s="537">
        <v>0</v>
      </c>
      <c r="K76" s="537">
        <f t="shared" si="4"/>
        <v>0</v>
      </c>
      <c r="L76" s="537">
        <f t="shared" si="28"/>
        <v>0</v>
      </c>
      <c r="M76" s="537">
        <v>0</v>
      </c>
      <c r="N76" s="537">
        <f t="shared" si="5"/>
        <v>0</v>
      </c>
      <c r="O76" s="537">
        <f t="shared" si="29"/>
        <v>0</v>
      </c>
      <c r="P76" s="537"/>
      <c r="Q76" s="538"/>
      <c r="R76" s="539">
        <f t="shared" si="30"/>
        <v>0</v>
      </c>
    </row>
    <row r="77" spans="1:18" ht="15">
      <c r="A77" s="534" t="s">
        <v>629</v>
      </c>
      <c r="B77" s="535"/>
      <c r="C77" s="542"/>
      <c r="D77" s="543">
        <v>0</v>
      </c>
      <c r="E77" s="543"/>
      <c r="F77" s="543">
        <f t="shared" si="26"/>
        <v>0</v>
      </c>
      <c r="G77" s="543">
        <v>0</v>
      </c>
      <c r="H77" s="543">
        <f t="shared" si="3"/>
        <v>0</v>
      </c>
      <c r="I77" s="543">
        <f t="shared" si="27"/>
        <v>0</v>
      </c>
      <c r="J77" s="543">
        <v>0</v>
      </c>
      <c r="K77" s="543">
        <f t="shared" si="4"/>
        <v>0</v>
      </c>
      <c r="L77" s="543">
        <f t="shared" si="28"/>
        <v>0</v>
      </c>
      <c r="M77" s="543">
        <v>0</v>
      </c>
      <c r="N77" s="543">
        <f t="shared" si="5"/>
        <v>0</v>
      </c>
      <c r="O77" s="543">
        <f t="shared" si="29"/>
        <v>0</v>
      </c>
      <c r="P77" s="543"/>
      <c r="Q77" s="538"/>
      <c r="R77" s="545">
        <f t="shared" si="30"/>
        <v>0</v>
      </c>
    </row>
    <row r="78" spans="1:18" ht="15">
      <c r="A78" s="534" t="s">
        <v>630</v>
      </c>
      <c r="B78" s="535"/>
      <c r="C78" s="536"/>
      <c r="D78" s="537">
        <v>0</v>
      </c>
      <c r="E78" s="537"/>
      <c r="F78" s="537">
        <f t="shared" si="26"/>
        <v>0</v>
      </c>
      <c r="G78" s="537">
        <v>0</v>
      </c>
      <c r="H78" s="537">
        <f t="shared" si="3"/>
        <v>0</v>
      </c>
      <c r="I78" s="537">
        <f t="shared" si="27"/>
        <v>0</v>
      </c>
      <c r="J78" s="537">
        <v>0</v>
      </c>
      <c r="K78" s="537">
        <f t="shared" si="4"/>
        <v>0</v>
      </c>
      <c r="L78" s="537">
        <f t="shared" si="28"/>
        <v>0</v>
      </c>
      <c r="M78" s="537">
        <v>0</v>
      </c>
      <c r="N78" s="537">
        <f t="shared" si="5"/>
        <v>0</v>
      </c>
      <c r="O78" s="537">
        <f t="shared" si="29"/>
        <v>0</v>
      </c>
      <c r="P78" s="537"/>
      <c r="Q78" s="538"/>
      <c r="R78" s="539">
        <f t="shared" si="30"/>
        <v>0</v>
      </c>
    </row>
    <row r="79" spans="1:18" ht="15">
      <c r="A79" s="528" t="s">
        <v>108</v>
      </c>
      <c r="B79" s="529" t="s">
        <v>634</v>
      </c>
      <c r="C79" s="530"/>
      <c r="D79" s="531">
        <v>0</v>
      </c>
      <c r="E79" s="531"/>
      <c r="F79" s="531" t="e">
        <f>#REF!+#REF!+#REF!</f>
        <v>#REF!</v>
      </c>
      <c r="G79" s="531">
        <v>0</v>
      </c>
      <c r="H79" s="531">
        <f t="shared" si="3"/>
        <v>0</v>
      </c>
      <c r="I79" s="531" t="e">
        <f>#REF!+#REF!+#REF!</f>
        <v>#REF!</v>
      </c>
      <c r="J79" s="531">
        <v>0</v>
      </c>
      <c r="K79" s="531">
        <f t="shared" si="4"/>
        <v>0</v>
      </c>
      <c r="L79" s="531" t="e">
        <f>#REF!+#REF!+#REF!</f>
        <v>#REF!</v>
      </c>
      <c r="M79" s="531">
        <v>0</v>
      </c>
      <c r="N79" s="531">
        <f t="shared" si="5"/>
        <v>0</v>
      </c>
      <c r="O79" s="531" t="e">
        <f>#REF!+#REF!+#REF!</f>
        <v>#REF!</v>
      </c>
      <c r="P79" s="531"/>
      <c r="Q79" s="532"/>
      <c r="R79" s="533">
        <f>SUM(R80:R91)</f>
        <v>0</v>
      </c>
    </row>
    <row r="80" spans="1:18" ht="15">
      <c r="A80" s="534" t="s">
        <v>109</v>
      </c>
      <c r="B80" s="535" t="s">
        <v>820</v>
      </c>
      <c r="C80" s="536"/>
      <c r="D80" s="547">
        <v>10</v>
      </c>
      <c r="E80" s="537"/>
      <c r="F80" s="537">
        <f t="shared" ref="F80:F91" si="31">ROUND(ROUND(D80,2)*ROUND(E80,2),2)</f>
        <v>0</v>
      </c>
      <c r="G80" s="537">
        <v>10</v>
      </c>
      <c r="H80" s="537">
        <f t="shared" si="3"/>
        <v>0</v>
      </c>
      <c r="I80" s="537">
        <f t="shared" ref="I80:I91" si="32">ROUND(ROUND(G80,2)*ROUND(H80,2),2)</f>
        <v>0</v>
      </c>
      <c r="J80" s="537">
        <v>10</v>
      </c>
      <c r="K80" s="537">
        <f t="shared" si="4"/>
        <v>0</v>
      </c>
      <c r="L80" s="537">
        <f t="shared" ref="L80:L91" si="33">ROUND(ROUND(J80,2)*ROUND(K80,2),2)</f>
        <v>0</v>
      </c>
      <c r="M80" s="537">
        <v>10</v>
      </c>
      <c r="N80" s="537">
        <f t="shared" si="5"/>
        <v>0</v>
      </c>
      <c r="O80" s="537">
        <f t="shared" ref="O80:O91" si="34">ROUND(ROUND(M80,2)*ROUND(N80,2),2)</f>
        <v>0</v>
      </c>
      <c r="P80" s="537"/>
      <c r="Q80" s="548"/>
      <c r="R80" s="539">
        <f t="shared" ref="R80:R91" si="35">ROUND(ROUND(P80,2)*ROUND(Q80,2),2)</f>
        <v>0</v>
      </c>
    </row>
    <row r="81" spans="1:18" ht="15">
      <c r="A81" s="534" t="s">
        <v>110</v>
      </c>
      <c r="B81" s="535"/>
      <c r="C81" s="536"/>
      <c r="D81" s="547">
        <v>1</v>
      </c>
      <c r="E81" s="537"/>
      <c r="F81" s="537">
        <f t="shared" si="31"/>
        <v>0</v>
      </c>
      <c r="G81" s="537">
        <v>1</v>
      </c>
      <c r="H81" s="537">
        <f t="shared" si="3"/>
        <v>0</v>
      </c>
      <c r="I81" s="537">
        <f t="shared" si="32"/>
        <v>0</v>
      </c>
      <c r="J81" s="537">
        <v>1</v>
      </c>
      <c r="K81" s="537">
        <f t="shared" si="4"/>
        <v>0</v>
      </c>
      <c r="L81" s="537">
        <f t="shared" si="33"/>
        <v>0</v>
      </c>
      <c r="M81" s="537">
        <v>1</v>
      </c>
      <c r="N81" s="537">
        <f t="shared" si="5"/>
        <v>0</v>
      </c>
      <c r="O81" s="537">
        <f t="shared" si="34"/>
        <v>0</v>
      </c>
      <c r="P81" s="537"/>
      <c r="Q81" s="548"/>
      <c r="R81" s="539">
        <f t="shared" si="35"/>
        <v>0</v>
      </c>
    </row>
    <row r="82" spans="1:18" ht="15">
      <c r="A82" s="534" t="s">
        <v>111</v>
      </c>
      <c r="B82" s="535"/>
      <c r="C82" s="536"/>
      <c r="D82" s="547">
        <v>8</v>
      </c>
      <c r="E82" s="537"/>
      <c r="F82" s="537">
        <f t="shared" si="31"/>
        <v>0</v>
      </c>
      <c r="G82" s="537">
        <v>8</v>
      </c>
      <c r="H82" s="537">
        <f t="shared" si="3"/>
        <v>0</v>
      </c>
      <c r="I82" s="537">
        <f t="shared" si="32"/>
        <v>0</v>
      </c>
      <c r="J82" s="537">
        <v>8</v>
      </c>
      <c r="K82" s="537">
        <f t="shared" si="4"/>
        <v>0</v>
      </c>
      <c r="L82" s="537">
        <f t="shared" si="33"/>
        <v>0</v>
      </c>
      <c r="M82" s="537">
        <v>8</v>
      </c>
      <c r="N82" s="537">
        <f t="shared" si="5"/>
        <v>0</v>
      </c>
      <c r="O82" s="537">
        <f t="shared" si="34"/>
        <v>0</v>
      </c>
      <c r="P82" s="537"/>
      <c r="Q82" s="548"/>
      <c r="R82" s="539">
        <f t="shared" si="35"/>
        <v>0</v>
      </c>
    </row>
    <row r="83" spans="1:18" ht="15">
      <c r="A83" s="534" t="s">
        <v>631</v>
      </c>
      <c r="B83" s="535"/>
      <c r="C83" s="536"/>
      <c r="D83" s="547">
        <v>12</v>
      </c>
      <c r="E83" s="537"/>
      <c r="F83" s="537">
        <f t="shared" si="31"/>
        <v>0</v>
      </c>
      <c r="G83" s="537">
        <v>12</v>
      </c>
      <c r="H83" s="537">
        <f t="shared" si="3"/>
        <v>0</v>
      </c>
      <c r="I83" s="537">
        <f t="shared" si="32"/>
        <v>0</v>
      </c>
      <c r="J83" s="537">
        <v>12</v>
      </c>
      <c r="K83" s="537">
        <f t="shared" si="4"/>
        <v>0</v>
      </c>
      <c r="L83" s="537">
        <f t="shared" si="33"/>
        <v>0</v>
      </c>
      <c r="M83" s="537">
        <v>12</v>
      </c>
      <c r="N83" s="537">
        <f t="shared" si="5"/>
        <v>0</v>
      </c>
      <c r="O83" s="537">
        <f t="shared" si="34"/>
        <v>0</v>
      </c>
      <c r="P83" s="537"/>
      <c r="Q83" s="548"/>
      <c r="R83" s="539">
        <f t="shared" si="35"/>
        <v>0</v>
      </c>
    </row>
    <row r="84" spans="1:18" ht="15">
      <c r="A84" s="534" t="s">
        <v>632</v>
      </c>
      <c r="B84" s="535"/>
      <c r="C84" s="536"/>
      <c r="D84" s="547">
        <v>20</v>
      </c>
      <c r="E84" s="537"/>
      <c r="F84" s="537">
        <f t="shared" si="31"/>
        <v>0</v>
      </c>
      <c r="G84" s="537">
        <v>20</v>
      </c>
      <c r="H84" s="537">
        <f t="shared" si="3"/>
        <v>0</v>
      </c>
      <c r="I84" s="537">
        <f t="shared" si="32"/>
        <v>0</v>
      </c>
      <c r="J84" s="537">
        <v>20</v>
      </c>
      <c r="K84" s="537">
        <f t="shared" si="4"/>
        <v>0</v>
      </c>
      <c r="L84" s="537">
        <f t="shared" si="33"/>
        <v>0</v>
      </c>
      <c r="M84" s="537">
        <v>20</v>
      </c>
      <c r="N84" s="537">
        <f t="shared" si="5"/>
        <v>0</v>
      </c>
      <c r="O84" s="537">
        <f t="shared" si="34"/>
        <v>0</v>
      </c>
      <c r="P84" s="537"/>
      <c r="Q84" s="548"/>
      <c r="R84" s="539">
        <f t="shared" si="35"/>
        <v>0</v>
      </c>
    </row>
    <row r="85" spans="1:18" ht="15">
      <c r="A85" s="534" t="s">
        <v>633</v>
      </c>
      <c r="B85" s="535"/>
      <c r="C85" s="536"/>
      <c r="D85" s="547">
        <v>13</v>
      </c>
      <c r="E85" s="537"/>
      <c r="F85" s="537">
        <f t="shared" si="31"/>
        <v>0</v>
      </c>
      <c r="G85" s="537">
        <v>13</v>
      </c>
      <c r="H85" s="537">
        <f t="shared" si="3"/>
        <v>0</v>
      </c>
      <c r="I85" s="537">
        <f t="shared" si="32"/>
        <v>0</v>
      </c>
      <c r="J85" s="537">
        <v>13</v>
      </c>
      <c r="K85" s="537">
        <f t="shared" si="4"/>
        <v>0</v>
      </c>
      <c r="L85" s="537">
        <f t="shared" si="33"/>
        <v>0</v>
      </c>
      <c r="M85" s="537">
        <v>13</v>
      </c>
      <c r="N85" s="537">
        <f t="shared" si="5"/>
        <v>0</v>
      </c>
      <c r="O85" s="537">
        <f t="shared" si="34"/>
        <v>0</v>
      </c>
      <c r="P85" s="537"/>
      <c r="Q85" s="548"/>
      <c r="R85" s="539">
        <f t="shared" si="35"/>
        <v>0</v>
      </c>
    </row>
    <row r="86" spans="1:18" ht="15">
      <c r="A86" s="534" t="s">
        <v>635</v>
      </c>
      <c r="B86" s="535"/>
      <c r="C86" s="536"/>
      <c r="D86" s="537">
        <v>100</v>
      </c>
      <c r="E86" s="537"/>
      <c r="F86" s="537">
        <f t="shared" si="31"/>
        <v>0</v>
      </c>
      <c r="G86" s="537">
        <v>100</v>
      </c>
      <c r="H86" s="537">
        <f t="shared" si="3"/>
        <v>0</v>
      </c>
      <c r="I86" s="537">
        <f t="shared" si="32"/>
        <v>0</v>
      </c>
      <c r="J86" s="537">
        <v>100</v>
      </c>
      <c r="K86" s="537">
        <f t="shared" si="4"/>
        <v>0</v>
      </c>
      <c r="L86" s="537">
        <f t="shared" si="33"/>
        <v>0</v>
      </c>
      <c r="M86" s="537">
        <v>100</v>
      </c>
      <c r="N86" s="537">
        <f t="shared" si="5"/>
        <v>0</v>
      </c>
      <c r="O86" s="537">
        <f t="shared" si="34"/>
        <v>0</v>
      </c>
      <c r="P86" s="537"/>
      <c r="Q86" s="548"/>
      <c r="R86" s="539">
        <f t="shared" si="35"/>
        <v>0</v>
      </c>
    </row>
    <row r="87" spans="1:18" ht="15">
      <c r="A87" s="534" t="s">
        <v>636</v>
      </c>
      <c r="B87" s="535"/>
      <c r="C87" s="536"/>
      <c r="D87" s="547">
        <v>10</v>
      </c>
      <c r="E87" s="537"/>
      <c r="F87" s="537">
        <f t="shared" si="31"/>
        <v>0</v>
      </c>
      <c r="G87" s="537">
        <v>10</v>
      </c>
      <c r="H87" s="537">
        <f t="shared" si="3"/>
        <v>0</v>
      </c>
      <c r="I87" s="537">
        <f t="shared" si="32"/>
        <v>0</v>
      </c>
      <c r="J87" s="537">
        <v>10</v>
      </c>
      <c r="K87" s="537">
        <f t="shared" si="4"/>
        <v>0</v>
      </c>
      <c r="L87" s="537">
        <f t="shared" si="33"/>
        <v>0</v>
      </c>
      <c r="M87" s="537">
        <v>10</v>
      </c>
      <c r="N87" s="537">
        <f t="shared" si="5"/>
        <v>0</v>
      </c>
      <c r="O87" s="537">
        <f t="shared" si="34"/>
        <v>0</v>
      </c>
      <c r="P87" s="537"/>
      <c r="Q87" s="548"/>
      <c r="R87" s="539">
        <f t="shared" si="35"/>
        <v>0</v>
      </c>
    </row>
    <row r="88" spans="1:18" ht="15">
      <c r="A88" s="534" t="s">
        <v>637</v>
      </c>
      <c r="B88" s="535"/>
      <c r="C88" s="536"/>
      <c r="D88" s="547">
        <v>5</v>
      </c>
      <c r="E88" s="537"/>
      <c r="F88" s="537">
        <f t="shared" si="31"/>
        <v>0</v>
      </c>
      <c r="G88" s="537">
        <v>5</v>
      </c>
      <c r="H88" s="537">
        <f t="shared" si="3"/>
        <v>0</v>
      </c>
      <c r="I88" s="537">
        <f t="shared" si="32"/>
        <v>0</v>
      </c>
      <c r="J88" s="537">
        <v>5</v>
      </c>
      <c r="K88" s="537">
        <f t="shared" si="4"/>
        <v>0</v>
      </c>
      <c r="L88" s="537">
        <f t="shared" si="33"/>
        <v>0</v>
      </c>
      <c r="M88" s="537">
        <v>5</v>
      </c>
      <c r="N88" s="537">
        <f t="shared" si="5"/>
        <v>0</v>
      </c>
      <c r="O88" s="537">
        <f t="shared" si="34"/>
        <v>0</v>
      </c>
      <c r="P88" s="537"/>
      <c r="Q88" s="548"/>
      <c r="R88" s="539">
        <f t="shared" si="35"/>
        <v>0</v>
      </c>
    </row>
    <row r="89" spans="1:18" ht="15">
      <c r="A89" s="534" t="s">
        <v>638</v>
      </c>
      <c r="B89" s="535"/>
      <c r="C89" s="536"/>
      <c r="D89" s="547">
        <v>5</v>
      </c>
      <c r="E89" s="537"/>
      <c r="F89" s="537">
        <f t="shared" si="31"/>
        <v>0</v>
      </c>
      <c r="G89" s="537">
        <v>5</v>
      </c>
      <c r="H89" s="537">
        <f t="shared" si="3"/>
        <v>0</v>
      </c>
      <c r="I89" s="537">
        <f t="shared" si="32"/>
        <v>0</v>
      </c>
      <c r="J89" s="537">
        <v>5</v>
      </c>
      <c r="K89" s="537">
        <f t="shared" si="4"/>
        <v>0</v>
      </c>
      <c r="L89" s="537">
        <f t="shared" si="33"/>
        <v>0</v>
      </c>
      <c r="M89" s="537">
        <v>5</v>
      </c>
      <c r="N89" s="537">
        <f t="shared" si="5"/>
        <v>0</v>
      </c>
      <c r="O89" s="537">
        <f t="shared" si="34"/>
        <v>0</v>
      </c>
      <c r="P89" s="537"/>
      <c r="Q89" s="548"/>
      <c r="R89" s="539">
        <f t="shared" si="35"/>
        <v>0</v>
      </c>
    </row>
    <row r="90" spans="1:18" ht="15">
      <c r="A90" s="534" t="s">
        <v>639</v>
      </c>
      <c r="B90" s="535"/>
      <c r="C90" s="536"/>
      <c r="D90" s="547">
        <v>5</v>
      </c>
      <c r="E90" s="537"/>
      <c r="F90" s="537">
        <f t="shared" si="31"/>
        <v>0</v>
      </c>
      <c r="G90" s="537">
        <v>5</v>
      </c>
      <c r="H90" s="537">
        <f t="shared" si="3"/>
        <v>0</v>
      </c>
      <c r="I90" s="537">
        <f t="shared" si="32"/>
        <v>0</v>
      </c>
      <c r="J90" s="537">
        <v>5</v>
      </c>
      <c r="K90" s="537">
        <f t="shared" si="4"/>
        <v>0</v>
      </c>
      <c r="L90" s="537">
        <f t="shared" si="33"/>
        <v>0</v>
      </c>
      <c r="M90" s="537">
        <v>5</v>
      </c>
      <c r="N90" s="537">
        <f t="shared" si="5"/>
        <v>0</v>
      </c>
      <c r="O90" s="537">
        <f t="shared" si="34"/>
        <v>0</v>
      </c>
      <c r="P90" s="537"/>
      <c r="Q90" s="548"/>
      <c r="R90" s="539">
        <f t="shared" si="35"/>
        <v>0</v>
      </c>
    </row>
    <row r="91" spans="1:18" ht="15">
      <c r="A91" s="534" t="s">
        <v>640</v>
      </c>
      <c r="B91" s="535"/>
      <c r="C91" s="536"/>
      <c r="D91" s="547">
        <v>5</v>
      </c>
      <c r="E91" s="537"/>
      <c r="F91" s="537">
        <f t="shared" si="31"/>
        <v>0</v>
      </c>
      <c r="G91" s="537">
        <v>5</v>
      </c>
      <c r="H91" s="537">
        <f t="shared" si="3"/>
        <v>0</v>
      </c>
      <c r="I91" s="537">
        <f t="shared" si="32"/>
        <v>0</v>
      </c>
      <c r="J91" s="537">
        <v>5</v>
      </c>
      <c r="K91" s="537">
        <f t="shared" si="4"/>
        <v>0</v>
      </c>
      <c r="L91" s="537">
        <f t="shared" si="33"/>
        <v>0</v>
      </c>
      <c r="M91" s="537">
        <v>5</v>
      </c>
      <c r="N91" s="537">
        <f t="shared" si="5"/>
        <v>0</v>
      </c>
      <c r="O91" s="537">
        <f t="shared" si="34"/>
        <v>0</v>
      </c>
      <c r="P91" s="537"/>
      <c r="Q91" s="548"/>
      <c r="R91" s="539">
        <f t="shared" si="35"/>
        <v>0</v>
      </c>
    </row>
    <row r="92" spans="1:18" ht="15">
      <c r="A92" s="528" t="s">
        <v>112</v>
      </c>
      <c r="B92" s="529" t="s">
        <v>603</v>
      </c>
      <c r="C92" s="530"/>
      <c r="D92" s="531">
        <v>0</v>
      </c>
      <c r="E92" s="531"/>
      <c r="F92" s="531" t="e">
        <f>#REF!+#REF!+#REF!+#REF!</f>
        <v>#REF!</v>
      </c>
      <c r="G92" s="531">
        <v>0</v>
      </c>
      <c r="H92" s="531">
        <f t="shared" si="3"/>
        <v>0</v>
      </c>
      <c r="I92" s="531" t="e">
        <f>#REF!+#REF!+#REF!+#REF!</f>
        <v>#REF!</v>
      </c>
      <c r="J92" s="531">
        <v>0</v>
      </c>
      <c r="K92" s="531">
        <f t="shared" si="4"/>
        <v>0</v>
      </c>
      <c r="L92" s="531" t="e">
        <f>#REF!+#REF!+#REF!+#REF!</f>
        <v>#REF!</v>
      </c>
      <c r="M92" s="531">
        <v>0</v>
      </c>
      <c r="N92" s="531">
        <f t="shared" si="5"/>
        <v>0</v>
      </c>
      <c r="O92" s="531" t="e">
        <f>#REF!+#REF!+#REF!+#REF!</f>
        <v>#REF!</v>
      </c>
      <c r="P92" s="531"/>
      <c r="Q92" s="532"/>
      <c r="R92" s="533">
        <f>SUM(R93:R101)</f>
        <v>0</v>
      </c>
    </row>
    <row r="93" spans="1:18" ht="15">
      <c r="A93" s="534" t="s">
        <v>113</v>
      </c>
      <c r="B93" s="535" t="s">
        <v>820</v>
      </c>
      <c r="C93" s="542"/>
      <c r="D93" s="549">
        <v>30</v>
      </c>
      <c r="E93" s="543"/>
      <c r="F93" s="543">
        <f>ROUND(ROUND(D93,2)*ROUND(E93,2),2)</f>
        <v>0</v>
      </c>
      <c r="G93" s="543">
        <v>30</v>
      </c>
      <c r="H93" s="543">
        <f t="shared" si="3"/>
        <v>0</v>
      </c>
      <c r="I93" s="543">
        <f>ROUND(ROUND(G93,2)*ROUND(H93,2),2)</f>
        <v>0</v>
      </c>
      <c r="J93" s="543">
        <v>30</v>
      </c>
      <c r="K93" s="543">
        <f t="shared" si="4"/>
        <v>0</v>
      </c>
      <c r="L93" s="543">
        <f>ROUND(ROUND(J93,2)*ROUND(K93,2),2)</f>
        <v>0</v>
      </c>
      <c r="M93" s="543">
        <v>30</v>
      </c>
      <c r="N93" s="543">
        <f t="shared" si="5"/>
        <v>0</v>
      </c>
      <c r="O93" s="543">
        <f>ROUND(ROUND(M93,2)*ROUND(N93,2),2)</f>
        <v>0</v>
      </c>
      <c r="P93" s="543"/>
      <c r="Q93" s="544"/>
      <c r="R93" s="545">
        <f>ROUND(ROUND(P93,2)*ROUND(Q93,2),2)</f>
        <v>0</v>
      </c>
    </row>
    <row r="94" spans="1:18" ht="15">
      <c r="A94" s="534" t="s">
        <v>114</v>
      </c>
      <c r="B94" s="535"/>
      <c r="C94" s="542"/>
      <c r="D94" s="549">
        <v>50</v>
      </c>
      <c r="E94" s="543"/>
      <c r="F94" s="543">
        <f>ROUND(ROUND(D94,2)*ROUND(E94,2),2)</f>
        <v>0</v>
      </c>
      <c r="G94" s="543">
        <v>50</v>
      </c>
      <c r="H94" s="543">
        <f t="shared" si="3"/>
        <v>0</v>
      </c>
      <c r="I94" s="543">
        <f>ROUND(ROUND(G94,2)*ROUND(H94,2),2)</f>
        <v>0</v>
      </c>
      <c r="J94" s="543">
        <v>50</v>
      </c>
      <c r="K94" s="543">
        <f t="shared" si="4"/>
        <v>0</v>
      </c>
      <c r="L94" s="543">
        <f>ROUND(ROUND(J94,2)*ROUND(K94,2),2)</f>
        <v>0</v>
      </c>
      <c r="M94" s="543">
        <v>50</v>
      </c>
      <c r="N94" s="543">
        <f t="shared" si="5"/>
        <v>0</v>
      </c>
      <c r="O94" s="543">
        <f>ROUND(ROUND(M94,2)*ROUND(N94,2),2)</f>
        <v>0</v>
      </c>
      <c r="P94" s="543"/>
      <c r="Q94" s="544"/>
      <c r="R94" s="545">
        <f>ROUND(ROUND(P94,2)*ROUND(Q94,2),2)</f>
        <v>0</v>
      </c>
    </row>
    <row r="95" spans="1:18" ht="15">
      <c r="A95" s="534" t="s">
        <v>115</v>
      </c>
      <c r="B95" s="535"/>
      <c r="C95" s="542"/>
      <c r="D95" s="549">
        <v>500</v>
      </c>
      <c r="E95" s="543"/>
      <c r="F95" s="543">
        <f>ROUND(ROUND(D95,2)*ROUND(E95,2),2)</f>
        <v>0</v>
      </c>
      <c r="G95" s="543">
        <v>200</v>
      </c>
      <c r="H95" s="543">
        <f t="shared" si="3"/>
        <v>0</v>
      </c>
      <c r="I95" s="543">
        <f>ROUND(ROUND(G95,2)*ROUND(H95,2),2)</f>
        <v>0</v>
      </c>
      <c r="J95" s="543">
        <v>200</v>
      </c>
      <c r="K95" s="543">
        <f t="shared" si="4"/>
        <v>0</v>
      </c>
      <c r="L95" s="543">
        <f>ROUND(ROUND(J95,2)*ROUND(K95,2),2)</f>
        <v>0</v>
      </c>
      <c r="M95" s="543">
        <v>200</v>
      </c>
      <c r="N95" s="543">
        <f t="shared" si="5"/>
        <v>0</v>
      </c>
      <c r="O95" s="543">
        <f>ROUND(ROUND(M95,2)*ROUND(N95,2),2)</f>
        <v>0</v>
      </c>
      <c r="P95" s="543"/>
      <c r="Q95" s="544"/>
      <c r="R95" s="545">
        <f>ROUND(ROUND(P95,2)*ROUND(Q95,2),2)</f>
        <v>0</v>
      </c>
    </row>
    <row r="96" spans="1:18" ht="15">
      <c r="A96" s="534" t="s">
        <v>116</v>
      </c>
      <c r="B96" s="535"/>
      <c r="C96" s="542"/>
      <c r="D96" s="543">
        <v>0</v>
      </c>
      <c r="E96" s="543"/>
      <c r="F96" s="543">
        <f>ROUND(ROUND(D96,2)*ROUND(E96,2),2)</f>
        <v>0</v>
      </c>
      <c r="G96" s="543">
        <v>0</v>
      </c>
      <c r="H96" s="543">
        <f t="shared" si="3"/>
        <v>0</v>
      </c>
      <c r="I96" s="543">
        <f>ROUND(ROUND(G96,2)*ROUND(H96,2),2)</f>
        <v>0</v>
      </c>
      <c r="J96" s="543">
        <v>0</v>
      </c>
      <c r="K96" s="543">
        <f t="shared" si="4"/>
        <v>0</v>
      </c>
      <c r="L96" s="543">
        <f>ROUND(ROUND(J96,2)*ROUND(K96,2),2)</f>
        <v>0</v>
      </c>
      <c r="M96" s="543">
        <v>0</v>
      </c>
      <c r="N96" s="543">
        <f t="shared" si="5"/>
        <v>0</v>
      </c>
      <c r="O96" s="543">
        <f>ROUND(ROUND(M96,2)*ROUND(N96,2),2)</f>
        <v>0</v>
      </c>
      <c r="P96" s="543"/>
      <c r="Q96" s="544"/>
      <c r="R96" s="545">
        <f>ROUND(ROUND(P96,2)*ROUND(Q96,2),2)</f>
        <v>0</v>
      </c>
    </row>
    <row r="97" spans="1:18" ht="15">
      <c r="A97" s="534" t="s">
        <v>642</v>
      </c>
      <c r="B97" s="535"/>
      <c r="C97" s="542"/>
      <c r="D97" s="543">
        <v>0</v>
      </c>
      <c r="E97" s="543"/>
      <c r="F97" s="543">
        <f>ROUND(ROUND(D97,2)*ROUND(E97,2),2)</f>
        <v>0</v>
      </c>
      <c r="G97" s="543">
        <v>0</v>
      </c>
      <c r="H97" s="543">
        <f t="shared" si="3"/>
        <v>0</v>
      </c>
      <c r="I97" s="543">
        <f>ROUND(ROUND(G97,2)*ROUND(H97,2),2)</f>
        <v>0</v>
      </c>
      <c r="J97" s="543">
        <v>0</v>
      </c>
      <c r="K97" s="543">
        <f t="shared" si="4"/>
        <v>0</v>
      </c>
      <c r="L97" s="543">
        <f>ROUND(ROUND(J97,2)*ROUND(K97,2),2)</f>
        <v>0</v>
      </c>
      <c r="M97" s="543">
        <v>0</v>
      </c>
      <c r="N97" s="543">
        <f t="shared" si="5"/>
        <v>0</v>
      </c>
      <c r="O97" s="543">
        <f>ROUND(ROUND(M97,2)*ROUND(N97,2),2)</f>
        <v>0</v>
      </c>
      <c r="P97" s="543"/>
      <c r="Q97" s="544"/>
      <c r="R97" s="545">
        <f>ROUND(ROUND(P97,2)*ROUND(Q97,2),2)</f>
        <v>0</v>
      </c>
    </row>
    <row r="98" spans="1:18" ht="15">
      <c r="A98" s="553" t="s">
        <v>643</v>
      </c>
      <c r="B98" s="558"/>
      <c r="C98" s="554"/>
      <c r="D98" s="555"/>
      <c r="E98" s="555"/>
      <c r="F98" s="555"/>
      <c r="G98" s="555"/>
      <c r="H98" s="555"/>
      <c r="I98" s="555"/>
      <c r="J98" s="555"/>
      <c r="K98" s="555"/>
      <c r="L98" s="555"/>
      <c r="M98" s="555"/>
      <c r="N98" s="555"/>
      <c r="O98" s="555"/>
      <c r="P98" s="555"/>
      <c r="Q98" s="556"/>
      <c r="R98" s="557"/>
    </row>
    <row r="99" spans="1:18" ht="15">
      <c r="A99" s="553" t="s">
        <v>644</v>
      </c>
      <c r="B99" s="559"/>
      <c r="C99" s="560"/>
      <c r="D99" s="561">
        <v>120</v>
      </c>
      <c r="E99" s="562"/>
      <c r="F99" s="562">
        <f>ROUND(ROUND(D99,2)*ROUND(E99,2),2)</f>
        <v>0</v>
      </c>
      <c r="G99" s="561">
        <v>120</v>
      </c>
      <c r="H99" s="562">
        <f t="shared" ref="H99:H104" si="36">$E99</f>
        <v>0</v>
      </c>
      <c r="I99" s="562">
        <f>ROUND(ROUND(G99,2)*ROUND(H99,2),2)</f>
        <v>0</v>
      </c>
      <c r="J99" s="561">
        <v>120</v>
      </c>
      <c r="K99" s="562">
        <f t="shared" ref="K99:K104" si="37">$E99</f>
        <v>0</v>
      </c>
      <c r="L99" s="562">
        <f>ROUND(ROUND(J99,2)*ROUND(K99,2),2)</f>
        <v>0</v>
      </c>
      <c r="M99" s="561">
        <v>120</v>
      </c>
      <c r="N99" s="562">
        <f t="shared" ref="N99:N104" si="38">$E99</f>
        <v>0</v>
      </c>
      <c r="O99" s="562">
        <f>ROUND(ROUND(M99,2)*ROUND(N99,2),2)</f>
        <v>0</v>
      </c>
      <c r="P99" s="561"/>
      <c r="Q99" s="563">
        <v>0</v>
      </c>
      <c r="R99" s="564">
        <f>ROUND(ROUND(P99,2)*ROUND(Q99,2),2)</f>
        <v>0</v>
      </c>
    </row>
    <row r="100" spans="1:18" ht="15">
      <c r="A100" s="534" t="s">
        <v>645</v>
      </c>
      <c r="B100" s="535"/>
      <c r="C100" s="542"/>
      <c r="D100" s="543">
        <v>10</v>
      </c>
      <c r="E100" s="543"/>
      <c r="F100" s="543">
        <f>ROUND(ROUND(D100,2)*ROUND(E100,2),2)</f>
        <v>0</v>
      </c>
      <c r="G100" s="543">
        <v>10</v>
      </c>
      <c r="H100" s="543">
        <f t="shared" si="36"/>
        <v>0</v>
      </c>
      <c r="I100" s="543">
        <f>ROUND(ROUND(G100,2)*ROUND(H100,2),2)</f>
        <v>0</v>
      </c>
      <c r="J100" s="543">
        <v>10</v>
      </c>
      <c r="K100" s="543">
        <f t="shared" si="37"/>
        <v>0</v>
      </c>
      <c r="L100" s="543">
        <f>ROUND(ROUND(J100,2)*ROUND(K100,2),2)</f>
        <v>0</v>
      </c>
      <c r="M100" s="543">
        <v>10</v>
      </c>
      <c r="N100" s="543">
        <f t="shared" si="38"/>
        <v>0</v>
      </c>
      <c r="O100" s="543">
        <f>ROUND(ROUND(M100,2)*ROUND(N100,2),2)</f>
        <v>0</v>
      </c>
      <c r="P100" s="543"/>
      <c r="Q100" s="544"/>
      <c r="R100" s="545">
        <f>ROUND(ROUND(P100,2)*ROUND(Q100,2),2)</f>
        <v>0</v>
      </c>
    </row>
    <row r="101" spans="1:18" ht="15">
      <c r="A101" s="534" t="s">
        <v>646</v>
      </c>
      <c r="B101" s="535"/>
      <c r="C101" s="542"/>
      <c r="D101" s="543">
        <v>700</v>
      </c>
      <c r="E101" s="543"/>
      <c r="F101" s="543">
        <f>ROUND(ROUND(D101,2)*ROUND(E101,2),2)</f>
        <v>0</v>
      </c>
      <c r="G101" s="543">
        <v>700</v>
      </c>
      <c r="H101" s="543">
        <f t="shared" si="36"/>
        <v>0</v>
      </c>
      <c r="I101" s="543">
        <f>ROUND(ROUND(G101,2)*ROUND(H101,2),2)</f>
        <v>0</v>
      </c>
      <c r="J101" s="543">
        <v>700</v>
      </c>
      <c r="K101" s="543">
        <f t="shared" si="37"/>
        <v>0</v>
      </c>
      <c r="L101" s="543">
        <f>ROUND(ROUND(J101,2)*ROUND(K101,2),2)</f>
        <v>0</v>
      </c>
      <c r="M101" s="543">
        <v>700</v>
      </c>
      <c r="N101" s="543">
        <f t="shared" si="38"/>
        <v>0</v>
      </c>
      <c r="O101" s="543">
        <f>ROUND(ROUND(M101,2)*ROUND(N101,2),2)</f>
        <v>0</v>
      </c>
      <c r="P101" s="543"/>
      <c r="Q101" s="544"/>
      <c r="R101" s="545">
        <f>ROUND(ROUND(P101,2)*ROUND(Q101,2),2)</f>
        <v>0</v>
      </c>
    </row>
    <row r="102" spans="1:18" ht="15">
      <c r="A102" s="528" t="s">
        <v>117</v>
      </c>
      <c r="B102" s="529" t="s">
        <v>603</v>
      </c>
      <c r="C102" s="530"/>
      <c r="D102" s="531">
        <v>0</v>
      </c>
      <c r="E102" s="531"/>
      <c r="F102" s="531">
        <f>SUM(F103:F104)</f>
        <v>0</v>
      </c>
      <c r="G102" s="531">
        <v>0</v>
      </c>
      <c r="H102" s="531">
        <f t="shared" si="36"/>
        <v>0</v>
      </c>
      <c r="I102" s="531">
        <f>SUM(I103:I104)</f>
        <v>0</v>
      </c>
      <c r="J102" s="531">
        <v>0</v>
      </c>
      <c r="K102" s="531">
        <f t="shared" si="37"/>
        <v>0</v>
      </c>
      <c r="L102" s="531">
        <f>SUM(L103:L104)</f>
        <v>0</v>
      </c>
      <c r="M102" s="531">
        <v>0</v>
      </c>
      <c r="N102" s="531">
        <f t="shared" si="38"/>
        <v>0</v>
      </c>
      <c r="O102" s="531">
        <f>SUM(O103:O104)</f>
        <v>0</v>
      </c>
      <c r="P102" s="531"/>
      <c r="Q102" s="532"/>
      <c r="R102" s="533">
        <f>SUM(R103:R111)</f>
        <v>0</v>
      </c>
    </row>
    <row r="103" spans="1:18" ht="15">
      <c r="A103" s="534" t="s">
        <v>118</v>
      </c>
      <c r="B103" s="535" t="s">
        <v>820</v>
      </c>
      <c r="C103" s="542"/>
      <c r="D103" s="543">
        <v>0</v>
      </c>
      <c r="E103" s="543"/>
      <c r="F103" s="543">
        <f>ROUND(ROUND(D103,2)*ROUND(E103,2),2)</f>
        <v>0</v>
      </c>
      <c r="G103" s="543">
        <v>0</v>
      </c>
      <c r="H103" s="543">
        <f t="shared" si="36"/>
        <v>0</v>
      </c>
      <c r="I103" s="543">
        <f>ROUND(ROUND(G103,2)*ROUND(H103,2),2)</f>
        <v>0</v>
      </c>
      <c r="J103" s="543">
        <v>0</v>
      </c>
      <c r="K103" s="543">
        <f t="shared" si="37"/>
        <v>0</v>
      </c>
      <c r="L103" s="543">
        <f>ROUND(ROUND(J103,2)*ROUND(K103,2),2)</f>
        <v>0</v>
      </c>
      <c r="M103" s="543">
        <v>0</v>
      </c>
      <c r="N103" s="543">
        <f t="shared" si="38"/>
        <v>0</v>
      </c>
      <c r="O103" s="543">
        <f>ROUND(ROUND(M103,2)*ROUND(N103,2),2)</f>
        <v>0</v>
      </c>
      <c r="P103" s="543"/>
      <c r="Q103" s="550"/>
      <c r="R103" s="545">
        <f>ROUND(ROUND(P103,2)*ROUND(Q103,2),2)</f>
        <v>0</v>
      </c>
    </row>
    <row r="104" spans="1:18" ht="15">
      <c r="A104" s="534" t="s">
        <v>119</v>
      </c>
      <c r="B104" s="535"/>
      <c r="C104" s="542"/>
      <c r="D104" s="543">
        <v>133</v>
      </c>
      <c r="E104" s="543"/>
      <c r="F104" s="543">
        <f>ROUND(ROUND(D104,2)*ROUND(E104,2),2)</f>
        <v>0</v>
      </c>
      <c r="G104" s="543">
        <v>133</v>
      </c>
      <c r="H104" s="543">
        <f t="shared" si="36"/>
        <v>0</v>
      </c>
      <c r="I104" s="543">
        <f>ROUND(ROUND(G104,2)*ROUND(H104,2),2)</f>
        <v>0</v>
      </c>
      <c r="J104" s="543">
        <v>133</v>
      </c>
      <c r="K104" s="543">
        <f t="shared" si="37"/>
        <v>0</v>
      </c>
      <c r="L104" s="543">
        <f>ROUND(ROUND(J104,2)*ROUND(K104,2),2)</f>
        <v>0</v>
      </c>
      <c r="M104" s="543">
        <v>133</v>
      </c>
      <c r="N104" s="543">
        <f t="shared" si="38"/>
        <v>0</v>
      </c>
      <c r="O104" s="543">
        <f>ROUND(ROUND(M104,2)*ROUND(N104,2),2)</f>
        <v>0</v>
      </c>
      <c r="P104" s="543"/>
      <c r="Q104" s="550"/>
      <c r="R104" s="545">
        <f>ROUND(ROUND(P104,2)*ROUND(Q104,2),2)</f>
        <v>0</v>
      </c>
    </row>
    <row r="105" spans="1:18" ht="15">
      <c r="A105" s="579" t="s">
        <v>120</v>
      </c>
      <c r="B105" s="535"/>
      <c r="C105" s="567"/>
      <c r="D105" s="568"/>
      <c r="E105" s="568"/>
      <c r="F105" s="568"/>
      <c r="G105" s="568"/>
      <c r="H105" s="568"/>
      <c r="I105" s="568"/>
      <c r="J105" s="568"/>
      <c r="K105" s="568"/>
      <c r="L105" s="568"/>
      <c r="M105" s="568"/>
      <c r="N105" s="568"/>
      <c r="O105" s="568"/>
      <c r="P105" s="568"/>
      <c r="Q105" s="569"/>
      <c r="R105" s="570"/>
    </row>
    <row r="106" spans="1:18" ht="15">
      <c r="A106" s="576" t="s">
        <v>647</v>
      </c>
      <c r="B106" s="571"/>
      <c r="C106" s="572"/>
      <c r="D106" s="573"/>
      <c r="E106" s="573"/>
      <c r="F106" s="573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  <c r="Q106" s="574"/>
      <c r="R106" s="575"/>
    </row>
    <row r="107" spans="1:18" ht="15">
      <c r="A107" s="576" t="s">
        <v>648</v>
      </c>
      <c r="B107" s="535"/>
      <c r="C107" s="542"/>
      <c r="D107" s="543"/>
      <c r="E107" s="543"/>
      <c r="F107" s="543"/>
      <c r="G107" s="543"/>
      <c r="H107" s="543"/>
      <c r="I107" s="543"/>
      <c r="J107" s="543"/>
      <c r="K107" s="543"/>
      <c r="L107" s="543"/>
      <c r="M107" s="543"/>
      <c r="N107" s="543"/>
      <c r="O107" s="543"/>
      <c r="P107" s="543"/>
      <c r="Q107" s="550"/>
      <c r="R107" s="577"/>
    </row>
    <row r="108" spans="1:18" ht="15">
      <c r="A108" s="576" t="s">
        <v>649</v>
      </c>
      <c r="B108" s="535"/>
      <c r="C108" s="542"/>
      <c r="D108" s="543"/>
      <c r="E108" s="543"/>
      <c r="F108" s="543"/>
      <c r="G108" s="543"/>
      <c r="H108" s="543"/>
      <c r="I108" s="543"/>
      <c r="J108" s="543"/>
      <c r="K108" s="543"/>
      <c r="L108" s="543"/>
      <c r="M108" s="543"/>
      <c r="N108" s="543"/>
      <c r="O108" s="543"/>
      <c r="P108" s="543"/>
      <c r="Q108" s="550"/>
      <c r="R108" s="577"/>
    </row>
    <row r="109" spans="1:18" ht="15">
      <c r="A109" s="576" t="s">
        <v>650</v>
      </c>
      <c r="B109" s="535"/>
      <c r="C109" s="542"/>
      <c r="D109" s="543"/>
      <c r="E109" s="543"/>
      <c r="F109" s="543"/>
      <c r="G109" s="543"/>
      <c r="H109" s="543"/>
      <c r="I109" s="543"/>
      <c r="J109" s="543"/>
      <c r="K109" s="543"/>
      <c r="L109" s="543"/>
      <c r="M109" s="543"/>
      <c r="N109" s="543"/>
      <c r="O109" s="543"/>
      <c r="P109" s="543"/>
      <c r="Q109" s="550"/>
      <c r="R109" s="577"/>
    </row>
    <row r="110" spans="1:18" ht="15">
      <c r="A110" s="576" t="s">
        <v>651</v>
      </c>
      <c r="B110" s="535"/>
      <c r="C110" s="542"/>
      <c r="D110" s="543"/>
      <c r="E110" s="543"/>
      <c r="F110" s="543"/>
      <c r="G110" s="543"/>
      <c r="H110" s="543"/>
      <c r="I110" s="543"/>
      <c r="J110" s="543"/>
      <c r="K110" s="543"/>
      <c r="L110" s="543"/>
      <c r="M110" s="543"/>
      <c r="N110" s="543"/>
      <c r="O110" s="543"/>
      <c r="P110" s="543"/>
      <c r="Q110" s="550"/>
      <c r="R110" s="577"/>
    </row>
    <row r="111" spans="1:18" ht="15">
      <c r="A111" s="576" t="s">
        <v>652</v>
      </c>
      <c r="B111" s="535"/>
      <c r="C111" s="542"/>
      <c r="D111" s="543"/>
      <c r="E111" s="543"/>
      <c r="F111" s="543"/>
      <c r="G111" s="543"/>
      <c r="H111" s="543"/>
      <c r="I111" s="543"/>
      <c r="J111" s="543"/>
      <c r="K111" s="543"/>
      <c r="L111" s="543"/>
      <c r="M111" s="543"/>
      <c r="N111" s="543"/>
      <c r="O111" s="543"/>
      <c r="P111" s="543"/>
      <c r="Q111" s="550"/>
      <c r="R111" s="577"/>
    </row>
    <row r="112" spans="1:18" ht="15">
      <c r="A112" s="576"/>
      <c r="B112" s="535"/>
      <c r="C112" s="542"/>
      <c r="D112" s="543"/>
      <c r="E112" s="543"/>
      <c r="F112" s="543"/>
      <c r="G112" s="543"/>
      <c r="H112" s="543"/>
      <c r="I112" s="543"/>
      <c r="J112" s="543"/>
      <c r="K112" s="543"/>
      <c r="L112" s="543"/>
      <c r="M112" s="543"/>
      <c r="N112" s="543"/>
      <c r="O112" s="543"/>
      <c r="P112" s="543" t="s">
        <v>121</v>
      </c>
      <c r="Q112" s="550"/>
      <c r="R112" s="577">
        <f>R8+R18+R26+R35+R45+R55+R62+R70+R79+R92+R102</f>
        <v>0</v>
      </c>
    </row>
    <row r="113" spans="1:18" s="416" customFormat="1" ht="15" customHeight="1">
      <c r="A113" s="580"/>
      <c r="B113" s="566"/>
      <c r="C113" s="567"/>
      <c r="D113" s="568"/>
      <c r="E113" s="568"/>
      <c r="F113" s="568"/>
      <c r="G113" s="568"/>
      <c r="H113" s="568"/>
      <c r="I113" s="568"/>
      <c r="J113" s="568"/>
      <c r="K113" s="568"/>
      <c r="L113" s="568"/>
      <c r="M113" s="568"/>
      <c r="N113" s="568"/>
      <c r="O113" s="568"/>
      <c r="P113" s="568"/>
      <c r="Q113" s="569"/>
      <c r="R113" s="570"/>
    </row>
    <row r="114" spans="1:18" ht="15">
      <c r="A114" s="565"/>
      <c r="B114" s="566"/>
      <c r="C114" s="567"/>
      <c r="D114" s="568"/>
      <c r="E114" s="568"/>
      <c r="F114" s="568"/>
      <c r="G114" s="568"/>
      <c r="H114" s="568"/>
      <c r="I114" s="568"/>
      <c r="J114" s="568"/>
      <c r="K114" s="568"/>
      <c r="L114" s="568"/>
      <c r="M114" s="568"/>
      <c r="N114" s="568"/>
      <c r="O114" s="568"/>
      <c r="P114" s="568"/>
      <c r="Q114" s="569"/>
      <c r="R114" s="570"/>
    </row>
    <row r="115" spans="1:18" ht="15">
      <c r="A115" s="565"/>
      <c r="B115" s="600" t="s">
        <v>260</v>
      </c>
      <c r="C115" s="567"/>
      <c r="D115" s="568"/>
      <c r="E115" s="568"/>
      <c r="F115" s="568"/>
      <c r="G115" s="568"/>
      <c r="H115" s="568"/>
      <c r="I115" s="568"/>
      <c r="J115" s="568"/>
      <c r="K115" s="568"/>
      <c r="L115" s="568"/>
      <c r="M115" s="568"/>
      <c r="N115" s="568"/>
      <c r="O115" s="568"/>
      <c r="P115" s="568" t="s">
        <v>261</v>
      </c>
      <c r="Q115" s="569"/>
      <c r="R115" s="570"/>
    </row>
    <row r="117" spans="1:18">
      <c r="B117" s="439" t="s">
        <v>816</v>
      </c>
      <c r="P117" s="412" t="s">
        <v>815</v>
      </c>
    </row>
  </sheetData>
  <mergeCells count="9">
    <mergeCell ref="A1:B1"/>
    <mergeCell ref="Q1:R1"/>
    <mergeCell ref="A2:B2"/>
    <mergeCell ref="A3:C3"/>
    <mergeCell ref="D5:F5"/>
    <mergeCell ref="G5:I5"/>
    <mergeCell ref="J5:L5"/>
    <mergeCell ref="M5:O5"/>
    <mergeCell ref="P5:R5"/>
  </mergeCells>
  <printOptions horizontalCentered="1"/>
  <pageMargins left="0" right="0" top="0.39370078740157483" bottom="0.39370078740157483" header="0.19685039370078741" footer="0.19685039370078741"/>
  <pageSetup paperSize="9" scale="80" fitToWidth="0" fitToHeight="13" orientation="portrait" r:id="rId1"/>
  <headerFooter alignWithMargins="0">
    <oddHeader>&amp;C&amp;5REDOVITO ODRŽAVANJE OBJEKATA U VLASNIŠTVU OPĆINE PERUŠIĆ</oddHeader>
    <oddFooter>&amp;L&amp;5&amp;F&amp;R&amp;5&amp;P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39"/>
  </sheetPr>
  <dimension ref="A1:AC1091"/>
  <sheetViews>
    <sheetView showZeros="0" view="pageLayout" topLeftCell="A476" zoomScaleNormal="100" zoomScaleSheetLayoutView="100" workbookViewId="0">
      <selection activeCell="B492" sqref="B492:C492"/>
    </sheetView>
  </sheetViews>
  <sheetFormatPr defaultRowHeight="12.75"/>
  <cols>
    <col min="1" max="1" width="3.7109375" style="1" customWidth="1"/>
    <col min="2" max="2" width="10.7109375" style="30" customWidth="1"/>
    <col min="3" max="3" width="25.7109375" style="2" customWidth="1"/>
    <col min="4" max="4" width="9.85546875" style="3" customWidth="1"/>
    <col min="5" max="5" width="11.7109375" style="4" customWidth="1"/>
    <col min="6" max="6" width="11.7109375" style="204" customWidth="1"/>
    <col min="7" max="7" width="11.7109375" style="5" customWidth="1"/>
    <col min="8" max="8" width="9.5703125" style="3" hidden="1" customWidth="1"/>
    <col min="9" max="10" width="9.5703125" style="3" customWidth="1"/>
    <col min="11" max="11" width="3.7109375" style="1" customWidth="1"/>
    <col min="12" max="12" width="12.5703125" style="30" customWidth="1"/>
    <col min="13" max="13" width="25.7109375" style="2" customWidth="1"/>
    <col min="14" max="14" width="6.7109375" style="3" customWidth="1"/>
    <col min="15" max="15" width="11.7109375" style="4" customWidth="1"/>
    <col min="16" max="16" width="11.7109375" style="204" customWidth="1"/>
    <col min="17" max="17" width="11.7109375" style="5" customWidth="1"/>
    <col min="18" max="16384" width="9.140625" style="2"/>
  </cols>
  <sheetData>
    <row r="1" spans="1:17" ht="15" customHeight="1"/>
    <row r="2" spans="1:17" ht="15" customHeight="1">
      <c r="A2" s="115"/>
      <c r="B2" s="116"/>
      <c r="C2" s="796"/>
      <c r="D2" s="796"/>
      <c r="E2" s="796"/>
      <c r="F2" s="796"/>
      <c r="G2" s="796"/>
      <c r="K2" s="115"/>
      <c r="L2" s="116"/>
      <c r="M2" s="796" t="s">
        <v>18</v>
      </c>
      <c r="N2" s="796"/>
      <c r="O2" s="796"/>
      <c r="P2" s="796"/>
      <c r="Q2" s="796"/>
    </row>
    <row r="3" spans="1:17" ht="15" customHeight="1">
      <c r="A3" s="31"/>
      <c r="B3" s="32"/>
      <c r="C3" s="794"/>
      <c r="D3" s="794"/>
      <c r="E3" s="794"/>
      <c r="F3" s="794"/>
      <c r="G3" s="794"/>
      <c r="K3" s="31"/>
      <c r="L3" s="32"/>
      <c r="M3" s="794" t="s">
        <v>23</v>
      </c>
      <c r="N3" s="794"/>
      <c r="O3" s="794"/>
      <c r="P3" s="794"/>
      <c r="Q3" s="794"/>
    </row>
    <row r="4" spans="1:17" ht="15" customHeight="1">
      <c r="A4" s="41"/>
      <c r="B4" s="42"/>
      <c r="C4" s="43"/>
      <c r="D4" s="43"/>
      <c r="E4" s="43"/>
      <c r="F4" s="209"/>
      <c r="G4" s="43"/>
      <c r="K4" s="41"/>
      <c r="L4" s="42"/>
      <c r="M4" s="43" t="s">
        <v>25</v>
      </c>
      <c r="N4" s="43"/>
      <c r="O4" s="43"/>
      <c r="P4" s="209"/>
      <c r="Q4" s="43"/>
    </row>
    <row r="5" spans="1:17" ht="61.5" customHeight="1" thickBot="1">
      <c r="A5" s="33"/>
      <c r="B5" s="443"/>
      <c r="C5" s="792" t="s">
        <v>882</v>
      </c>
      <c r="D5" s="792"/>
      <c r="E5" s="792"/>
      <c r="F5" s="792"/>
      <c r="G5" s="792"/>
      <c r="K5" s="33"/>
      <c r="L5" s="34"/>
      <c r="M5" s="795" t="s">
        <v>137</v>
      </c>
      <c r="N5" s="795"/>
      <c r="O5" s="795"/>
      <c r="P5" s="795"/>
      <c r="Q5" s="795"/>
    </row>
    <row r="6" spans="1:17" ht="15" hidden="1" customHeight="1" thickBot="1"/>
    <row r="7" spans="1:17" ht="30" customHeight="1" thickTop="1" thickBot="1">
      <c r="A7" s="8"/>
      <c r="B7" s="797" t="str">
        <f>'Obrazac kalkulacije'!$B$6:$C$6</f>
        <v>Opis</v>
      </c>
      <c r="C7" s="797"/>
      <c r="D7" s="8" t="str">
        <f>'Obrazac kalkulacije'!$D$6</f>
        <v>Jed.
mjere</v>
      </c>
      <c r="E7" s="8" t="str">
        <f>'Obrazac kalkulacije'!$E$6</f>
        <v>Normativ</v>
      </c>
      <c r="F7" s="8" t="str">
        <f>'Obrazac kalkulacije'!$F$6</f>
        <v>Jed.
cijena</v>
      </c>
      <c r="G7" s="8" t="str">
        <f>'Obrazac kalkulacije'!$G$6</f>
        <v>Iznos</v>
      </c>
      <c r="K7" s="8"/>
      <c r="L7" s="797" t="e">
        <f>'Obrazac kalkulacije'!$B$6:$C$6</f>
        <v>#VALUE!</v>
      </c>
      <c r="M7" s="797"/>
      <c r="N7" s="8" t="str">
        <f>'Obrazac kalkulacije'!$D$6</f>
        <v>Jed.
mjere</v>
      </c>
      <c r="O7" s="8" t="str">
        <f>'Obrazac kalkulacije'!$E$6</f>
        <v>Normativ</v>
      </c>
      <c r="P7" s="8" t="str">
        <f>'Obrazac kalkulacije'!$F$6</f>
        <v>Jed.
cijena</v>
      </c>
      <c r="Q7" s="8" t="str">
        <f>'Obrazac kalkulacije'!$G$6</f>
        <v>Iznos</v>
      </c>
    </row>
    <row r="8" spans="1:17" ht="4.9000000000000004" customHeight="1" thickTop="1">
      <c r="B8" s="35"/>
      <c r="C8" s="1"/>
      <c r="D8" s="9"/>
      <c r="E8" s="11"/>
      <c r="F8" s="205"/>
      <c r="G8" s="13"/>
      <c r="L8" s="35"/>
      <c r="M8" s="1"/>
      <c r="N8" s="9"/>
      <c r="O8" s="11"/>
      <c r="P8" s="205"/>
      <c r="Q8" s="13"/>
    </row>
    <row r="9" spans="1:17" ht="25.15" customHeight="1">
      <c r="A9" s="14"/>
      <c r="B9" s="784" t="str">
        <f>'Obrazac kalkulacije'!$B$8</f>
        <v>Radna snaga:</v>
      </c>
      <c r="C9" s="784"/>
      <c r="D9" s="14"/>
      <c r="E9" s="14"/>
      <c r="F9" s="206"/>
      <c r="G9" s="16">
        <f>SUM(G10:G12)</f>
        <v>6.5888499999999999</v>
      </c>
      <c r="K9" s="14"/>
      <c r="L9" s="784" t="str">
        <f>'Obrazac kalkulacije'!$B$8</f>
        <v>Radna snaga:</v>
      </c>
      <c r="M9" s="784"/>
      <c r="N9" s="14"/>
      <c r="O9" s="14"/>
      <c r="P9" s="206"/>
      <c r="Q9" s="16">
        <f>SUM(Q12:Q12)</f>
        <v>225.42870253000001</v>
      </c>
    </row>
    <row r="10" spans="1:17" ht="25.15" customHeight="1">
      <c r="A10" s="613"/>
      <c r="B10" s="809" t="s">
        <v>874</v>
      </c>
      <c r="C10" s="809"/>
      <c r="D10" s="614" t="s">
        <v>15</v>
      </c>
      <c r="E10" s="610">
        <v>2.46E-2</v>
      </c>
      <c r="F10" s="611">
        <f>SUMIF('Cjenik RS'!$C$11:$C$26,kalkulacija!B10,'Cjenik RS'!$D$11:$D$26)</f>
        <v>103.46</v>
      </c>
      <c r="G10" s="612">
        <f>+F10*E10</f>
        <v>2.5451159999999997</v>
      </c>
      <c r="K10" s="14"/>
      <c r="L10" s="581"/>
      <c r="M10" s="581"/>
      <c r="N10" s="84"/>
      <c r="O10" s="84"/>
      <c r="P10" s="206"/>
      <c r="Q10" s="75"/>
    </row>
    <row r="11" spans="1:17" ht="25.15" customHeight="1">
      <c r="A11" s="613"/>
      <c r="B11" s="809" t="s">
        <v>873</v>
      </c>
      <c r="C11" s="809"/>
      <c r="D11" s="614" t="s">
        <v>15</v>
      </c>
      <c r="E11" s="610">
        <v>2.46E-2</v>
      </c>
      <c r="F11" s="611">
        <f>SUMIF('Cjenik RS'!$C$11:$C$26,kalkulacija!B11,'Cjenik RS'!$D$11:$D$26)</f>
        <v>124.29</v>
      </c>
      <c r="G11" s="48">
        <f>E11*F11</f>
        <v>3.057534</v>
      </c>
      <c r="K11" s="14"/>
      <c r="L11" s="581"/>
      <c r="M11" s="581"/>
      <c r="N11" s="84"/>
      <c r="O11" s="84"/>
      <c r="P11" s="206"/>
      <c r="Q11" s="75"/>
    </row>
    <row r="12" spans="1:17" ht="25.15" customHeight="1">
      <c r="A12" s="608"/>
      <c r="B12" s="809" t="s">
        <v>822</v>
      </c>
      <c r="C12" s="809"/>
      <c r="D12" s="609" t="s">
        <v>15</v>
      </c>
      <c r="E12" s="610">
        <v>0.02</v>
      </c>
      <c r="F12" s="611">
        <f>SUMIF('Cjenik RS'!$C$11:$C$26,kalkulacija!B12,'Cjenik RS'!$D$11:$D$26)</f>
        <v>49.31</v>
      </c>
      <c r="G12" s="612">
        <f>+F12*E12</f>
        <v>0.98620000000000008</v>
      </c>
      <c r="K12" s="26"/>
      <c r="L12" s="791" t="s">
        <v>130</v>
      </c>
      <c r="M12" s="791"/>
      <c r="N12" s="27" t="s">
        <v>15</v>
      </c>
      <c r="O12" s="28">
        <v>4.571663</v>
      </c>
      <c r="P12" s="203">
        <f>SUMIF('Cjenik RS'!$C$11:$C$26,$B12,'Cjenik RS'!$D$11:$D$88)</f>
        <v>49.31</v>
      </c>
      <c r="Q12" s="29">
        <f>+P12*O12</f>
        <v>225.42870253000001</v>
      </c>
    </row>
    <row r="13" spans="1:17" ht="25.15" customHeight="1">
      <c r="A13" s="14"/>
      <c r="B13" s="784" t="str">
        <f>'Obrazac kalkulacije'!$B$11</f>
        <v>Vozila, strojevi i oprema:</v>
      </c>
      <c r="C13" s="784"/>
      <c r="D13" s="14"/>
      <c r="E13" s="14"/>
      <c r="F13" s="203"/>
      <c r="G13" s="16">
        <f>SUM(G14:G16)</f>
        <v>1.0489200000000001</v>
      </c>
      <c r="K13" s="14"/>
      <c r="L13" s="784" t="str">
        <f>'Obrazac kalkulacije'!$B$11</f>
        <v>Vozila, strojevi i oprema:</v>
      </c>
      <c r="M13" s="784"/>
      <c r="N13" s="14"/>
      <c r="O13" s="14"/>
      <c r="P13" s="203"/>
      <c r="Q13" s="16">
        <f>SUM(Q14:Q16)</f>
        <v>344.37690809999998</v>
      </c>
    </row>
    <row r="14" spans="1:17" ht="25.15" customHeight="1">
      <c r="A14" s="44"/>
      <c r="B14" s="773" t="s">
        <v>477</v>
      </c>
      <c r="C14" s="773"/>
      <c r="D14" s="45" t="s">
        <v>15</v>
      </c>
      <c r="E14" s="46">
        <v>4.0000000000000001E-3</v>
      </c>
      <c r="F14" s="200">
        <f>SUMIF('Cjenik VSO (pomoćna) (2)'!$B$9:$B$26,kalkulacija!B14,'Cjenik VSO (pomoćna) (2)'!$C$9:$C$26)</f>
        <v>262.23</v>
      </c>
      <c r="G14" s="48">
        <f>E14*F14</f>
        <v>1.0489200000000001</v>
      </c>
      <c r="K14" s="44"/>
      <c r="L14" s="773" t="s">
        <v>138</v>
      </c>
      <c r="M14" s="773"/>
      <c r="N14" s="45" t="s">
        <v>15</v>
      </c>
      <c r="O14" s="46">
        <v>2.1183299999999998</v>
      </c>
      <c r="P14" s="200">
        <f>SUMIF('Cjenik VSO'!$B$9:$B$85,$B14,'Cjenik VSO'!$C$9:$C$85)</f>
        <v>162.57</v>
      </c>
      <c r="Q14" s="48">
        <f>O14*P14</f>
        <v>344.37690809999998</v>
      </c>
    </row>
    <row r="15" spans="1:17" ht="25.15" customHeight="1">
      <c r="A15" s="49"/>
      <c r="B15" s="773"/>
      <c r="C15" s="773"/>
      <c r="D15" s="50" t="s">
        <v>15</v>
      </c>
      <c r="E15" s="51"/>
      <c r="F15" s="200">
        <f>SUMIF('Cjenik VSO (pomoćna) (2)'!$B$9:$B$26,kalkulacija!B15,'Cjenik VSO (pomoćna) (2)'!$C$9:$C$26)</f>
        <v>0</v>
      </c>
      <c r="G15" s="53">
        <f>E15*F15</f>
        <v>0</v>
      </c>
      <c r="K15" s="49"/>
      <c r="L15" s="774" t="s">
        <v>139</v>
      </c>
      <c r="M15" s="774"/>
      <c r="N15" s="50" t="s">
        <v>15</v>
      </c>
      <c r="O15" s="51">
        <v>0.15</v>
      </c>
      <c r="P15" s="201">
        <f>SUMIF('Cjenik VSO'!$B$9:$B$85,$B15,'Cjenik VSO'!$C$9:$C$85)</f>
        <v>0</v>
      </c>
      <c r="Q15" s="53">
        <f>O15*P15</f>
        <v>0</v>
      </c>
    </row>
    <row r="16" spans="1:17" ht="25.15" customHeight="1">
      <c r="A16" s="54"/>
      <c r="B16" s="773"/>
      <c r="C16" s="773"/>
      <c r="D16" s="55" t="s">
        <v>15</v>
      </c>
      <c r="E16" s="56"/>
      <c r="F16" s="200">
        <f>SUMIF('Cjenik VSO (pomoćna) (2)'!$B$9:$B$26,kalkulacija!B16,'Cjenik VSO (pomoćna) (2)'!$C$9:$C$26)</f>
        <v>0</v>
      </c>
      <c r="G16" s="58">
        <f>E16*F16</f>
        <v>0</v>
      </c>
      <c r="K16" s="54"/>
      <c r="L16" s="787" t="s">
        <v>140</v>
      </c>
      <c r="M16" s="787"/>
      <c r="N16" s="55" t="s">
        <v>15</v>
      </c>
      <c r="O16" s="56">
        <v>0.2</v>
      </c>
      <c r="P16" s="202">
        <f>SUMIF('Cjenik VSO'!$B$9:$B$85,$B16,'Cjenik VSO'!$C$9:$C$85)</f>
        <v>0</v>
      </c>
      <c r="Q16" s="58">
        <f>O16*P16</f>
        <v>0</v>
      </c>
    </row>
    <row r="17" spans="1:17" ht="25.15" customHeight="1">
      <c r="A17" s="14"/>
      <c r="B17" s="784" t="str">
        <f>'Obrazac kalkulacije'!$B$15</f>
        <v>Materijali:</v>
      </c>
      <c r="C17" s="784"/>
      <c r="D17" s="14"/>
      <c r="E17" s="14"/>
      <c r="F17" s="203"/>
      <c r="G17" s="16">
        <f>SUM(G18:G26)</f>
        <v>11.729699999999999</v>
      </c>
      <c r="K17" s="14"/>
      <c r="L17" s="784" t="str">
        <f>'Obrazac kalkulacije'!$B$15</f>
        <v>Materijali:</v>
      </c>
      <c r="M17" s="784"/>
      <c r="N17" s="14"/>
      <c r="O17" s="14"/>
      <c r="P17" s="203"/>
      <c r="Q17" s="16">
        <f>SUM(Q18:Q26)</f>
        <v>31.684799999999996</v>
      </c>
    </row>
    <row r="18" spans="1:17" ht="25.15" customHeight="1">
      <c r="A18" s="44"/>
      <c r="B18" s="781" t="s">
        <v>662</v>
      </c>
      <c r="C18" s="782"/>
      <c r="D18" s="678" t="str">
        <f>INDEX('Cjenik M'!$C$11:$C$500, MATCH(1,INDEX(('Cjenik M'!$B$11:$B$500=kalkulacija!B18)*('Cjenik M'!$D$11:$D$500=kalkulacija!F18),,),0))</f>
        <v>kg</v>
      </c>
      <c r="E18" s="675">
        <v>0.35</v>
      </c>
      <c r="F18" s="676">
        <f>SUMIF('Cjenik M'!$B$11:$B$350,kalkulacija!B18,'Cjenik M'!$D$11:$D$350)</f>
        <v>5.13</v>
      </c>
      <c r="G18" s="677">
        <f t="shared" ref="G18:G23" si="0">E18*F18</f>
        <v>1.7954999999999999</v>
      </c>
      <c r="K18" s="44"/>
      <c r="L18" s="773" t="str">
        <f>'Cjenik M'!$B$16</f>
        <v xml:space="preserve">Cement 25 kg </v>
      </c>
      <c r="M18" s="773"/>
      <c r="N18" s="45" t="str">
        <f>'Cjenik M'!$C$16</f>
        <v>vreća</v>
      </c>
      <c r="O18" s="46">
        <v>0.5</v>
      </c>
      <c r="P18" s="200">
        <f>'Cjenik M'!$D$16</f>
        <v>18.36</v>
      </c>
      <c r="Q18" s="48">
        <f>O18*P18</f>
        <v>9.18</v>
      </c>
    </row>
    <row r="19" spans="1:17" ht="25.15" customHeight="1">
      <c r="A19" s="49"/>
      <c r="B19" s="783" t="s">
        <v>877</v>
      </c>
      <c r="C19" s="772"/>
      <c r="D19" s="678" t="str">
        <f>INDEX('Cjenik M'!$C$11:$C$500, MATCH(1,INDEX(('Cjenik M'!$B$11:$B$500=kalkulacija!B19)*('Cjenik M'!$D$11:$D$500=kalkulacija!F19),,),0))</f>
        <v>m3</v>
      </c>
      <c r="E19" s="679">
        <v>6.0000000000000001E-3</v>
      </c>
      <c r="F19" s="680">
        <f>SUMIF('Cjenik M'!$B$11:$B$350,kalkulacija!B19,'Cjenik M'!$D$11:$D$350)</f>
        <v>8.8000000000000007</v>
      </c>
      <c r="G19" s="681">
        <f t="shared" si="0"/>
        <v>5.2800000000000007E-2</v>
      </c>
      <c r="K19" s="49"/>
      <c r="L19" s="774" t="str">
        <f>'Cjenik M'!$B$14</f>
        <v>Zaštitna folija PVC 6*4 m</v>
      </c>
      <c r="M19" s="774"/>
      <c r="N19" s="50" t="str">
        <f>'Cjenik M'!$C$14</f>
        <v>kom.</v>
      </c>
      <c r="O19" s="51">
        <v>0.5</v>
      </c>
      <c r="P19" s="201">
        <f>'Cjenik M'!$D$14</f>
        <v>4.8</v>
      </c>
      <c r="Q19" s="53">
        <f>O19*P19</f>
        <v>2.4</v>
      </c>
    </row>
    <row r="20" spans="1:17" ht="25.15" customHeight="1">
      <c r="A20" s="686"/>
      <c r="B20" s="772" t="s">
        <v>664</v>
      </c>
      <c r="C20" s="772"/>
      <c r="D20" s="678" t="str">
        <f>INDEX('Cjenik M'!$C$11:$C$500, MATCH(1,INDEX(('Cjenik M'!$B$11:$B$500=kalkulacija!B20)*('Cjenik M'!$D$11:$D$500=kalkulacija!F20),,),0))</f>
        <v>kom.</v>
      </c>
      <c r="E20" s="679">
        <v>1</v>
      </c>
      <c r="F20" s="680">
        <f>SUMIF('Cjenik M'!$B$11:$B$350,kalkulacija!B20,'Cjenik M'!$D$11:$D$350)</f>
        <v>4.8</v>
      </c>
      <c r="G20" s="681">
        <f t="shared" si="0"/>
        <v>4.8</v>
      </c>
      <c r="K20" s="76"/>
      <c r="L20" s="582"/>
      <c r="M20" s="582"/>
      <c r="N20" s="71"/>
      <c r="O20" s="77"/>
      <c r="P20" s="213"/>
      <c r="Q20" s="73"/>
    </row>
    <row r="21" spans="1:17" ht="25.15" customHeight="1">
      <c r="A21" s="686"/>
      <c r="B21" s="772" t="s">
        <v>663</v>
      </c>
      <c r="C21" s="772"/>
      <c r="D21" s="678" t="str">
        <f>INDEX('Cjenik M'!$C$11:$C$500, MATCH(1,INDEX(('Cjenik M'!$B$11:$B$500=kalkulacija!B21)*('Cjenik M'!$D$11:$D$500=kalkulacija!F21),,),0))</f>
        <v>kom.</v>
      </c>
      <c r="E21" s="679">
        <v>0.2</v>
      </c>
      <c r="F21" s="680">
        <f>SUMIF('Cjenik M'!$B$11:$B$350,kalkulacija!B21,'Cjenik M'!$D$11:$D$350)</f>
        <v>14.06</v>
      </c>
      <c r="G21" s="681">
        <f t="shared" si="0"/>
        <v>2.8120000000000003</v>
      </c>
      <c r="K21" s="44"/>
      <c r="L21" s="773" t="str">
        <f>'Cjenik M'!$B$16</f>
        <v xml:space="preserve">Cement 25 kg </v>
      </c>
      <c r="M21" s="773"/>
      <c r="N21" s="657" t="str">
        <f>'Cjenik M'!$C$16</f>
        <v>vreća</v>
      </c>
      <c r="O21" s="46">
        <v>0.5</v>
      </c>
      <c r="P21" s="200">
        <f>'Cjenik M'!$D$16</f>
        <v>18.36</v>
      </c>
      <c r="Q21" s="48">
        <f>O21*P21</f>
        <v>9.18</v>
      </c>
    </row>
    <row r="22" spans="1:17" ht="25.15" customHeight="1">
      <c r="A22" s="686"/>
      <c r="B22" s="772" t="s">
        <v>876</v>
      </c>
      <c r="C22" s="772"/>
      <c r="D22" s="678" t="str">
        <f>INDEX('Cjenik M'!$C$11:$C$500, MATCH(1,INDEX(('Cjenik M'!$B$11:$B$500=kalkulacija!B22)*('Cjenik M'!$D$11:$D$500=kalkulacija!F22),,),0))</f>
        <v>kg</v>
      </c>
      <c r="E22" s="679">
        <v>0.03</v>
      </c>
      <c r="F22" s="680">
        <f>SUMIF('Cjenik M'!$B$11:$B$350,kalkulacija!B22,'Cjenik M'!$D$11:$D$350)</f>
        <v>8.98</v>
      </c>
      <c r="G22" s="681">
        <f t="shared" si="0"/>
        <v>0.26940000000000003</v>
      </c>
      <c r="K22" s="49"/>
      <c r="L22" s="774" t="str">
        <f>'Cjenik M'!$B$14</f>
        <v>Zaštitna folija PVC 6*4 m</v>
      </c>
      <c r="M22" s="774"/>
      <c r="N22" s="660" t="str">
        <f>'Cjenik M'!$C$14</f>
        <v>kom.</v>
      </c>
      <c r="O22" s="51">
        <v>0.5</v>
      </c>
      <c r="P22" s="201">
        <f>'Cjenik M'!$D$14</f>
        <v>4.8</v>
      </c>
      <c r="Q22" s="53">
        <f>O22*P22</f>
        <v>2.4</v>
      </c>
    </row>
    <row r="23" spans="1:17" ht="25.15" customHeight="1">
      <c r="A23" s="686"/>
      <c r="B23" s="772" t="s">
        <v>999</v>
      </c>
      <c r="C23" s="772"/>
      <c r="D23" s="678" t="str">
        <f>INDEX('Cjenik M'!$C$11:$C$500, MATCH(1,INDEX(('Cjenik M'!$B$11:$B$500=kalkulacija!B23)*('Cjenik M'!$D$11:$D$500=kalkulacija!F23),,),0))</f>
        <v>kom.</v>
      </c>
      <c r="E23" s="679">
        <v>0.5</v>
      </c>
      <c r="F23" s="680">
        <f>SUMIF('Cjenik M'!$B$11:$B$350,kalkulacija!B23,'Cjenik M'!$D$11:$D$350)</f>
        <v>4</v>
      </c>
      <c r="G23" s="681">
        <f t="shared" si="0"/>
        <v>2</v>
      </c>
      <c r="K23" s="76"/>
      <c r="L23" s="654"/>
      <c r="M23" s="654"/>
      <c r="N23" s="71"/>
      <c r="O23" s="77"/>
      <c r="P23" s="213"/>
      <c r="Q23" s="73"/>
    </row>
    <row r="24" spans="1:17" ht="25.15" customHeight="1">
      <c r="A24" s="686"/>
      <c r="B24" s="772"/>
      <c r="C24" s="772"/>
      <c r="D24" s="678"/>
      <c r="E24" s="679"/>
      <c r="F24" s="680">
        <f>SUMIF('Cjenik M'!$B$11:$B$350,kalkulacija!B24,'Cjenik M'!$D$11:$D$350)</f>
        <v>0</v>
      </c>
      <c r="G24" s="681"/>
      <c r="K24" s="76"/>
      <c r="L24" s="582"/>
      <c r="M24" s="582"/>
      <c r="N24" s="71"/>
      <c r="O24" s="77"/>
      <c r="P24" s="213"/>
      <c r="Q24" s="73"/>
    </row>
    <row r="25" spans="1:17" ht="25.15" customHeight="1">
      <c r="A25" s="686"/>
      <c r="B25" s="772"/>
      <c r="C25" s="772"/>
      <c r="D25" s="678"/>
      <c r="E25" s="679"/>
      <c r="F25" s="680">
        <f>SUMIF('Cjenik M'!$B$11:$B$350,kalkulacija!B25,'Cjenik M'!$D$11:$D$350)</f>
        <v>0</v>
      </c>
      <c r="G25" s="681"/>
      <c r="K25" s="76"/>
      <c r="L25" s="582"/>
      <c r="M25" s="582"/>
      <c r="N25" s="71"/>
      <c r="O25" s="77"/>
      <c r="P25" s="213"/>
      <c r="Q25" s="73"/>
    </row>
    <row r="26" spans="1:17" ht="25.15" customHeight="1" thickBot="1">
      <c r="A26" s="687"/>
      <c r="B26" s="776"/>
      <c r="C26" s="776"/>
      <c r="D26" s="688"/>
      <c r="E26" s="689"/>
      <c r="F26" s="691">
        <f>SUMIF('Cjenik M'!$B$11:$B$350,kalkulacija!B26,'Cjenik M'!$D$11:$D$350)</f>
        <v>0</v>
      </c>
      <c r="G26" s="690">
        <f>E26*F26</f>
        <v>0</v>
      </c>
      <c r="K26" s="59"/>
      <c r="L26" s="777" t="str">
        <f>'Cjenik M'!$B$21</f>
        <v>PVC koljeno 40x90</v>
      </c>
      <c r="M26" s="777"/>
      <c r="N26" s="60" t="str">
        <f>'Cjenik M'!$C$21</f>
        <v>kom.</v>
      </c>
      <c r="O26" s="61">
        <v>3.33</v>
      </c>
      <c r="P26" s="208">
        <f>'Cjenik M'!$D$21</f>
        <v>2.56</v>
      </c>
      <c r="Q26" s="63">
        <f>O26*P26</f>
        <v>8.5248000000000008</v>
      </c>
    </row>
    <row r="27" spans="1:17" ht="25.15" customHeight="1" thickTop="1" thickBot="1">
      <c r="E27" s="778" t="str">
        <f>'Obrazac kalkulacije'!$E$18</f>
        <v>Ukupno (kn):</v>
      </c>
      <c r="F27" s="778"/>
      <c r="G27" s="64">
        <f>ROUND(SUM(G9+G13+G17),2)</f>
        <v>19.37</v>
      </c>
      <c r="H27" s="217"/>
      <c r="I27" s="602"/>
      <c r="J27" s="602"/>
      <c r="O27" s="778" t="str">
        <f>'Obrazac kalkulacije'!$E$18</f>
        <v>Ukupno (kn):</v>
      </c>
      <c r="P27" s="778"/>
      <c r="Q27" s="64">
        <f>ROUND(SUM(Q9+Q13+Q17),2)</f>
        <v>601.49</v>
      </c>
    </row>
    <row r="28" spans="1:17" ht="25.15" customHeight="1" thickTop="1" thickBot="1">
      <c r="E28" s="23" t="str">
        <f>'Obrazac kalkulacije'!$E$19</f>
        <v>PDV:</v>
      </c>
      <c r="F28" s="207">
        <f>'Obrazac kalkulacije'!$F$19</f>
        <v>0.25</v>
      </c>
      <c r="G28" s="24">
        <f>G27*F28</f>
        <v>4.8425000000000002</v>
      </c>
      <c r="H28" s="446"/>
      <c r="I28" s="446"/>
      <c r="J28" s="446"/>
      <c r="O28" s="23" t="str">
        <f>'Obrazac kalkulacije'!$E$19</f>
        <v>PDV:</v>
      </c>
      <c r="P28" s="207">
        <f>'Obrazac kalkulacije'!$F$19</f>
        <v>0.25</v>
      </c>
      <c r="Q28" s="24">
        <f>Q27*P28</f>
        <v>150.3725</v>
      </c>
    </row>
    <row r="29" spans="1:17" ht="25.15" customHeight="1" thickTop="1" thickBot="1">
      <c r="E29" s="779" t="str">
        <f>'Obrazac kalkulacije'!$E$20</f>
        <v>Sveukupno (kn):</v>
      </c>
      <c r="F29" s="779"/>
      <c r="G29" s="24">
        <f>ROUND(SUM(G27:G28),2)</f>
        <v>24.21</v>
      </c>
      <c r="H29" s="447"/>
      <c r="I29" s="447"/>
      <c r="J29" s="447"/>
      <c r="O29" s="779" t="str">
        <f>'Obrazac kalkulacije'!$E$20</f>
        <v>Sveukupno (kn):</v>
      </c>
      <c r="P29" s="779"/>
      <c r="Q29" s="24">
        <f>ROUND(SUM(Q27:Q28),2)</f>
        <v>751.86</v>
      </c>
    </row>
    <row r="30" spans="1:17" ht="15" customHeight="1" thickTop="1"/>
    <row r="31" spans="1:17" ht="15" customHeight="1"/>
    <row r="32" spans="1:17" ht="15" customHeight="1"/>
    <row r="33" spans="1:17" ht="15" customHeight="1">
      <c r="C33" s="3" t="str">
        <f>'Obrazac kalkulacije'!$C$24</f>
        <v>IZVODITELJ:</v>
      </c>
      <c r="F33" s="780" t="str">
        <f>'Obrazac kalkulacije'!$F$24</f>
        <v>NARUČITELJ:</v>
      </c>
      <c r="G33" s="780"/>
      <c r="M33" s="3" t="str">
        <f>'Obrazac kalkulacije'!$C$24</f>
        <v>IZVODITELJ:</v>
      </c>
      <c r="P33" s="780" t="str">
        <f>'Obrazac kalkulacije'!$F$24</f>
        <v>NARUČITELJ:</v>
      </c>
      <c r="Q33" s="780"/>
    </row>
    <row r="34" spans="1:17" ht="25.15" customHeight="1">
      <c r="C34" s="3" t="str">
        <f>'Obrazac kalkulacije'!$C$25</f>
        <v>__________________</v>
      </c>
      <c r="F34" s="780" t="str">
        <f>'Obrazac kalkulacije'!$F$25</f>
        <v>___________________</v>
      </c>
      <c r="G34" s="780"/>
      <c r="M34" s="3" t="str">
        <f>'Obrazac kalkulacije'!$C$25</f>
        <v>__________________</v>
      </c>
      <c r="P34" s="780" t="str">
        <f>'Obrazac kalkulacije'!$F$25</f>
        <v>___________________</v>
      </c>
      <c r="Q34" s="780"/>
    </row>
    <row r="35" spans="1:17" ht="15" customHeight="1">
      <c r="F35" s="780"/>
      <c r="G35" s="780"/>
      <c r="P35" s="780"/>
      <c r="Q35" s="780"/>
    </row>
    <row r="36" spans="1:17" ht="15" customHeight="1">
      <c r="B36" s="30">
        <v>2</v>
      </c>
    </row>
    <row r="37" spans="1:17" ht="15" customHeight="1">
      <c r="A37" s="115"/>
      <c r="B37" s="116"/>
      <c r="C37" s="796"/>
      <c r="D37" s="796"/>
      <c r="E37" s="796"/>
      <c r="F37" s="796"/>
      <c r="G37" s="796"/>
      <c r="K37" s="115"/>
      <c r="L37" s="116" t="s">
        <v>17</v>
      </c>
      <c r="M37" s="796" t="s">
        <v>18</v>
      </c>
      <c r="N37" s="796"/>
      <c r="O37" s="796"/>
      <c r="P37" s="796"/>
      <c r="Q37" s="796"/>
    </row>
    <row r="38" spans="1:17" ht="15" customHeight="1">
      <c r="A38" s="31"/>
      <c r="B38" s="32"/>
      <c r="C38" s="794"/>
      <c r="D38" s="794"/>
      <c r="E38" s="794"/>
      <c r="F38" s="794"/>
      <c r="G38" s="794"/>
      <c r="K38" s="31"/>
      <c r="L38" s="32" t="s">
        <v>22</v>
      </c>
      <c r="M38" s="794" t="s">
        <v>23</v>
      </c>
      <c r="N38" s="794"/>
      <c r="O38" s="794"/>
      <c r="P38" s="794"/>
      <c r="Q38" s="794"/>
    </row>
    <row r="39" spans="1:17" ht="15" customHeight="1">
      <c r="A39" s="41"/>
      <c r="B39" s="42"/>
      <c r="C39" s="601" t="s">
        <v>887</v>
      </c>
      <c r="D39" s="43"/>
      <c r="E39" s="43"/>
      <c r="F39" s="209"/>
      <c r="G39" s="43"/>
      <c r="K39" s="41"/>
      <c r="L39" s="42" t="s">
        <v>24</v>
      </c>
      <c r="M39" s="43" t="s">
        <v>25</v>
      </c>
      <c r="N39" s="43"/>
      <c r="O39" s="43"/>
      <c r="P39" s="209"/>
      <c r="Q39" s="43"/>
    </row>
    <row r="40" spans="1:17" ht="162" customHeight="1">
      <c r="A40" s="33"/>
      <c r="B40" s="443"/>
      <c r="C40" s="792" t="s">
        <v>935</v>
      </c>
      <c r="D40" s="792"/>
      <c r="E40" s="792"/>
      <c r="F40" s="792"/>
      <c r="G40" s="792"/>
      <c r="K40" s="33"/>
      <c r="L40" s="34" t="s">
        <v>27</v>
      </c>
      <c r="M40" s="795" t="s">
        <v>141</v>
      </c>
      <c r="N40" s="795"/>
      <c r="O40" s="795"/>
      <c r="P40" s="795"/>
      <c r="Q40" s="795"/>
    </row>
    <row r="41" spans="1:17" ht="15" customHeight="1" thickBot="1"/>
    <row r="42" spans="1:17" ht="30" customHeight="1" thickTop="1" thickBot="1">
      <c r="A42" s="8"/>
      <c r="B42" s="797" t="str">
        <f>'Obrazac kalkulacije'!$B$6:$C$6</f>
        <v>Opis</v>
      </c>
      <c r="C42" s="797"/>
      <c r="D42" s="8" t="str">
        <f>'Obrazac kalkulacije'!$D$6</f>
        <v>Jed.
mjere</v>
      </c>
      <c r="E42" s="8" t="str">
        <f>'Obrazac kalkulacije'!$E$6</f>
        <v>Normativ</v>
      </c>
      <c r="F42" s="8" t="str">
        <f>'Obrazac kalkulacije'!$F$6</f>
        <v>Jed.
cijena</v>
      </c>
      <c r="G42" s="8" t="str">
        <f>'Obrazac kalkulacije'!$G$6</f>
        <v>Iznos</v>
      </c>
      <c r="K42" s="8"/>
      <c r="L42" s="797" t="e">
        <f>'Obrazac kalkulacije'!$B$6:$C$6</f>
        <v>#VALUE!</v>
      </c>
      <c r="M42" s="797"/>
      <c r="N42" s="8" t="str">
        <f>'Obrazac kalkulacije'!$D$6</f>
        <v>Jed.
mjere</v>
      </c>
      <c r="O42" s="8" t="str">
        <f>'Obrazac kalkulacije'!$E$6</f>
        <v>Normativ</v>
      </c>
      <c r="P42" s="8" t="str">
        <f>'Obrazac kalkulacije'!$F$6</f>
        <v>Jed.
cijena</v>
      </c>
      <c r="Q42" s="8" t="str">
        <f>'Obrazac kalkulacije'!$G$6</f>
        <v>Iznos</v>
      </c>
    </row>
    <row r="43" spans="1:17" ht="4.9000000000000004" customHeight="1" thickTop="1">
      <c r="B43" s="35"/>
      <c r="C43" s="1"/>
      <c r="D43" s="9"/>
      <c r="E43" s="11"/>
      <c r="F43" s="205"/>
      <c r="G43" s="13"/>
      <c r="L43" s="35"/>
      <c r="M43" s="1"/>
      <c r="N43" s="9"/>
      <c r="O43" s="11"/>
      <c r="P43" s="205"/>
      <c r="Q43" s="13"/>
    </row>
    <row r="44" spans="1:17" ht="25.15" customHeight="1">
      <c r="A44" s="656"/>
      <c r="B44" s="784" t="str">
        <f>'Obrazac kalkulacije'!$B$8</f>
        <v>Radna snaga:</v>
      </c>
      <c r="C44" s="784"/>
      <c r="D44" s="656"/>
      <c r="E44" s="656"/>
      <c r="F44" s="206"/>
      <c r="G44" s="16">
        <f>SUM(G45:G47)</f>
        <v>22.509329999999999</v>
      </c>
      <c r="K44" s="656"/>
      <c r="L44" s="784" t="str">
        <f>'Obrazac kalkulacije'!$B$8</f>
        <v>Radna snaga:</v>
      </c>
      <c r="M44" s="784"/>
      <c r="N44" s="656"/>
      <c r="O44" s="656"/>
      <c r="P44" s="206"/>
      <c r="Q44" s="16">
        <f>SUM(Q47:Q47)</f>
        <v>225.42870253000001</v>
      </c>
    </row>
    <row r="45" spans="1:17" ht="25.15" customHeight="1">
      <c r="A45" s="613"/>
      <c r="B45" s="809" t="s">
        <v>873</v>
      </c>
      <c r="C45" s="809"/>
      <c r="D45" s="614" t="s">
        <v>15</v>
      </c>
      <c r="E45" s="610">
        <v>2.5000000000000001E-2</v>
      </c>
      <c r="F45" s="611">
        <f>SUMIF('Cjenik RS'!$C$11:$C$26,kalkulacija!B45,'Cjenik RS'!$D$11:$D$26)</f>
        <v>124.29</v>
      </c>
      <c r="G45" s="612">
        <f>+F45*E45</f>
        <v>3.1072500000000005</v>
      </c>
      <c r="K45" s="656"/>
      <c r="L45" s="653"/>
      <c r="M45" s="653"/>
      <c r="N45" s="84"/>
      <c r="O45" s="84"/>
      <c r="P45" s="206"/>
      <c r="Q45" s="75"/>
    </row>
    <row r="46" spans="1:17" ht="25.15" customHeight="1">
      <c r="A46" s="613"/>
      <c r="B46" s="809" t="s">
        <v>874</v>
      </c>
      <c r="C46" s="809"/>
      <c r="D46" s="614" t="s">
        <v>15</v>
      </c>
      <c r="E46" s="610">
        <v>0.17799999999999999</v>
      </c>
      <c r="F46" s="611">
        <f>SUMIF('Cjenik RS'!$C$11:$C$26,kalkulacija!B46,'Cjenik RS'!$D$11:$D$26)</f>
        <v>103.46</v>
      </c>
      <c r="G46" s="612">
        <f>+F46*E46</f>
        <v>18.415879999999998</v>
      </c>
      <c r="K46" s="656"/>
      <c r="L46" s="653"/>
      <c r="M46" s="653"/>
      <c r="N46" s="84"/>
      <c r="O46" s="84"/>
      <c r="P46" s="206"/>
      <c r="Q46" s="75"/>
    </row>
    <row r="47" spans="1:17" ht="25.15" customHeight="1">
      <c r="A47" s="608"/>
      <c r="B47" s="809" t="s">
        <v>822</v>
      </c>
      <c r="C47" s="809"/>
      <c r="D47" s="609" t="s">
        <v>15</v>
      </c>
      <c r="E47" s="610">
        <v>0.02</v>
      </c>
      <c r="F47" s="611">
        <f>SUMIF('Cjenik RS'!$C$11:$C$26,kalkulacija!B47,'Cjenik RS'!$D$11:$D$26)</f>
        <v>49.31</v>
      </c>
      <c r="G47" s="612">
        <f>+F47*E47</f>
        <v>0.98620000000000008</v>
      </c>
      <c r="K47" s="26"/>
      <c r="L47" s="791" t="s">
        <v>130</v>
      </c>
      <c r="M47" s="791"/>
      <c r="N47" s="27" t="s">
        <v>15</v>
      </c>
      <c r="O47" s="28">
        <v>4.571663</v>
      </c>
      <c r="P47" s="203">
        <f>SUMIF('Cjenik RS'!$C$11:$C$26,$B47,'Cjenik RS'!$D$11:$D$88)</f>
        <v>49.31</v>
      </c>
      <c r="Q47" s="29">
        <f>+P47*O47</f>
        <v>225.42870253000001</v>
      </c>
    </row>
    <row r="48" spans="1:17" ht="25.15" customHeight="1">
      <c r="A48" s="656"/>
      <c r="B48" s="784" t="str">
        <f>'Obrazac kalkulacije'!$B$11</f>
        <v>Vozila, strojevi i oprema:</v>
      </c>
      <c r="C48" s="784"/>
      <c r="D48" s="656"/>
      <c r="E48" s="656"/>
      <c r="F48" s="203"/>
      <c r="G48" s="16">
        <f>SUM(G49:G51)</f>
        <v>1.0489200000000001</v>
      </c>
      <c r="K48" s="656"/>
      <c r="L48" s="784" t="str">
        <f>'Obrazac kalkulacije'!$B$11</f>
        <v>Vozila, strojevi i oprema:</v>
      </c>
      <c r="M48" s="784"/>
      <c r="N48" s="656"/>
      <c r="O48" s="656"/>
      <c r="P48" s="203"/>
      <c r="Q48" s="16">
        <f>SUM(Q49:Q51)</f>
        <v>344.37690809999998</v>
      </c>
    </row>
    <row r="49" spans="1:17" ht="25.15" customHeight="1">
      <c r="A49" s="44"/>
      <c r="B49" s="810" t="s">
        <v>477</v>
      </c>
      <c r="C49" s="810"/>
      <c r="D49" s="614" t="s">
        <v>15</v>
      </c>
      <c r="E49" s="46">
        <v>4.0000000000000001E-3</v>
      </c>
      <c r="F49" s="611">
        <f>SUMIF('Cjenik VSO (pomoćna) (2)'!$B$9:$B$26,kalkulacija!B49,'Cjenik VSO (pomoćna) (2)'!$C$9:$C$26)</f>
        <v>262.23</v>
      </c>
      <c r="G49" s="670">
        <f>E49*F49</f>
        <v>1.0489200000000001</v>
      </c>
      <c r="K49" s="44"/>
      <c r="L49" s="773" t="s">
        <v>138</v>
      </c>
      <c r="M49" s="773"/>
      <c r="N49" s="657" t="s">
        <v>15</v>
      </c>
      <c r="O49" s="46">
        <v>2.1183299999999998</v>
      </c>
      <c r="P49" s="200">
        <f>SUMIF('Cjenik VSO'!$B$9:$B$85,$B49,'Cjenik VSO'!$C$9:$C$85)</f>
        <v>162.57</v>
      </c>
      <c r="Q49" s="48">
        <f>O49*P49</f>
        <v>344.37690809999998</v>
      </c>
    </row>
    <row r="50" spans="1:17" ht="25.15" customHeight="1">
      <c r="A50" s="49"/>
      <c r="B50" s="810"/>
      <c r="C50" s="810"/>
      <c r="D50" s="614" t="s">
        <v>15</v>
      </c>
      <c r="E50" s="669"/>
      <c r="F50" s="611">
        <f>SUMIF('Cjenik VSO (pomoćna) (2)'!$B$9:$B$26,kalkulacija!B50,'Cjenik VSO (pomoćna) (2)'!$C$9:$C$26)</f>
        <v>0</v>
      </c>
      <c r="G50" s="670">
        <f>E50*F50</f>
        <v>0</v>
      </c>
      <c r="K50" s="49"/>
      <c r="L50" s="774" t="s">
        <v>139</v>
      </c>
      <c r="M50" s="774"/>
      <c r="N50" s="660" t="s">
        <v>15</v>
      </c>
      <c r="O50" s="51">
        <v>0.15</v>
      </c>
      <c r="P50" s="201">
        <f>SUMIF('Cjenik VSO'!$B$9:$B$85,$B50,'Cjenik VSO'!$C$9:$C$85)</f>
        <v>0</v>
      </c>
      <c r="Q50" s="53">
        <f>O50*P50</f>
        <v>0</v>
      </c>
    </row>
    <row r="51" spans="1:17" ht="25.15" customHeight="1">
      <c r="A51" s="54"/>
      <c r="B51" s="810"/>
      <c r="C51" s="810"/>
      <c r="D51" s="614" t="s">
        <v>15</v>
      </c>
      <c r="E51" s="669"/>
      <c r="F51" s="611">
        <f>SUMIF('Cjenik VSO (pomoćna) (2)'!$B$9:$B$26,kalkulacija!B51,'Cjenik VSO (pomoćna) (2)'!$C$9:$C$26)</f>
        <v>0</v>
      </c>
      <c r="G51" s="670">
        <f>E51*F51</f>
        <v>0</v>
      </c>
      <c r="K51" s="54"/>
      <c r="L51" s="787" t="s">
        <v>140</v>
      </c>
      <c r="M51" s="787"/>
      <c r="N51" s="659" t="s">
        <v>15</v>
      </c>
      <c r="O51" s="56">
        <v>0.2</v>
      </c>
      <c r="P51" s="202">
        <f>SUMIF('Cjenik VSO'!$B$9:$B$85,$B51,'Cjenik VSO'!$C$9:$C$85)</f>
        <v>0</v>
      </c>
      <c r="Q51" s="58">
        <f>O51*P51</f>
        <v>0</v>
      </c>
    </row>
    <row r="52" spans="1:17" ht="25.15" customHeight="1">
      <c r="A52" s="656"/>
      <c r="B52" s="784" t="str">
        <f>'Obrazac kalkulacije'!$B$15</f>
        <v>Materijali:</v>
      </c>
      <c r="C52" s="784"/>
      <c r="D52" s="656"/>
      <c r="E52" s="656"/>
      <c r="F52" s="203"/>
      <c r="G52" s="16">
        <f>SUM(G53:G61)</f>
        <v>7.2706200000000001</v>
      </c>
      <c r="K52" s="656"/>
      <c r="L52" s="784" t="str">
        <f>'Obrazac kalkulacije'!$B$15</f>
        <v>Materijali:</v>
      </c>
      <c r="M52" s="784"/>
      <c r="N52" s="656"/>
      <c r="O52" s="656"/>
      <c r="P52" s="203"/>
      <c r="Q52" s="16">
        <f>SUM(Q53:Q61)</f>
        <v>31.684799999999996</v>
      </c>
    </row>
    <row r="53" spans="1:17" ht="25.15" customHeight="1">
      <c r="A53" s="655"/>
      <c r="B53" s="773" t="s">
        <v>662</v>
      </c>
      <c r="C53" s="773"/>
      <c r="D53" s="678" t="str">
        <f>INDEX('Cjenik M'!$C$11:$C$500, MATCH(1,INDEX(('Cjenik M'!$B$11:$B$500=kalkulacija!B53)*('Cjenik M'!$D$11:$D$500=kalkulacija!F53),,),0))</f>
        <v>kg</v>
      </c>
      <c r="E53" s="669">
        <v>0.35</v>
      </c>
      <c r="F53" s="611">
        <f>SUMIF('Cjenik M'!$B$11:$B$350,kalkulacija!B53,'Cjenik M'!$D$11:$D$350)</f>
        <v>5.13</v>
      </c>
      <c r="G53" s="670">
        <f t="shared" ref="G53:G58" si="1">E53*F53</f>
        <v>1.7954999999999999</v>
      </c>
      <c r="K53" s="44"/>
      <c r="L53" s="773" t="str">
        <f>'Cjenik M'!$B$16</f>
        <v xml:space="preserve">Cement 25 kg </v>
      </c>
      <c r="M53" s="773"/>
      <c r="N53" s="657" t="str">
        <f>'Cjenik M'!$C$16</f>
        <v>vreća</v>
      </c>
      <c r="O53" s="46">
        <v>0.5</v>
      </c>
      <c r="P53" s="200">
        <f>'Cjenik M'!$D$16</f>
        <v>18.36</v>
      </c>
      <c r="Q53" s="48">
        <f>O53*P53</f>
        <v>9.18</v>
      </c>
    </row>
    <row r="54" spans="1:17" ht="25.15" customHeight="1">
      <c r="A54" s="655"/>
      <c r="B54" s="773" t="s">
        <v>877</v>
      </c>
      <c r="C54" s="773"/>
      <c r="D54" s="678" t="str">
        <f>INDEX('Cjenik M'!$C$11:$C$500, MATCH(1,INDEX(('Cjenik M'!$B$11:$B$500=kalkulacija!B54)*('Cjenik M'!$D$11:$D$500=kalkulacija!F54),,),0))</f>
        <v>m3</v>
      </c>
      <c r="E54" s="669">
        <v>4.0000000000000002E-4</v>
      </c>
      <c r="F54" s="611">
        <f>SUMIF('Cjenik M'!$B$11:$B$350,kalkulacija!B54,'Cjenik M'!$D$11:$D$350)</f>
        <v>8.8000000000000007</v>
      </c>
      <c r="G54" s="670">
        <f t="shared" si="1"/>
        <v>3.5200000000000006E-3</v>
      </c>
      <c r="K54" s="49"/>
      <c r="L54" s="774" t="str">
        <f>'Cjenik M'!$B$14</f>
        <v>Zaštitna folija PVC 6*4 m</v>
      </c>
      <c r="M54" s="774"/>
      <c r="N54" s="660" t="str">
        <f>'Cjenik M'!$C$14</f>
        <v>kom.</v>
      </c>
      <c r="O54" s="51">
        <v>0.5</v>
      </c>
      <c r="P54" s="201">
        <f>'Cjenik M'!$D$14</f>
        <v>4.8</v>
      </c>
      <c r="Q54" s="53">
        <f>O54*P54</f>
        <v>2.4</v>
      </c>
    </row>
    <row r="55" spans="1:17" ht="25.15" customHeight="1">
      <c r="A55" s="655"/>
      <c r="B55" s="773" t="s">
        <v>664</v>
      </c>
      <c r="C55" s="773"/>
      <c r="D55" s="678" t="str">
        <f>INDEX('Cjenik M'!$C$11:$C$500, MATCH(1,INDEX(('Cjenik M'!$B$11:$B$500=kalkulacija!B55)*('Cjenik M'!$D$11:$D$500=kalkulacija!F55),,),0))</f>
        <v>kom.</v>
      </c>
      <c r="E55" s="669">
        <v>0.1</v>
      </c>
      <c r="F55" s="611">
        <f>SUMIF('Cjenik M'!$B$11:$B$350,kalkulacija!B55,'Cjenik M'!$D$11:$D$350)</f>
        <v>4.8</v>
      </c>
      <c r="G55" s="670">
        <f t="shared" si="1"/>
        <v>0.48</v>
      </c>
      <c r="K55" s="76"/>
      <c r="L55" s="654"/>
      <c r="M55" s="654"/>
      <c r="N55" s="71"/>
      <c r="O55" s="77"/>
      <c r="P55" s="213"/>
      <c r="Q55" s="73"/>
    </row>
    <row r="56" spans="1:17" ht="25.15" customHeight="1">
      <c r="A56" s="655"/>
      <c r="B56" s="773" t="s">
        <v>663</v>
      </c>
      <c r="C56" s="773"/>
      <c r="D56" s="678" t="str">
        <f>INDEX('Cjenik M'!$C$11:$C$500, MATCH(1,INDEX(('Cjenik M'!$B$11:$B$500=kalkulacija!B56)*('Cjenik M'!$D$11:$D$500=kalkulacija!F56),,),0))</f>
        <v>kom.</v>
      </c>
      <c r="E56" s="669">
        <v>0.2</v>
      </c>
      <c r="F56" s="611">
        <f>SUMIF('Cjenik M'!$B$11:$B$350,kalkulacija!B56,'Cjenik M'!$D$11:$D$350)</f>
        <v>14.06</v>
      </c>
      <c r="G56" s="670">
        <f t="shared" si="1"/>
        <v>2.8120000000000003</v>
      </c>
      <c r="K56" s="44"/>
      <c r="L56" s="773" t="str">
        <f>'Cjenik M'!$B$16</f>
        <v xml:space="preserve">Cement 25 kg </v>
      </c>
      <c r="M56" s="773"/>
      <c r="N56" s="657" t="str">
        <f>'Cjenik M'!$C$16</f>
        <v>vreća</v>
      </c>
      <c r="O56" s="46">
        <v>0.5</v>
      </c>
      <c r="P56" s="200">
        <f>'Cjenik M'!$D$16</f>
        <v>18.36</v>
      </c>
      <c r="Q56" s="48">
        <f>O56*P56</f>
        <v>9.18</v>
      </c>
    </row>
    <row r="57" spans="1:17" ht="25.15" customHeight="1">
      <c r="A57" s="655"/>
      <c r="B57" s="773" t="s">
        <v>876</v>
      </c>
      <c r="C57" s="773"/>
      <c r="D57" s="678" t="str">
        <f>INDEX('Cjenik M'!$C$11:$C$500, MATCH(1,INDEX(('Cjenik M'!$B$11:$B$500=kalkulacija!B57)*('Cjenik M'!$D$11:$D$500=kalkulacija!F57),,),0))</f>
        <v>kg</v>
      </c>
      <c r="E57" s="669">
        <v>0.02</v>
      </c>
      <c r="F57" s="611">
        <f>SUMIF('Cjenik M'!$B$11:$B$350,kalkulacija!B57,'Cjenik M'!$D$11:$D$350)</f>
        <v>8.98</v>
      </c>
      <c r="G57" s="670">
        <f t="shared" si="1"/>
        <v>0.17960000000000001</v>
      </c>
      <c r="K57" s="49"/>
      <c r="L57" s="774" t="str">
        <f>'Cjenik M'!$B$14</f>
        <v>Zaštitna folija PVC 6*4 m</v>
      </c>
      <c r="M57" s="774"/>
      <c r="N57" s="660" t="str">
        <f>'Cjenik M'!$C$14</f>
        <v>kom.</v>
      </c>
      <c r="O57" s="51">
        <v>0.5</v>
      </c>
      <c r="P57" s="201">
        <f>'Cjenik M'!$D$14</f>
        <v>4.8</v>
      </c>
      <c r="Q57" s="53">
        <f>O57*P57</f>
        <v>2.4</v>
      </c>
    </row>
    <row r="58" spans="1:17" ht="25.15" customHeight="1">
      <c r="A58" s="655"/>
      <c r="B58" s="773" t="s">
        <v>999</v>
      </c>
      <c r="C58" s="773"/>
      <c r="D58" s="678" t="str">
        <f>INDEX('Cjenik M'!$C$11:$C$500, MATCH(1,INDEX(('Cjenik M'!$B$11:$B$500=kalkulacija!B58)*('Cjenik M'!$D$11:$D$500=kalkulacija!F58),,),0))</f>
        <v>kom.</v>
      </c>
      <c r="E58" s="669">
        <v>0.5</v>
      </c>
      <c r="F58" s="611">
        <f>SUMIF('Cjenik M'!$B$11:$B$350,kalkulacija!B58,'Cjenik M'!$D$11:$D$350)</f>
        <v>4</v>
      </c>
      <c r="G58" s="670">
        <f t="shared" si="1"/>
        <v>2</v>
      </c>
      <c r="K58" s="76"/>
      <c r="L58" s="654"/>
      <c r="M58" s="654"/>
      <c r="N58" s="71"/>
      <c r="O58" s="77"/>
      <c r="P58" s="213"/>
      <c r="Q58" s="73"/>
    </row>
    <row r="59" spans="1:17" ht="25.15" customHeight="1">
      <c r="A59" s="655"/>
      <c r="B59" s="810"/>
      <c r="C59" s="810"/>
      <c r="D59" s="614"/>
      <c r="E59" s="669"/>
      <c r="F59" s="611">
        <f>SUMIF('Cjenik M'!$B$11:$B$350,kalkulacija!B59,'Cjenik M'!$D$11:$D$350)</f>
        <v>0</v>
      </c>
      <c r="G59" s="670"/>
      <c r="K59" s="76"/>
      <c r="L59" s="654"/>
      <c r="M59" s="654"/>
      <c r="N59" s="71"/>
      <c r="O59" s="77"/>
      <c r="P59" s="213"/>
      <c r="Q59" s="73"/>
    </row>
    <row r="60" spans="1:17" ht="25.15" customHeight="1">
      <c r="A60" s="655"/>
      <c r="B60" s="810"/>
      <c r="C60" s="810"/>
      <c r="D60" s="614"/>
      <c r="E60" s="669"/>
      <c r="F60" s="611">
        <f>SUMIF('Cjenik M'!$B$11:$B$350,kalkulacija!B60,'Cjenik M'!$D$11:$D$350)</f>
        <v>0</v>
      </c>
      <c r="G60" s="670"/>
      <c r="K60" s="76"/>
      <c r="L60" s="654"/>
      <c r="M60" s="654"/>
      <c r="N60" s="71"/>
      <c r="O60" s="77"/>
      <c r="P60" s="213"/>
      <c r="Q60" s="73"/>
    </row>
    <row r="61" spans="1:17" ht="25.15" customHeight="1" thickBot="1">
      <c r="A61" s="461"/>
      <c r="B61" s="811"/>
      <c r="C61" s="811"/>
      <c r="D61" s="462"/>
      <c r="E61" s="463"/>
      <c r="F61" s="640"/>
      <c r="G61" s="464">
        <f>E61*F61</f>
        <v>0</v>
      </c>
      <c r="K61" s="59"/>
      <c r="L61" s="777" t="str">
        <f>'Cjenik M'!$B$21</f>
        <v>PVC koljeno 40x90</v>
      </c>
      <c r="M61" s="777"/>
      <c r="N61" s="658" t="str">
        <f>'Cjenik M'!$C$21</f>
        <v>kom.</v>
      </c>
      <c r="O61" s="61">
        <v>3.33</v>
      </c>
      <c r="P61" s="208">
        <f>'Cjenik M'!$D$21</f>
        <v>2.56</v>
      </c>
      <c r="Q61" s="63">
        <f>O61*P61</f>
        <v>8.5248000000000008</v>
      </c>
    </row>
    <row r="62" spans="1:17" ht="25.15" customHeight="1" thickTop="1" thickBot="1">
      <c r="E62" s="778" t="str">
        <f>'Obrazac kalkulacije'!$E$18</f>
        <v>Ukupno (kn):</v>
      </c>
      <c r="F62" s="778"/>
      <c r="G62" s="64">
        <f>ROUND(SUM(G44+G48+G52),2)</f>
        <v>30.83</v>
      </c>
      <c r="H62" s="217"/>
      <c r="I62" s="602"/>
      <c r="J62" s="602"/>
      <c r="O62" s="778" t="str">
        <f>'Obrazac kalkulacije'!$E$18</f>
        <v>Ukupno (kn):</v>
      </c>
      <c r="P62" s="778"/>
      <c r="Q62" s="64">
        <f>ROUND(SUM(Q44+Q48+Q52),2)</f>
        <v>601.49</v>
      </c>
    </row>
    <row r="63" spans="1:17" ht="25.15" customHeight="1" thickTop="1" thickBot="1">
      <c r="E63" s="23" t="str">
        <f>'Obrazac kalkulacije'!$E$19</f>
        <v>PDV:</v>
      </c>
      <c r="F63" s="207">
        <f>'Obrazac kalkulacije'!$F$19</f>
        <v>0.25</v>
      </c>
      <c r="G63" s="24">
        <f>G62*F63</f>
        <v>7.7074999999999996</v>
      </c>
      <c r="H63" s="446"/>
      <c r="I63" s="446"/>
      <c r="J63" s="446"/>
      <c r="O63" s="23" t="str">
        <f>'Obrazac kalkulacije'!$E$19</f>
        <v>PDV:</v>
      </c>
      <c r="P63" s="207">
        <f>'Obrazac kalkulacije'!$F$19</f>
        <v>0.25</v>
      </c>
      <c r="Q63" s="24">
        <f>Q62*P63</f>
        <v>150.3725</v>
      </c>
    </row>
    <row r="64" spans="1:17" ht="25.15" customHeight="1" thickTop="1" thickBot="1">
      <c r="E64" s="779" t="str">
        <f>'Obrazac kalkulacije'!$E$20</f>
        <v>Sveukupno (kn):</v>
      </c>
      <c r="F64" s="779"/>
      <c r="G64" s="24">
        <f>ROUND(SUM(G62:G63),2)</f>
        <v>38.54</v>
      </c>
      <c r="H64" s="447"/>
      <c r="I64" s="447"/>
      <c r="J64" s="447"/>
      <c r="O64" s="779" t="str">
        <f>'Obrazac kalkulacije'!$E$20</f>
        <v>Sveukupno (kn):</v>
      </c>
      <c r="P64" s="779"/>
      <c r="Q64" s="24">
        <f>ROUND(SUM(Q62:Q63),2)</f>
        <v>751.86</v>
      </c>
    </row>
    <row r="65" spans="1:17" ht="15" customHeight="1" thickTop="1"/>
    <row r="66" spans="1:17" ht="15" customHeight="1"/>
    <row r="67" spans="1:17" ht="15" customHeight="1"/>
    <row r="68" spans="1:17" ht="15" customHeight="1">
      <c r="C68" s="3" t="str">
        <f>'Obrazac kalkulacije'!$C$24</f>
        <v>IZVODITELJ:</v>
      </c>
      <c r="F68" s="780" t="str">
        <f>'Obrazac kalkulacije'!$F$24</f>
        <v>NARUČITELJ:</v>
      </c>
      <c r="G68" s="780"/>
      <c r="M68" s="3" t="str">
        <f>'Obrazac kalkulacije'!$C$24</f>
        <v>IZVODITELJ:</v>
      </c>
      <c r="P68" s="780" t="str">
        <f>'Obrazac kalkulacije'!$F$24</f>
        <v>NARUČITELJ:</v>
      </c>
      <c r="Q68" s="780"/>
    </row>
    <row r="69" spans="1:17" ht="25.15" customHeight="1">
      <c r="C69" s="3" t="str">
        <f>'Obrazac kalkulacije'!$C$25</f>
        <v>__________________</v>
      </c>
      <c r="F69" s="780" t="str">
        <f>'Obrazac kalkulacije'!$F$25</f>
        <v>___________________</v>
      </c>
      <c r="G69" s="780"/>
      <c r="M69" s="3" t="str">
        <f>'Obrazac kalkulacije'!$C$25</f>
        <v>__________________</v>
      </c>
      <c r="P69" s="780" t="str">
        <f>'Obrazac kalkulacije'!$F$25</f>
        <v>___________________</v>
      </c>
      <c r="Q69" s="780"/>
    </row>
    <row r="70" spans="1:17" ht="15" customHeight="1">
      <c r="F70" s="780"/>
      <c r="G70" s="780"/>
      <c r="P70" s="780"/>
      <c r="Q70" s="780"/>
    </row>
    <row r="71" spans="1:17" ht="15" customHeight="1">
      <c r="A71" s="115"/>
      <c r="B71" s="116"/>
      <c r="C71" s="796"/>
      <c r="D71" s="796"/>
      <c r="E71" s="796"/>
      <c r="F71" s="796"/>
      <c r="G71" s="796"/>
      <c r="K71" s="115"/>
      <c r="L71" s="116" t="s">
        <v>17</v>
      </c>
      <c r="M71" s="796" t="s">
        <v>18</v>
      </c>
      <c r="N71" s="796"/>
      <c r="O71" s="796"/>
      <c r="P71" s="796"/>
      <c r="Q71" s="796"/>
    </row>
    <row r="72" spans="1:17" ht="15" customHeight="1">
      <c r="A72" s="31"/>
      <c r="B72" s="32"/>
      <c r="C72" s="794"/>
      <c r="D72" s="794"/>
      <c r="E72" s="794"/>
      <c r="F72" s="794"/>
      <c r="G72" s="794"/>
      <c r="K72" s="31"/>
      <c r="L72" s="32" t="s">
        <v>22</v>
      </c>
      <c r="M72" s="794" t="s">
        <v>23</v>
      </c>
      <c r="N72" s="794"/>
      <c r="O72" s="794"/>
      <c r="P72" s="794"/>
      <c r="Q72" s="794"/>
    </row>
    <row r="73" spans="1:17" ht="15" customHeight="1">
      <c r="A73" s="41"/>
      <c r="B73" s="42"/>
      <c r="C73" s="43"/>
      <c r="D73" s="43"/>
      <c r="E73" s="43"/>
      <c r="F73" s="209"/>
      <c r="G73" s="43"/>
      <c r="K73" s="41"/>
      <c r="L73" s="42" t="s">
        <v>24</v>
      </c>
      <c r="M73" s="43" t="s">
        <v>25</v>
      </c>
      <c r="N73" s="43"/>
      <c r="O73" s="43"/>
      <c r="P73" s="209"/>
      <c r="Q73" s="43"/>
    </row>
    <row r="74" spans="1:17" ht="174" customHeight="1">
      <c r="A74" s="33"/>
      <c r="B74" s="443"/>
      <c r="C74" s="792" t="s">
        <v>883</v>
      </c>
      <c r="D74" s="792"/>
      <c r="E74" s="792"/>
      <c r="F74" s="792"/>
      <c r="G74" s="792"/>
      <c r="K74" s="33"/>
      <c r="L74" s="34" t="s">
        <v>28</v>
      </c>
      <c r="M74" s="795" t="s">
        <v>151</v>
      </c>
      <c r="N74" s="795"/>
      <c r="O74" s="795"/>
      <c r="P74" s="795"/>
      <c r="Q74" s="795"/>
    </row>
    <row r="75" spans="1:17" ht="15" customHeight="1" thickBot="1"/>
    <row r="76" spans="1:17" ht="30" customHeight="1" thickTop="1" thickBot="1">
      <c r="A76" s="8"/>
      <c r="B76" s="797" t="str">
        <f>'Obrazac kalkulacije'!$B$6:$C$6</f>
        <v>Opis</v>
      </c>
      <c r="C76" s="797"/>
      <c r="D76" s="8" t="str">
        <f>'Obrazac kalkulacije'!$D$6</f>
        <v>Jed.
mjere</v>
      </c>
      <c r="E76" s="8" t="str">
        <f>'Obrazac kalkulacije'!$E$6</f>
        <v>Normativ</v>
      </c>
      <c r="F76" s="8" t="str">
        <f>'Obrazac kalkulacije'!$F$6</f>
        <v>Jed.
cijena</v>
      </c>
      <c r="G76" s="8" t="str">
        <f>'Obrazac kalkulacije'!$G$6</f>
        <v>Iznos</v>
      </c>
      <c r="K76" s="8"/>
      <c r="L76" s="797" t="e">
        <f>'Obrazac kalkulacije'!$B$6:$C$6</f>
        <v>#VALUE!</v>
      </c>
      <c r="M76" s="797"/>
      <c r="N76" s="8" t="str">
        <f>'Obrazac kalkulacije'!$D$6</f>
        <v>Jed.
mjere</v>
      </c>
      <c r="O76" s="8" t="str">
        <f>'Obrazac kalkulacije'!$E$6</f>
        <v>Normativ</v>
      </c>
      <c r="P76" s="8" t="str">
        <f>'Obrazac kalkulacije'!$F$6</f>
        <v>Jed.
cijena</v>
      </c>
      <c r="Q76" s="8" t="str">
        <f>'Obrazac kalkulacije'!$G$6</f>
        <v>Iznos</v>
      </c>
    </row>
    <row r="77" spans="1:17" ht="4.5" customHeight="1" thickTop="1">
      <c r="B77" s="35"/>
      <c r="C77" s="1"/>
      <c r="D77" s="9"/>
      <c r="E77" s="11"/>
      <c r="F77" s="205"/>
      <c r="G77" s="13"/>
      <c r="L77" s="35"/>
      <c r="M77" s="1"/>
      <c r="N77" s="9"/>
      <c r="O77" s="11"/>
      <c r="P77" s="205"/>
      <c r="Q77" s="13"/>
    </row>
    <row r="78" spans="1:17" ht="25.15" customHeight="1">
      <c r="A78" s="656"/>
      <c r="B78" s="784" t="str">
        <f>'Obrazac kalkulacije'!$B$8</f>
        <v>Radna snaga:</v>
      </c>
      <c r="C78" s="784"/>
      <c r="D78" s="656"/>
      <c r="E78" s="656"/>
      <c r="F78" s="206"/>
      <c r="G78" s="16">
        <f>SUM(G79:G81)</f>
        <v>37.558199999999992</v>
      </c>
      <c r="K78" s="656"/>
      <c r="L78" s="784" t="str">
        <f>'Obrazac kalkulacije'!$B$8</f>
        <v>Radna snaga:</v>
      </c>
      <c r="M78" s="784"/>
      <c r="N78" s="656"/>
      <c r="O78" s="656"/>
      <c r="P78" s="206"/>
      <c r="Q78" s="16">
        <f>SUM(Q81:Q81)</f>
        <v>225.42870253000001</v>
      </c>
    </row>
    <row r="79" spans="1:17" ht="25.15" customHeight="1">
      <c r="A79" s="613"/>
      <c r="B79" s="809" t="s">
        <v>874</v>
      </c>
      <c r="C79" s="809"/>
      <c r="D79" s="614" t="s">
        <v>15</v>
      </c>
      <c r="E79" s="610">
        <v>0.108</v>
      </c>
      <c r="F79" s="611">
        <f>SUMIF('Cjenik RS'!$C$11:$C$26,kalkulacija!B79,'Cjenik RS'!$D$11:$D$26)</f>
        <v>103.46</v>
      </c>
      <c r="G79" s="612">
        <f>+F79*E79</f>
        <v>11.173679999999999</v>
      </c>
      <c r="I79" s="3">
        <v>3.1E-2</v>
      </c>
      <c r="K79" s="656"/>
      <c r="L79" s="653"/>
      <c r="M79" s="653"/>
      <c r="N79" s="84"/>
      <c r="O79" s="84"/>
      <c r="P79" s="206"/>
      <c r="Q79" s="75"/>
    </row>
    <row r="80" spans="1:17" ht="25.15" customHeight="1">
      <c r="A80" s="613"/>
      <c r="B80" s="809" t="s">
        <v>875</v>
      </c>
      <c r="C80" s="809"/>
      <c r="D80" s="614" t="s">
        <v>15</v>
      </c>
      <c r="E80" s="610">
        <v>0.23599999999999999</v>
      </c>
      <c r="F80" s="611">
        <f>SUMIF('Cjenik RS'!$C$11:$C$26,kalkulacija!B80,'Cjenik RS'!$D$11:$D$26)</f>
        <v>107.62</v>
      </c>
      <c r="G80" s="612">
        <f>+F80*E80</f>
        <v>25.398319999999998</v>
      </c>
      <c r="I80" s="3">
        <v>4.2000000000000003E-2</v>
      </c>
      <c r="K80" s="656"/>
      <c r="L80" s="653"/>
      <c r="M80" s="653"/>
      <c r="N80" s="84"/>
      <c r="O80" s="84"/>
      <c r="P80" s="206"/>
      <c r="Q80" s="75"/>
    </row>
    <row r="81" spans="1:17" ht="25.15" customHeight="1">
      <c r="A81" s="608"/>
      <c r="B81" s="809" t="s">
        <v>822</v>
      </c>
      <c r="C81" s="809"/>
      <c r="D81" s="609" t="s">
        <v>15</v>
      </c>
      <c r="E81" s="610">
        <v>0.02</v>
      </c>
      <c r="F81" s="611">
        <f>SUMIF('Cjenik RS'!$C$11:$C$26,kalkulacija!B81,'Cjenik RS'!$D$11:$D$26)</f>
        <v>49.31</v>
      </c>
      <c r="G81" s="612">
        <f>+F81*E81</f>
        <v>0.98620000000000008</v>
      </c>
      <c r="I81" s="3">
        <v>3.5000000000000003E-2</v>
      </c>
      <c r="K81" s="26"/>
      <c r="L81" s="791" t="s">
        <v>130</v>
      </c>
      <c r="M81" s="791"/>
      <c r="N81" s="27" t="s">
        <v>15</v>
      </c>
      <c r="O81" s="28">
        <v>4.571663</v>
      </c>
      <c r="P81" s="203">
        <f>SUMIF('Cjenik RS'!$C$11:$C$26,$B81,'Cjenik RS'!$D$11:$D$88)</f>
        <v>49.31</v>
      </c>
      <c r="Q81" s="29">
        <f>+P81*O81</f>
        <v>225.42870253000001</v>
      </c>
    </row>
    <row r="82" spans="1:17" ht="25.15" customHeight="1">
      <c r="A82" s="656"/>
      <c r="B82" s="784" t="str">
        <f>'Obrazac kalkulacije'!$B$11</f>
        <v>Vozila, strojevi i oprema:</v>
      </c>
      <c r="C82" s="784"/>
      <c r="D82" s="656"/>
      <c r="E82" s="656"/>
      <c r="F82" s="203"/>
      <c r="G82" s="16">
        <f>SUM(G83:G85)</f>
        <v>1.0489200000000001</v>
      </c>
      <c r="I82" s="3">
        <f>SUM(I79:I81)</f>
        <v>0.10800000000000001</v>
      </c>
      <c r="K82" s="656"/>
      <c r="L82" s="784" t="str">
        <f>'Obrazac kalkulacije'!$B$11</f>
        <v>Vozila, strojevi i oprema:</v>
      </c>
      <c r="M82" s="784"/>
      <c r="N82" s="656"/>
      <c r="O82" s="656"/>
      <c r="P82" s="203"/>
      <c r="Q82" s="16">
        <f>SUM(Q83:Q85)</f>
        <v>344.37690809999998</v>
      </c>
    </row>
    <row r="83" spans="1:17" ht="25.15" customHeight="1">
      <c r="A83" s="44"/>
      <c r="B83" s="773" t="s">
        <v>477</v>
      </c>
      <c r="C83" s="773"/>
      <c r="D83" s="657" t="s">
        <v>15</v>
      </c>
      <c r="E83" s="46">
        <v>4.0000000000000001E-3</v>
      </c>
      <c r="F83" s="200">
        <f>SUMIF('Cjenik VSO (pomoćna) (2)'!$B$9:$B$26,kalkulacija!B83,'Cjenik VSO (pomoćna) (2)'!$C$9:$C$26)</f>
        <v>262.23</v>
      </c>
      <c r="G83" s="48">
        <f>E83*F83</f>
        <v>1.0489200000000001</v>
      </c>
      <c r="K83" s="44"/>
      <c r="L83" s="773" t="s">
        <v>138</v>
      </c>
      <c r="M83" s="773"/>
      <c r="N83" s="657" t="s">
        <v>15</v>
      </c>
      <c r="O83" s="46">
        <v>2.1183299999999998</v>
      </c>
      <c r="P83" s="200">
        <f>SUMIF('Cjenik VSO'!$B$9:$B$85,$B83,'Cjenik VSO'!$C$9:$C$85)</f>
        <v>162.57</v>
      </c>
      <c r="Q83" s="48">
        <f>O83*P83</f>
        <v>344.37690809999998</v>
      </c>
    </row>
    <row r="84" spans="1:17" ht="25.15" customHeight="1">
      <c r="A84" s="49"/>
      <c r="B84" s="773"/>
      <c r="C84" s="773"/>
      <c r="D84" s="660" t="s">
        <v>15</v>
      </c>
      <c r="E84" s="51"/>
      <c r="F84" s="200">
        <f>SUMIF('Cjenik VSO (pomoćna) (2)'!$B$9:$B$26,kalkulacija!B84,'Cjenik VSO (pomoćna) (2)'!$C$9:$C$26)</f>
        <v>0</v>
      </c>
      <c r="G84" s="53">
        <f>E84*F84</f>
        <v>0</v>
      </c>
      <c r="K84" s="49"/>
      <c r="L84" s="774" t="s">
        <v>139</v>
      </c>
      <c r="M84" s="774"/>
      <c r="N84" s="660" t="s">
        <v>15</v>
      </c>
      <c r="O84" s="51">
        <v>0.15</v>
      </c>
      <c r="P84" s="201">
        <f>SUMIF('Cjenik VSO'!$B$9:$B$85,$B84,'Cjenik VSO'!$C$9:$C$85)</f>
        <v>0</v>
      </c>
      <c r="Q84" s="53">
        <f>O84*P84</f>
        <v>0</v>
      </c>
    </row>
    <row r="85" spans="1:17" ht="25.15" customHeight="1">
      <c r="A85" s="54"/>
      <c r="B85" s="773"/>
      <c r="C85" s="773"/>
      <c r="D85" s="659" t="s">
        <v>15</v>
      </c>
      <c r="E85" s="56"/>
      <c r="F85" s="200">
        <f>SUMIF('Cjenik VSO (pomoćna) (2)'!$B$9:$B$26,kalkulacija!B85,'Cjenik VSO (pomoćna) (2)'!$C$9:$C$26)</f>
        <v>0</v>
      </c>
      <c r="G85" s="58">
        <f>E85*F85</f>
        <v>0</v>
      </c>
      <c r="K85" s="54"/>
      <c r="L85" s="787" t="s">
        <v>140</v>
      </c>
      <c r="M85" s="787"/>
      <c r="N85" s="659" t="s">
        <v>15</v>
      </c>
      <c r="O85" s="56">
        <v>0.2</v>
      </c>
      <c r="P85" s="202">
        <f>SUMIF('Cjenik VSO'!$B$9:$B$85,$B85,'Cjenik VSO'!$C$9:$C$85)</f>
        <v>0</v>
      </c>
      <c r="Q85" s="58">
        <f>O85*P85</f>
        <v>0</v>
      </c>
    </row>
    <row r="86" spans="1:17" ht="25.15" customHeight="1">
      <c r="A86" s="656"/>
      <c r="B86" s="784" t="str">
        <f>'Obrazac kalkulacije'!$B$15</f>
        <v>Materijali:</v>
      </c>
      <c r="C86" s="784"/>
      <c r="D86" s="656"/>
      <c r="E86" s="656"/>
      <c r="F86" s="203"/>
      <c r="G86" s="16">
        <f>SUM(G87:G95)</f>
        <v>6.3806719999999997</v>
      </c>
      <c r="K86" s="656"/>
      <c r="L86" s="784" t="str">
        <f>'Obrazac kalkulacije'!$B$15</f>
        <v>Materijali:</v>
      </c>
      <c r="M86" s="784"/>
      <c r="N86" s="656"/>
      <c r="O86" s="656"/>
      <c r="P86" s="203"/>
      <c r="Q86" s="16">
        <f>SUM(Q87:Q95)</f>
        <v>31.684799999999996</v>
      </c>
    </row>
    <row r="87" spans="1:17" ht="25.15" customHeight="1">
      <c r="A87" s="44"/>
      <c r="B87" s="662" t="s">
        <v>876</v>
      </c>
      <c r="C87" s="662"/>
      <c r="D87" s="678" t="str">
        <f>INDEX('Cjenik M'!$C$11:$C$500, MATCH(1,INDEX(('Cjenik M'!$B$11:$B$500=kalkulacija!B87)*('Cjenik M'!$D$11:$D$500=kalkulacija!F87),,),0))</f>
        <v>kg</v>
      </c>
      <c r="E87" s="46">
        <v>0.2</v>
      </c>
      <c r="F87" s="200">
        <f>SUMIF('Cjenik M'!$B$11:$B$350,kalkulacija!B87,'Cjenik M'!$D$11:$D$350)</f>
        <v>8.98</v>
      </c>
      <c r="G87" s="48">
        <f t="shared" ref="G87:G92" si="2">E87*F87</f>
        <v>1.7960000000000003</v>
      </c>
      <c r="K87" s="44"/>
      <c r="L87" s="773" t="str">
        <f>'Cjenik M'!$B$16</f>
        <v xml:space="preserve">Cement 25 kg </v>
      </c>
      <c r="M87" s="773"/>
      <c r="N87" s="657" t="str">
        <f>'Cjenik M'!$C$16</f>
        <v>vreća</v>
      </c>
      <c r="O87" s="46">
        <v>0.5</v>
      </c>
      <c r="P87" s="200">
        <f>'Cjenik M'!$D$16</f>
        <v>18.36</v>
      </c>
      <c r="Q87" s="48">
        <f>O87*P87</f>
        <v>9.18</v>
      </c>
    </row>
    <row r="88" spans="1:17" ht="25.15" customHeight="1">
      <c r="A88" s="49"/>
      <c r="B88" s="662" t="s">
        <v>877</v>
      </c>
      <c r="C88" s="662"/>
      <c r="D88" s="678" t="str">
        <f>INDEX('Cjenik M'!$C$11:$C$500, MATCH(1,INDEX(('Cjenik M'!$B$11:$B$500=kalkulacija!B88)*('Cjenik M'!$D$11:$D$500=kalkulacija!F88),,),0))</f>
        <v>m3</v>
      </c>
      <c r="E88" s="51">
        <v>0.03</v>
      </c>
      <c r="F88" s="200">
        <f>SUMIF('Cjenik M'!$B$11:$B$350,kalkulacija!B88,'Cjenik M'!$D$11:$D$350)</f>
        <v>8.8000000000000007</v>
      </c>
      <c r="G88" s="53">
        <f t="shared" si="2"/>
        <v>0.26400000000000001</v>
      </c>
      <c r="K88" s="49"/>
      <c r="L88" s="774" t="str">
        <f>'Cjenik M'!$B$14</f>
        <v>Zaštitna folija PVC 6*4 m</v>
      </c>
      <c r="M88" s="774"/>
      <c r="N88" s="660" t="str">
        <f>'Cjenik M'!$C$14</f>
        <v>kom.</v>
      </c>
      <c r="O88" s="51">
        <v>0.5</v>
      </c>
      <c r="P88" s="201">
        <f>'Cjenik M'!$D$14</f>
        <v>4.8</v>
      </c>
      <c r="Q88" s="53">
        <f>O88*P88</f>
        <v>2.4</v>
      </c>
    </row>
    <row r="89" spans="1:17" ht="25.15" customHeight="1">
      <c r="A89" s="76"/>
      <c r="B89" s="662" t="s">
        <v>1001</v>
      </c>
      <c r="C89" s="662"/>
      <c r="D89" s="678" t="str">
        <f>INDEX('Cjenik M'!$C$11:$C$500, MATCH(1,INDEX(('Cjenik M'!$B$11:$B$500=kalkulacija!B89)*('Cjenik M'!$D$11:$D$500=kalkulacija!F89),,),0))</f>
        <v>kg</v>
      </c>
      <c r="E89" s="77">
        <v>2.0000000000000001E-4</v>
      </c>
      <c r="F89" s="200">
        <f>SUMIF('Cjenik M'!$B$11:$B$350,kalkulacija!B89,'Cjenik M'!$D$11:$D$350)</f>
        <v>3.36</v>
      </c>
      <c r="G89" s="48">
        <f t="shared" si="2"/>
        <v>6.7199999999999996E-4</v>
      </c>
      <c r="K89" s="76"/>
      <c r="L89" s="654"/>
      <c r="M89" s="654"/>
      <c r="N89" s="71"/>
      <c r="O89" s="77"/>
      <c r="P89" s="213"/>
      <c r="Q89" s="73"/>
    </row>
    <row r="90" spans="1:17" ht="25.15" customHeight="1">
      <c r="A90" s="44"/>
      <c r="B90" s="662" t="s">
        <v>999</v>
      </c>
      <c r="C90" s="662"/>
      <c r="D90" s="678" t="str">
        <f>INDEX('Cjenik M'!$C$11:$C$500, MATCH(1,INDEX(('Cjenik M'!$B$11:$B$500=kalkulacija!B90)*('Cjenik M'!$D$11:$D$500=kalkulacija!F90),,),0))</f>
        <v>kom.</v>
      </c>
      <c r="E90" s="46">
        <v>0.84</v>
      </c>
      <c r="F90" s="200">
        <f>SUMIF('Cjenik M'!$B$11:$B$350,kalkulacija!B90,'Cjenik M'!$D$11:$D$350)</f>
        <v>4</v>
      </c>
      <c r="G90" s="53">
        <f t="shared" si="2"/>
        <v>3.36</v>
      </c>
      <c r="K90" s="44"/>
      <c r="L90" s="773" t="str">
        <f>'Cjenik M'!$B$16</f>
        <v xml:space="preserve">Cement 25 kg </v>
      </c>
      <c r="M90" s="773"/>
      <c r="N90" s="657" t="str">
        <f>'Cjenik M'!$C$16</f>
        <v>vreća</v>
      </c>
      <c r="O90" s="46">
        <v>0.5</v>
      </c>
      <c r="P90" s="200">
        <f>'Cjenik M'!$D$16</f>
        <v>18.36</v>
      </c>
      <c r="Q90" s="48">
        <f>O90*P90</f>
        <v>9.18</v>
      </c>
    </row>
    <row r="91" spans="1:17" ht="25.15" customHeight="1">
      <c r="A91" s="49"/>
      <c r="B91" s="773" t="s">
        <v>664</v>
      </c>
      <c r="C91" s="773"/>
      <c r="D91" s="678" t="str">
        <f>INDEX('Cjenik M'!$C$11:$C$500, MATCH(1,INDEX(('Cjenik M'!$B$11:$B$500=kalkulacija!B91)*('Cjenik M'!$D$11:$D$500=kalkulacija!F91),,),0))</f>
        <v>kom.</v>
      </c>
      <c r="E91" s="51">
        <v>0.2</v>
      </c>
      <c r="F91" s="200">
        <f>SUMIF('Cjenik M'!$B$11:$B$350,kalkulacija!B91,'Cjenik M'!$D$11:$D$350)</f>
        <v>4.8</v>
      </c>
      <c r="G91" s="53">
        <f t="shared" si="2"/>
        <v>0.96</v>
      </c>
      <c r="K91" s="49"/>
      <c r="L91" s="774" t="str">
        <f>'Cjenik M'!$B$14</f>
        <v>Zaštitna folija PVC 6*4 m</v>
      </c>
      <c r="M91" s="774"/>
      <c r="N91" s="660" t="str">
        <f>'Cjenik M'!$C$14</f>
        <v>kom.</v>
      </c>
      <c r="O91" s="51">
        <v>0.5</v>
      </c>
      <c r="P91" s="201">
        <f>'Cjenik M'!$D$14</f>
        <v>4.8</v>
      </c>
      <c r="Q91" s="53">
        <f>O91*P91</f>
        <v>2.4</v>
      </c>
    </row>
    <row r="92" spans="1:17" ht="25.15" customHeight="1">
      <c r="A92" s="76"/>
      <c r="B92" s="773"/>
      <c r="C92" s="773"/>
      <c r="D92" s="71"/>
      <c r="E92" s="77"/>
      <c r="F92" s="200">
        <f>SUMIF('Cjenik M'!$B$11:$B$350,kalkulacija!B92,'Cjenik M'!$D$11:$D$350)</f>
        <v>0</v>
      </c>
      <c r="G92" s="53">
        <f t="shared" si="2"/>
        <v>0</v>
      </c>
      <c r="K92" s="76"/>
      <c r="L92" s="654"/>
      <c r="M92" s="654"/>
      <c r="N92" s="71"/>
      <c r="O92" s="77"/>
      <c r="P92" s="213"/>
      <c r="Q92" s="73"/>
    </row>
    <row r="93" spans="1:17" ht="25.15" customHeight="1">
      <c r="A93" s="76"/>
      <c r="B93" s="774"/>
      <c r="C93" s="774"/>
      <c r="D93" s="71"/>
      <c r="E93" s="77"/>
      <c r="F93" s="213"/>
      <c r="G93" s="73"/>
      <c r="K93" s="76"/>
      <c r="L93" s="654"/>
      <c r="M93" s="654"/>
      <c r="N93" s="71"/>
      <c r="O93" s="77"/>
      <c r="P93" s="213"/>
      <c r="Q93" s="73"/>
    </row>
    <row r="94" spans="1:17" ht="25.15" customHeight="1">
      <c r="A94" s="76"/>
      <c r="B94" s="774"/>
      <c r="C94" s="774"/>
      <c r="D94" s="71"/>
      <c r="E94" s="77"/>
      <c r="F94" s="213"/>
      <c r="G94" s="73"/>
      <c r="K94" s="76"/>
      <c r="L94" s="654"/>
      <c r="M94" s="654"/>
      <c r="N94" s="71"/>
      <c r="O94" s="77"/>
      <c r="P94" s="213"/>
      <c r="Q94" s="73"/>
    </row>
    <row r="95" spans="1:17" ht="25.15" customHeight="1" thickBot="1">
      <c r="A95" s="59"/>
      <c r="B95" s="777"/>
      <c r="C95" s="777"/>
      <c r="D95" s="658"/>
      <c r="E95" s="61"/>
      <c r="F95" s="208"/>
      <c r="G95" s="63">
        <f>E95*F95</f>
        <v>0</v>
      </c>
      <c r="K95" s="59"/>
      <c r="L95" s="777" t="str">
        <f>'Cjenik M'!$B$21</f>
        <v>PVC koljeno 40x90</v>
      </c>
      <c r="M95" s="777"/>
      <c r="N95" s="658" t="str">
        <f>'Cjenik M'!$C$21</f>
        <v>kom.</v>
      </c>
      <c r="O95" s="61">
        <v>3.33</v>
      </c>
      <c r="P95" s="208">
        <f>'Cjenik M'!$D$21</f>
        <v>2.56</v>
      </c>
      <c r="Q95" s="63">
        <f>O95*P95</f>
        <v>8.5248000000000008</v>
      </c>
    </row>
    <row r="96" spans="1:17" ht="25.15" customHeight="1" thickTop="1" thickBot="1">
      <c r="E96" s="778" t="str">
        <f>'Obrazac kalkulacije'!$E$18</f>
        <v>Ukupno (kn):</v>
      </c>
      <c r="F96" s="778"/>
      <c r="G96" s="64">
        <f>ROUND(SUM(G78+G82+G86),2)</f>
        <v>44.99</v>
      </c>
      <c r="H96" s="217"/>
      <c r="I96" s="602"/>
      <c r="J96" s="602"/>
      <c r="O96" s="778" t="str">
        <f>'Obrazac kalkulacije'!$E$18</f>
        <v>Ukupno (kn):</v>
      </c>
      <c r="P96" s="778"/>
      <c r="Q96" s="64">
        <f>ROUND(SUM(Q78+Q82+Q86),2)</f>
        <v>601.49</v>
      </c>
    </row>
    <row r="97" spans="1:17" ht="25.15" customHeight="1" thickTop="1" thickBot="1">
      <c r="E97" s="23" t="str">
        <f>'Obrazac kalkulacije'!$E$19</f>
        <v>PDV:</v>
      </c>
      <c r="F97" s="207">
        <f>'Obrazac kalkulacije'!$F$19</f>
        <v>0.25</v>
      </c>
      <c r="G97" s="24">
        <f>G96*F97</f>
        <v>11.2475</v>
      </c>
      <c r="H97" s="446"/>
      <c r="I97" s="446"/>
      <c r="J97" s="446"/>
      <c r="O97" s="23" t="str">
        <f>'Obrazac kalkulacije'!$E$19</f>
        <v>PDV:</v>
      </c>
      <c r="P97" s="207">
        <f>'Obrazac kalkulacije'!$F$19</f>
        <v>0.25</v>
      </c>
      <c r="Q97" s="24">
        <f>Q96*P97</f>
        <v>150.3725</v>
      </c>
    </row>
    <row r="98" spans="1:17" ht="25.15" customHeight="1" thickTop="1" thickBot="1">
      <c r="E98" s="779" t="str">
        <f>'Obrazac kalkulacije'!$E$20</f>
        <v>Sveukupno (kn):</v>
      </c>
      <c r="F98" s="779"/>
      <c r="G98" s="24">
        <f>ROUND(SUM(G96:G97),2)</f>
        <v>56.24</v>
      </c>
      <c r="H98" s="447"/>
      <c r="I98" s="447"/>
      <c r="J98" s="447"/>
      <c r="O98" s="779" t="str">
        <f>'Obrazac kalkulacije'!$E$20</f>
        <v>Sveukupno (kn):</v>
      </c>
      <c r="P98" s="779"/>
      <c r="Q98" s="24">
        <f>ROUND(SUM(Q96:Q97),2)</f>
        <v>751.86</v>
      </c>
    </row>
    <row r="99" spans="1:17" ht="15" customHeight="1" thickTop="1"/>
    <row r="100" spans="1:17" ht="15" customHeight="1"/>
    <row r="101" spans="1:17" ht="15" customHeight="1">
      <c r="C101" s="3" t="str">
        <f>'Obrazac kalkulacije'!$C$24</f>
        <v>IZVODITELJ:</v>
      </c>
      <c r="F101" s="780" t="str">
        <f>'Obrazac kalkulacije'!$F$24</f>
        <v>NARUČITELJ:</v>
      </c>
      <c r="G101" s="780"/>
      <c r="M101" s="3" t="str">
        <f>'Obrazac kalkulacije'!$C$24</f>
        <v>IZVODITELJ:</v>
      </c>
      <c r="P101" s="780" t="str">
        <f>'Obrazac kalkulacije'!$F$24</f>
        <v>NARUČITELJ:</v>
      </c>
      <c r="Q101" s="780"/>
    </row>
    <row r="102" spans="1:17" ht="25.15" customHeight="1">
      <c r="C102" s="3" t="str">
        <f>'Obrazac kalkulacije'!$C$25</f>
        <v>__________________</v>
      </c>
      <c r="F102" s="780" t="str">
        <f>'Obrazac kalkulacije'!$F$25</f>
        <v>___________________</v>
      </c>
      <c r="G102" s="780"/>
      <c r="M102" s="3" t="str">
        <f>'Obrazac kalkulacije'!$C$25</f>
        <v>__________________</v>
      </c>
      <c r="P102" s="780" t="str">
        <f>'Obrazac kalkulacije'!$F$25</f>
        <v>___________________</v>
      </c>
      <c r="Q102" s="780"/>
    </row>
    <row r="103" spans="1:17" ht="15" customHeight="1"/>
    <row r="104" spans="1:17" ht="15" customHeight="1">
      <c r="A104" s="115"/>
      <c r="B104" s="116"/>
      <c r="C104" s="796"/>
      <c r="D104" s="796"/>
      <c r="E104" s="796"/>
      <c r="F104" s="796"/>
      <c r="G104" s="796"/>
      <c r="K104" s="115"/>
      <c r="L104" s="116" t="s">
        <v>17</v>
      </c>
      <c r="M104" s="796" t="s">
        <v>18</v>
      </c>
      <c r="N104" s="796"/>
      <c r="O104" s="796"/>
      <c r="P104" s="796"/>
      <c r="Q104" s="796"/>
    </row>
    <row r="105" spans="1:17" ht="15" customHeight="1">
      <c r="A105" s="31"/>
      <c r="B105" s="32"/>
      <c r="C105" s="794"/>
      <c r="D105" s="794"/>
      <c r="E105" s="794"/>
      <c r="F105" s="794"/>
      <c r="G105" s="794"/>
      <c r="K105" s="31"/>
      <c r="L105" s="32" t="s">
        <v>22</v>
      </c>
      <c r="M105" s="794" t="s">
        <v>23</v>
      </c>
      <c r="N105" s="794"/>
      <c r="O105" s="794"/>
      <c r="P105" s="794"/>
      <c r="Q105" s="794"/>
    </row>
    <row r="106" spans="1:17" ht="15" customHeight="1">
      <c r="A106" s="41"/>
      <c r="B106" s="42"/>
      <c r="C106" s="43"/>
      <c r="D106" s="43"/>
      <c r="E106" s="43"/>
      <c r="F106" s="209"/>
      <c r="G106" s="43"/>
      <c r="K106" s="41"/>
      <c r="L106" s="42" t="s">
        <v>24</v>
      </c>
      <c r="M106" s="43" t="s">
        <v>25</v>
      </c>
      <c r="N106" s="43"/>
      <c r="O106" s="43"/>
      <c r="P106" s="209"/>
      <c r="Q106" s="43"/>
    </row>
    <row r="107" spans="1:17" ht="162.75" customHeight="1">
      <c r="A107" s="33"/>
      <c r="B107" s="443"/>
      <c r="C107" s="792" t="s">
        <v>1002</v>
      </c>
      <c r="D107" s="792"/>
      <c r="E107" s="792"/>
      <c r="F107" s="792"/>
      <c r="G107" s="792"/>
      <c r="K107" s="33"/>
      <c r="L107" s="34" t="s">
        <v>29</v>
      </c>
      <c r="M107" s="795" t="s">
        <v>153</v>
      </c>
      <c r="N107" s="795"/>
      <c r="O107" s="795"/>
      <c r="P107" s="795"/>
      <c r="Q107" s="795"/>
    </row>
    <row r="108" spans="1:17" ht="15" customHeight="1" thickBot="1"/>
    <row r="109" spans="1:17" ht="30" customHeight="1" thickTop="1" thickBot="1">
      <c r="A109" s="8"/>
      <c r="B109" s="797" t="str">
        <f>'Obrazac kalkulacije'!$B$6:$C$6</f>
        <v>Opis</v>
      </c>
      <c r="C109" s="797"/>
      <c r="D109" s="8" t="str">
        <f>'Obrazac kalkulacije'!$D$6</f>
        <v>Jed.
mjere</v>
      </c>
      <c r="E109" s="8" t="str">
        <f>'Obrazac kalkulacije'!$E$6</f>
        <v>Normativ</v>
      </c>
      <c r="F109" s="8" t="str">
        <f>'Obrazac kalkulacije'!$F$6</f>
        <v>Jed.
cijena</v>
      </c>
      <c r="G109" s="8" t="str">
        <f>'Obrazac kalkulacije'!$G$6</f>
        <v>Iznos</v>
      </c>
      <c r="H109" s="3">
        <v>40</v>
      </c>
      <c r="K109" s="8"/>
      <c r="L109" s="797" t="e">
        <f>'Obrazac kalkulacije'!$B$6:$C$6</f>
        <v>#VALUE!</v>
      </c>
      <c r="M109" s="797"/>
      <c r="N109" s="8" t="str">
        <f>'Obrazac kalkulacije'!$D$6</f>
        <v>Jed.
mjere</v>
      </c>
      <c r="O109" s="8" t="str">
        <f>'Obrazac kalkulacije'!$E$6</f>
        <v>Normativ</v>
      </c>
      <c r="P109" s="8" t="str">
        <f>'Obrazac kalkulacije'!$F$6</f>
        <v>Jed.
cijena</v>
      </c>
      <c r="Q109" s="8" t="str">
        <f>'Obrazac kalkulacije'!$G$6</f>
        <v>Iznos</v>
      </c>
    </row>
    <row r="110" spans="1:17" ht="4.5" customHeight="1" thickTop="1">
      <c r="B110" s="35"/>
      <c r="C110" s="1"/>
      <c r="D110" s="9"/>
      <c r="E110" s="11"/>
      <c r="F110" s="205"/>
      <c r="G110" s="13"/>
      <c r="L110" s="35"/>
      <c r="M110" s="1"/>
      <c r="N110" s="9"/>
      <c r="O110" s="11"/>
      <c r="P110" s="205"/>
      <c r="Q110" s="13"/>
    </row>
    <row r="111" spans="1:17" ht="25.15" customHeight="1">
      <c r="A111" s="656"/>
      <c r="B111" s="784" t="str">
        <f>'Obrazac kalkulacije'!$B$8</f>
        <v>Radna snaga:</v>
      </c>
      <c r="C111" s="784"/>
      <c r="D111" s="656"/>
      <c r="E111" s="656"/>
      <c r="F111" s="206"/>
      <c r="G111" s="16">
        <f>SUM(G112:G114)</f>
        <v>31.053619999999999</v>
      </c>
      <c r="K111" s="656"/>
      <c r="L111" s="784" t="str">
        <f>'Obrazac kalkulacije'!$B$8</f>
        <v>Radna snaga:</v>
      </c>
      <c r="M111" s="784"/>
      <c r="N111" s="656"/>
      <c r="O111" s="656"/>
      <c r="P111" s="206"/>
      <c r="Q111" s="16">
        <f>SUM(Q114:Q114)</f>
        <v>225.42870253000001</v>
      </c>
    </row>
    <row r="112" spans="1:17" ht="25.15" customHeight="1">
      <c r="A112" s="613"/>
      <c r="B112" s="809" t="s">
        <v>874</v>
      </c>
      <c r="C112" s="809"/>
      <c r="D112" s="614" t="s">
        <v>15</v>
      </c>
      <c r="E112" s="610">
        <v>0.19700000000000001</v>
      </c>
      <c r="F112" s="611">
        <f>SUMIF('Cjenik RS'!$C$11:$C$26,kalkulacija!B112,'Cjenik RS'!$D$11:$D$26)</f>
        <v>103.46</v>
      </c>
      <c r="G112" s="612">
        <f>+F112*E112</f>
        <v>20.381619999999998</v>
      </c>
      <c r="I112" s="3">
        <v>2.5999999999999999E-2</v>
      </c>
      <c r="K112" s="656"/>
      <c r="L112" s="653"/>
      <c r="M112" s="653"/>
      <c r="N112" s="84"/>
      <c r="O112" s="84"/>
      <c r="P112" s="206"/>
      <c r="Q112" s="75"/>
    </row>
    <row r="113" spans="1:17" ht="25.15" customHeight="1">
      <c r="A113" s="613"/>
      <c r="B113" s="809" t="s">
        <v>875</v>
      </c>
      <c r="C113" s="809"/>
      <c r="D113" s="614" t="s">
        <v>15</v>
      </c>
      <c r="E113" s="610">
        <v>0.09</v>
      </c>
      <c r="F113" s="611">
        <f>SUMIF('Cjenik RS'!$C$11:$C$26,kalkulacija!B113,'Cjenik RS'!$D$11:$D$26)</f>
        <v>107.62</v>
      </c>
      <c r="G113" s="612">
        <f>+F113*E113</f>
        <v>9.6858000000000004</v>
      </c>
      <c r="I113" s="3">
        <v>3.5000000000000003E-2</v>
      </c>
      <c r="K113" s="656"/>
      <c r="L113" s="653"/>
      <c r="M113" s="653"/>
      <c r="N113" s="84"/>
      <c r="O113" s="84"/>
      <c r="P113" s="206"/>
      <c r="Q113" s="75"/>
    </row>
    <row r="114" spans="1:17" ht="25.15" customHeight="1">
      <c r="A114" s="608"/>
      <c r="B114" s="809" t="s">
        <v>822</v>
      </c>
      <c r="C114" s="809"/>
      <c r="D114" s="609" t="s">
        <v>15</v>
      </c>
      <c r="E114" s="610">
        <v>0.02</v>
      </c>
      <c r="F114" s="611">
        <f>SUMIF('Cjenik RS'!$C$11:$C$26,kalkulacija!B114,'Cjenik RS'!$D$11:$D$26)</f>
        <v>49.31</v>
      </c>
      <c r="G114" s="612">
        <f>+F114*E114</f>
        <v>0.98620000000000008</v>
      </c>
      <c r="I114" s="3">
        <v>2.9000000000000001E-2</v>
      </c>
      <c r="K114" s="26"/>
      <c r="L114" s="791" t="s">
        <v>130</v>
      </c>
      <c r="M114" s="791"/>
      <c r="N114" s="27" t="s">
        <v>15</v>
      </c>
      <c r="O114" s="28">
        <v>4.571663</v>
      </c>
      <c r="P114" s="203">
        <f>SUMIF('Cjenik RS'!$C$11:$C$26,$B114,'Cjenik RS'!$D$11:$D$88)</f>
        <v>49.31</v>
      </c>
      <c r="Q114" s="29">
        <f>+P114*O114</f>
        <v>225.42870253000001</v>
      </c>
    </row>
    <row r="115" spans="1:17" ht="25.15" customHeight="1">
      <c r="A115" s="656"/>
      <c r="B115" s="784" t="str">
        <f>'Obrazac kalkulacije'!$B$11</f>
        <v>Vozila, strojevi i oprema:</v>
      </c>
      <c r="C115" s="784"/>
      <c r="D115" s="656"/>
      <c r="E115" s="656"/>
      <c r="F115" s="203"/>
      <c r="G115" s="16">
        <f>SUM(G116:G118)</f>
        <v>1.0489200000000001</v>
      </c>
      <c r="I115" s="3">
        <f>SUM(I112:I114)</f>
        <v>0.09</v>
      </c>
      <c r="K115" s="656"/>
      <c r="L115" s="784" t="str">
        <f>'Obrazac kalkulacije'!$B$11</f>
        <v>Vozila, strojevi i oprema:</v>
      </c>
      <c r="M115" s="784"/>
      <c r="N115" s="656"/>
      <c r="O115" s="656"/>
      <c r="P115" s="203"/>
      <c r="Q115" s="16">
        <f>SUM(Q116:Q118)</f>
        <v>344.37690809999998</v>
      </c>
    </row>
    <row r="116" spans="1:17" ht="25.15" customHeight="1">
      <c r="A116" s="44"/>
      <c r="B116" s="773" t="s">
        <v>477</v>
      </c>
      <c r="C116" s="773"/>
      <c r="D116" s="657" t="s">
        <v>15</v>
      </c>
      <c r="E116" s="46">
        <v>4.0000000000000001E-3</v>
      </c>
      <c r="F116" s="200">
        <f>SUMIF('Cjenik VSO (pomoćna) (2)'!$B$9:$B$26,kalkulacija!B116,'Cjenik VSO (pomoćna) (2)'!$C$9:$C$26)</f>
        <v>262.23</v>
      </c>
      <c r="G116" s="48">
        <f>E116*F116</f>
        <v>1.0489200000000001</v>
      </c>
      <c r="K116" s="44"/>
      <c r="L116" s="773" t="s">
        <v>138</v>
      </c>
      <c r="M116" s="773"/>
      <c r="N116" s="657" t="s">
        <v>15</v>
      </c>
      <c r="O116" s="46">
        <v>2.1183299999999998</v>
      </c>
      <c r="P116" s="200">
        <f>SUMIF('Cjenik VSO'!$B$9:$B$85,$B116,'Cjenik VSO'!$C$9:$C$85)</f>
        <v>162.57</v>
      </c>
      <c r="Q116" s="48">
        <f>O116*P116</f>
        <v>344.37690809999998</v>
      </c>
    </row>
    <row r="117" spans="1:17" ht="25.15" customHeight="1">
      <c r="A117" s="49"/>
      <c r="B117" s="773"/>
      <c r="C117" s="773"/>
      <c r="D117" s="660" t="s">
        <v>15</v>
      </c>
      <c r="E117" s="51"/>
      <c r="F117" s="200">
        <f>SUMIF('Cjenik VSO (pomoćna) (2)'!$B$9:$B$26,kalkulacija!B117,'Cjenik VSO (pomoćna) (2)'!$C$9:$C$26)</f>
        <v>0</v>
      </c>
      <c r="G117" s="53">
        <f>E117*F117</f>
        <v>0</v>
      </c>
      <c r="K117" s="49"/>
      <c r="L117" s="774" t="s">
        <v>139</v>
      </c>
      <c r="M117" s="774"/>
      <c r="N117" s="660" t="s">
        <v>15</v>
      </c>
      <c r="O117" s="51">
        <v>0.15</v>
      </c>
      <c r="P117" s="201">
        <f>SUMIF('Cjenik VSO'!$B$9:$B$85,$B117,'Cjenik VSO'!$C$9:$C$85)</f>
        <v>0</v>
      </c>
      <c r="Q117" s="53">
        <f>O117*P117</f>
        <v>0</v>
      </c>
    </row>
    <row r="118" spans="1:17" ht="25.15" customHeight="1">
      <c r="A118" s="54"/>
      <c r="B118" s="773"/>
      <c r="C118" s="773"/>
      <c r="D118" s="659" t="s">
        <v>15</v>
      </c>
      <c r="E118" s="56"/>
      <c r="F118" s="200">
        <f>SUMIF('Cjenik VSO (pomoćna) (2)'!$B$9:$B$26,kalkulacija!B118,'Cjenik VSO (pomoćna) (2)'!$C$9:$C$26)</f>
        <v>0</v>
      </c>
      <c r="G118" s="58">
        <f>E118*F118</f>
        <v>0</v>
      </c>
      <c r="K118" s="54"/>
      <c r="L118" s="787" t="s">
        <v>140</v>
      </c>
      <c r="M118" s="787"/>
      <c r="N118" s="659" t="s">
        <v>15</v>
      </c>
      <c r="O118" s="56">
        <v>0.2</v>
      </c>
      <c r="P118" s="202">
        <f>SUMIF('Cjenik VSO'!$B$9:$B$85,$B118,'Cjenik VSO'!$C$9:$C$85)</f>
        <v>0</v>
      </c>
      <c r="Q118" s="58">
        <f>O118*P118</f>
        <v>0</v>
      </c>
    </row>
    <row r="119" spans="1:17" ht="25.15" customHeight="1">
      <c r="A119" s="656"/>
      <c r="B119" s="784" t="str">
        <f>'Obrazac kalkulacije'!$B$15</f>
        <v>Materijali:</v>
      </c>
      <c r="C119" s="784"/>
      <c r="D119" s="656"/>
      <c r="E119" s="656"/>
      <c r="F119" s="203"/>
      <c r="G119" s="16">
        <f>SUM(G120:G128)</f>
        <v>4.6267599999999991</v>
      </c>
      <c r="K119" s="656"/>
      <c r="L119" s="784" t="str">
        <f>'Obrazac kalkulacije'!$B$15</f>
        <v>Materijali:</v>
      </c>
      <c r="M119" s="784"/>
      <c r="N119" s="656"/>
      <c r="O119" s="656"/>
      <c r="P119" s="203"/>
      <c r="Q119" s="16">
        <f>SUM(Q120:Q128)</f>
        <v>31.684799999999996</v>
      </c>
    </row>
    <row r="120" spans="1:17" ht="25.15" customHeight="1">
      <c r="A120" s="44"/>
      <c r="B120" s="773" t="s">
        <v>662</v>
      </c>
      <c r="C120" s="773"/>
      <c r="D120" s="678" t="str">
        <f>INDEX('Cjenik M'!$C$11:$C$500, MATCH(1,INDEX(('Cjenik M'!$B$11:$B$500=kalkulacija!B120)*('Cjenik M'!$D$11:$D$500=kalkulacija!F120),,),0))</f>
        <v>kg</v>
      </c>
      <c r="E120" s="46">
        <v>0.2</v>
      </c>
      <c r="F120" s="200">
        <f>SUMIF('Cjenik M'!$B$11:$B$350,kalkulacija!B120,'Cjenik M'!$D$11:$D$350)</f>
        <v>5.13</v>
      </c>
      <c r="G120" s="48">
        <f t="shared" ref="G120:G127" si="3">E120*F120</f>
        <v>1.026</v>
      </c>
      <c r="K120" s="44"/>
      <c r="L120" s="773" t="str">
        <f>'Cjenik M'!$B$16</f>
        <v xml:space="preserve">Cement 25 kg </v>
      </c>
      <c r="M120" s="773"/>
      <c r="N120" s="657" t="str">
        <f>'Cjenik M'!$C$16</f>
        <v>vreća</v>
      </c>
      <c r="O120" s="46">
        <v>0.5</v>
      </c>
      <c r="P120" s="200">
        <f>'Cjenik M'!$D$16</f>
        <v>18.36</v>
      </c>
      <c r="Q120" s="48">
        <f>O120*P120</f>
        <v>9.18</v>
      </c>
    </row>
    <row r="121" spans="1:17" ht="25.15" customHeight="1">
      <c r="A121" s="49"/>
      <c r="B121" s="773" t="s">
        <v>876</v>
      </c>
      <c r="C121" s="773"/>
      <c r="D121" s="678" t="str">
        <f>INDEX('Cjenik M'!$C$11:$C$500, MATCH(1,INDEX(('Cjenik M'!$B$11:$B$500=kalkulacija!B121)*('Cjenik M'!$D$11:$D$500=kalkulacija!F121),,),0))</f>
        <v>kg</v>
      </c>
      <c r="E121" s="51">
        <v>0.03</v>
      </c>
      <c r="F121" s="200">
        <f>SUMIF('Cjenik M'!$B$11:$B$350,kalkulacija!B121,'Cjenik M'!$D$11:$D$350)</f>
        <v>8.98</v>
      </c>
      <c r="G121" s="53">
        <f t="shared" si="3"/>
        <v>0.26940000000000003</v>
      </c>
      <c r="K121" s="49"/>
      <c r="L121" s="774" t="str">
        <f>'Cjenik M'!$B$14</f>
        <v>Zaštitna folija PVC 6*4 m</v>
      </c>
      <c r="M121" s="774"/>
      <c r="N121" s="660" t="str">
        <f>'Cjenik M'!$C$14</f>
        <v>kom.</v>
      </c>
      <c r="O121" s="51">
        <v>0.5</v>
      </c>
      <c r="P121" s="201">
        <f>'Cjenik M'!$D$14</f>
        <v>4.8</v>
      </c>
      <c r="Q121" s="53">
        <f>O121*P121</f>
        <v>2.4</v>
      </c>
    </row>
    <row r="122" spans="1:17" ht="25.15" customHeight="1">
      <c r="A122" s="76"/>
      <c r="B122" s="773" t="s">
        <v>877</v>
      </c>
      <c r="C122" s="773"/>
      <c r="D122" s="678" t="str">
        <f>INDEX('Cjenik M'!$C$11:$C$500, MATCH(1,INDEX(('Cjenik M'!$B$11:$B$500=kalkulacija!B122)*('Cjenik M'!$D$11:$D$500=kalkulacija!F122),,),0))</f>
        <v>m3</v>
      </c>
      <c r="E122" s="77">
        <v>2.0000000000000001E-4</v>
      </c>
      <c r="F122" s="200">
        <f>SUMIF('Cjenik M'!$B$11:$B$350,kalkulacija!B122,'Cjenik M'!$D$11:$D$350)</f>
        <v>8.8000000000000007</v>
      </c>
      <c r="G122" s="53">
        <f t="shared" si="3"/>
        <v>1.7600000000000003E-3</v>
      </c>
      <c r="K122" s="76"/>
      <c r="L122" s="654"/>
      <c r="M122" s="654"/>
      <c r="N122" s="71"/>
      <c r="O122" s="77"/>
      <c r="P122" s="213"/>
      <c r="Q122" s="73"/>
    </row>
    <row r="123" spans="1:17" ht="25.15" customHeight="1">
      <c r="A123" s="44"/>
      <c r="B123" s="773" t="s">
        <v>1001</v>
      </c>
      <c r="C123" s="773"/>
      <c r="D123" s="678" t="str">
        <f>INDEX('Cjenik M'!$C$11:$C$500, MATCH(1,INDEX(('Cjenik M'!$B$11:$B$500=kalkulacija!B123)*('Cjenik M'!$D$11:$D$500=kalkulacija!F123),,),0))</f>
        <v>kg</v>
      </c>
      <c r="E123" s="46">
        <v>0.61</v>
      </c>
      <c r="F123" s="200">
        <f>SUMIF('Cjenik M'!$B$11:$B$350,kalkulacija!B123,'Cjenik M'!$D$11:$D$350)</f>
        <v>3.36</v>
      </c>
      <c r="G123" s="53">
        <f t="shared" si="3"/>
        <v>2.0495999999999999</v>
      </c>
      <c r="K123" s="44"/>
      <c r="L123" s="773" t="str">
        <f>'Cjenik M'!$B$16</f>
        <v xml:space="preserve">Cement 25 kg </v>
      </c>
      <c r="M123" s="773"/>
      <c r="N123" s="657" t="str">
        <f>'Cjenik M'!$C$16</f>
        <v>vreća</v>
      </c>
      <c r="O123" s="46">
        <v>0.5</v>
      </c>
      <c r="P123" s="200">
        <f>'Cjenik M'!$D$16</f>
        <v>18.36</v>
      </c>
      <c r="Q123" s="48">
        <f>O123*P123</f>
        <v>9.18</v>
      </c>
    </row>
    <row r="124" spans="1:17" ht="25.15" customHeight="1">
      <c r="A124" s="49"/>
      <c r="B124" s="773" t="s">
        <v>999</v>
      </c>
      <c r="C124" s="773"/>
      <c r="D124" s="678" t="str">
        <f>INDEX('Cjenik M'!$C$11:$C$500, MATCH(1,INDEX(('Cjenik M'!$B$11:$B$500=kalkulacija!B124)*('Cjenik M'!$D$11:$D$500=kalkulacija!F124),,),0))</f>
        <v>kom.</v>
      </c>
      <c r="E124" s="51">
        <v>0.2</v>
      </c>
      <c r="F124" s="200">
        <f>SUMIF('Cjenik M'!$B$11:$B$350,kalkulacija!B124,'Cjenik M'!$D$11:$D$350)</f>
        <v>4</v>
      </c>
      <c r="G124" s="53">
        <f t="shared" si="3"/>
        <v>0.8</v>
      </c>
      <c r="K124" s="49"/>
      <c r="L124" s="774" t="str">
        <f>'Cjenik M'!$B$14</f>
        <v>Zaštitna folija PVC 6*4 m</v>
      </c>
      <c r="M124" s="774"/>
      <c r="N124" s="660" t="str">
        <f>'Cjenik M'!$C$14</f>
        <v>kom.</v>
      </c>
      <c r="O124" s="51">
        <v>0.5</v>
      </c>
      <c r="P124" s="201">
        <f>'Cjenik M'!$D$14</f>
        <v>4.8</v>
      </c>
      <c r="Q124" s="53">
        <f>O124*P124</f>
        <v>2.4</v>
      </c>
    </row>
    <row r="125" spans="1:17" ht="25.15" customHeight="1">
      <c r="A125" s="76"/>
      <c r="B125" s="773" t="s">
        <v>664</v>
      </c>
      <c r="C125" s="773"/>
      <c r="D125" s="678" t="str">
        <f>INDEX('Cjenik M'!$C$11:$C$500, MATCH(1,INDEX(('Cjenik M'!$B$11:$B$500=kalkulacija!B125)*('Cjenik M'!$D$11:$D$500=kalkulacija!F125),,),0))</f>
        <v>kom.</v>
      </c>
      <c r="E125" s="77">
        <v>0.1</v>
      </c>
      <c r="F125" s="200">
        <f>SUMIF('Cjenik M'!$B$11:$B$350,kalkulacija!B125,'Cjenik M'!$D$11:$D$350)</f>
        <v>4.8</v>
      </c>
      <c r="G125" s="53">
        <f t="shared" si="3"/>
        <v>0.48</v>
      </c>
      <c r="K125" s="76"/>
      <c r="L125" s="654"/>
      <c r="M125" s="654"/>
      <c r="N125" s="71"/>
      <c r="O125" s="77"/>
      <c r="P125" s="213"/>
      <c r="Q125" s="73"/>
    </row>
    <row r="126" spans="1:17" ht="25.15" customHeight="1">
      <c r="A126" s="76"/>
      <c r="B126" s="773"/>
      <c r="C126" s="773"/>
      <c r="D126" s="657"/>
      <c r="E126" s="46"/>
      <c r="F126" s="200">
        <f>SUMIF('Cjenik M'!$B$11:$B$350,kalkulacija!B126,'Cjenik M'!$D$11:$D$350)</f>
        <v>0</v>
      </c>
      <c r="G126" s="48">
        <f t="shared" si="3"/>
        <v>0</v>
      </c>
      <c r="K126" s="76"/>
      <c r="L126" s="654"/>
      <c r="M126" s="654"/>
      <c r="N126" s="71"/>
      <c r="O126" s="77"/>
      <c r="P126" s="213"/>
      <c r="Q126" s="73"/>
    </row>
    <row r="127" spans="1:17" ht="25.15" customHeight="1">
      <c r="A127" s="76"/>
      <c r="B127" s="773"/>
      <c r="C127" s="773"/>
      <c r="D127" s="660"/>
      <c r="E127" s="51"/>
      <c r="F127" s="200">
        <f>SUMIF('Cjenik M'!$B$11:$B$350,kalkulacija!B127,'Cjenik M'!$D$11:$D$350)</f>
        <v>0</v>
      </c>
      <c r="G127" s="53">
        <f t="shared" si="3"/>
        <v>0</v>
      </c>
      <c r="K127" s="76"/>
      <c r="L127" s="654"/>
      <c r="M127" s="654"/>
      <c r="N127" s="71"/>
      <c r="O127" s="77"/>
      <c r="P127" s="213"/>
      <c r="Q127" s="73"/>
    </row>
    <row r="128" spans="1:17" ht="25.15" customHeight="1" thickBot="1">
      <c r="A128" s="59"/>
      <c r="B128" s="773"/>
      <c r="C128" s="773"/>
      <c r="D128" s="71"/>
      <c r="E128" s="77"/>
      <c r="F128" s="200">
        <f>SUMIF('Cjenik M'!$B$11:$B$350,kalkulacija!B128,'Cjenik M'!$D$11:$D$350)</f>
        <v>0</v>
      </c>
      <c r="G128" s="73"/>
      <c r="K128" s="59"/>
      <c r="L128" s="777" t="str">
        <f>'Cjenik M'!$B$21</f>
        <v>PVC koljeno 40x90</v>
      </c>
      <c r="M128" s="777"/>
      <c r="N128" s="658" t="str">
        <f>'Cjenik M'!$C$21</f>
        <v>kom.</v>
      </c>
      <c r="O128" s="61">
        <v>3.33</v>
      </c>
      <c r="P128" s="208">
        <f>'Cjenik M'!$D$21</f>
        <v>2.56</v>
      </c>
      <c r="Q128" s="63">
        <f>O128*P128</f>
        <v>8.5248000000000008</v>
      </c>
    </row>
    <row r="129" spans="1:17" ht="25.15" customHeight="1" thickTop="1" thickBot="1">
      <c r="E129" s="778" t="str">
        <f>'Obrazac kalkulacije'!$E$18</f>
        <v>Ukupno (kn):</v>
      </c>
      <c r="F129" s="778"/>
      <c r="G129" s="64">
        <f>ROUND(SUM(G111+G115+G119),2)</f>
        <v>36.729999999999997</v>
      </c>
      <c r="H129" s="217"/>
      <c r="I129" s="602"/>
      <c r="J129" s="602"/>
      <c r="O129" s="778" t="str">
        <f>'Obrazac kalkulacije'!$E$18</f>
        <v>Ukupno (kn):</v>
      </c>
      <c r="P129" s="778"/>
      <c r="Q129" s="64">
        <f>ROUND(SUM(Q111+Q115+Q119),2)</f>
        <v>601.49</v>
      </c>
    </row>
    <row r="130" spans="1:17" ht="25.15" customHeight="1" thickTop="1" thickBot="1">
      <c r="E130" s="23" t="str">
        <f>'Obrazac kalkulacije'!$E$19</f>
        <v>PDV:</v>
      </c>
      <c r="F130" s="207">
        <f>'Obrazac kalkulacije'!$F$19</f>
        <v>0.25</v>
      </c>
      <c r="G130" s="24">
        <f>G129*F130</f>
        <v>9.1824999999999992</v>
      </c>
      <c r="H130" s="446"/>
      <c r="I130" s="446"/>
      <c r="J130" s="446"/>
      <c r="O130" s="23" t="str">
        <f>'Obrazac kalkulacije'!$E$19</f>
        <v>PDV:</v>
      </c>
      <c r="P130" s="207">
        <f>'Obrazac kalkulacije'!$F$19</f>
        <v>0.25</v>
      </c>
      <c r="Q130" s="24">
        <f>Q129*P130</f>
        <v>150.3725</v>
      </c>
    </row>
    <row r="131" spans="1:17" ht="25.15" customHeight="1" thickTop="1" thickBot="1">
      <c r="E131" s="779" t="str">
        <f>'Obrazac kalkulacije'!$E$20</f>
        <v>Sveukupno (kn):</v>
      </c>
      <c r="F131" s="779"/>
      <c r="G131" s="24">
        <f>ROUND(SUM(G129:G130),2)</f>
        <v>45.91</v>
      </c>
      <c r="H131" s="447"/>
      <c r="I131" s="447"/>
      <c r="J131" s="447"/>
      <c r="O131" s="779" t="str">
        <f>'Obrazac kalkulacije'!$E$20</f>
        <v>Sveukupno (kn):</v>
      </c>
      <c r="P131" s="779"/>
      <c r="Q131" s="24">
        <f>ROUND(SUM(Q129:Q130),2)</f>
        <v>751.86</v>
      </c>
    </row>
    <row r="132" spans="1:17" ht="15" customHeight="1" thickTop="1"/>
    <row r="133" spans="1:17" ht="15" customHeight="1"/>
    <row r="134" spans="1:17" ht="15" customHeight="1">
      <c r="C134" s="3" t="str">
        <f>'Obrazac kalkulacije'!$C$24</f>
        <v>IZVODITELJ:</v>
      </c>
      <c r="F134" s="780" t="str">
        <f>'Obrazac kalkulacije'!$F$24</f>
        <v>NARUČITELJ:</v>
      </c>
      <c r="G134" s="780"/>
      <c r="M134" s="3" t="str">
        <f>'Obrazac kalkulacije'!$C$24</f>
        <v>IZVODITELJ:</v>
      </c>
      <c r="P134" s="780" t="str">
        <f>'Obrazac kalkulacije'!$F$24</f>
        <v>NARUČITELJ:</v>
      </c>
      <c r="Q134" s="780"/>
    </row>
    <row r="135" spans="1:17" ht="25.15" customHeight="1">
      <c r="C135" s="3" t="str">
        <f>'Obrazac kalkulacije'!$C$25</f>
        <v>__________________</v>
      </c>
      <c r="F135" s="780" t="str">
        <f>'Obrazac kalkulacije'!$F$25</f>
        <v>___________________</v>
      </c>
      <c r="G135" s="780"/>
      <c r="M135" s="3" t="str">
        <f>'Obrazac kalkulacije'!$C$25</f>
        <v>__________________</v>
      </c>
      <c r="P135" s="780" t="str">
        <f>'Obrazac kalkulacije'!$F$25</f>
        <v>___________________</v>
      </c>
      <c r="Q135" s="780"/>
    </row>
    <row r="136" spans="1:17" ht="15" customHeight="1">
      <c r="F136" s="780"/>
      <c r="G136" s="780"/>
      <c r="P136" s="780"/>
      <c r="Q136" s="780"/>
    </row>
    <row r="137" spans="1:17" ht="15" customHeight="1"/>
    <row r="138" spans="1:17" ht="15" customHeight="1">
      <c r="A138" s="115"/>
      <c r="B138" s="116"/>
      <c r="C138" s="796"/>
      <c r="D138" s="796"/>
      <c r="E138" s="796"/>
      <c r="F138" s="796"/>
      <c r="G138" s="796"/>
      <c r="K138" s="115"/>
      <c r="L138" s="116" t="s">
        <v>17</v>
      </c>
      <c r="M138" s="796" t="s">
        <v>18</v>
      </c>
      <c r="N138" s="796"/>
      <c r="O138" s="796"/>
      <c r="P138" s="796"/>
      <c r="Q138" s="796"/>
    </row>
    <row r="139" spans="1:17" ht="15" customHeight="1">
      <c r="A139" s="31"/>
      <c r="B139" s="32"/>
      <c r="C139" s="794"/>
      <c r="D139" s="794"/>
      <c r="E139" s="794"/>
      <c r="F139" s="794"/>
      <c r="G139" s="794"/>
      <c r="K139" s="31"/>
      <c r="L139" s="32" t="s">
        <v>22</v>
      </c>
      <c r="M139" s="794" t="s">
        <v>23</v>
      </c>
      <c r="N139" s="794"/>
      <c r="O139" s="794"/>
      <c r="P139" s="794"/>
      <c r="Q139" s="794"/>
    </row>
    <row r="140" spans="1:17" ht="15" customHeight="1">
      <c r="A140" s="41"/>
      <c r="B140" s="42"/>
      <c r="C140" s="43"/>
      <c r="D140" s="43"/>
      <c r="E140" s="43"/>
      <c r="F140" s="209"/>
      <c r="G140" s="43"/>
      <c r="K140" s="41"/>
      <c r="L140" s="42" t="s">
        <v>24</v>
      </c>
      <c r="M140" s="43" t="s">
        <v>25</v>
      </c>
      <c r="N140" s="43"/>
      <c r="O140" s="43"/>
      <c r="P140" s="209"/>
      <c r="Q140" s="43"/>
    </row>
    <row r="141" spans="1:17" ht="162" customHeight="1">
      <c r="A141" s="33"/>
      <c r="B141" s="443"/>
      <c r="C141" s="792" t="s">
        <v>998</v>
      </c>
      <c r="D141" s="792"/>
      <c r="E141" s="792"/>
      <c r="F141" s="792"/>
      <c r="G141" s="792"/>
      <c r="K141" s="33"/>
      <c r="L141" s="34" t="s">
        <v>30</v>
      </c>
      <c r="M141" s="795" t="s">
        <v>155</v>
      </c>
      <c r="N141" s="795"/>
      <c r="O141" s="795"/>
      <c r="P141" s="795"/>
      <c r="Q141" s="795"/>
    </row>
    <row r="142" spans="1:17" ht="15" customHeight="1" thickBot="1"/>
    <row r="143" spans="1:17" ht="30" customHeight="1" thickTop="1" thickBot="1">
      <c r="A143" s="8"/>
      <c r="B143" s="797" t="str">
        <f>'Obrazac kalkulacije'!$B$6:$C$6</f>
        <v>Opis</v>
      </c>
      <c r="C143" s="797"/>
      <c r="D143" s="8" t="str">
        <f>'Obrazac kalkulacije'!$D$6</f>
        <v>Jed.
mjere</v>
      </c>
      <c r="E143" s="8" t="str">
        <f>'Obrazac kalkulacije'!$E$6</f>
        <v>Normativ</v>
      </c>
      <c r="F143" s="8" t="str">
        <f>'Obrazac kalkulacije'!$F$6</f>
        <v>Jed.
cijena</v>
      </c>
      <c r="G143" s="8" t="str">
        <f>'Obrazac kalkulacije'!$G$6</f>
        <v>Iznos</v>
      </c>
      <c r="H143" s="460">
        <v>85</v>
      </c>
      <c r="I143" s="460"/>
      <c r="J143" s="460"/>
      <c r="K143" s="8"/>
      <c r="L143" s="797" t="e">
        <f>'Obrazac kalkulacije'!$B$6:$C$6</f>
        <v>#VALUE!</v>
      </c>
      <c r="M143" s="797"/>
      <c r="N143" s="8" t="str">
        <f>'Obrazac kalkulacije'!$D$6</f>
        <v>Jed.
mjere</v>
      </c>
      <c r="O143" s="8" t="str">
        <f>'Obrazac kalkulacije'!$E$6</f>
        <v>Normativ</v>
      </c>
      <c r="P143" s="8" t="str">
        <f>'Obrazac kalkulacije'!$F$6</f>
        <v>Jed.
cijena</v>
      </c>
      <c r="Q143" s="8" t="str">
        <f>'Obrazac kalkulacije'!$G$6</f>
        <v>Iznos</v>
      </c>
    </row>
    <row r="144" spans="1:17" ht="4.5" customHeight="1" thickTop="1">
      <c r="B144" s="35"/>
      <c r="C144" s="1"/>
      <c r="D144" s="9"/>
      <c r="E144" s="11"/>
      <c r="F144" s="205"/>
      <c r="G144" s="13"/>
      <c r="L144" s="35"/>
      <c r="M144" s="1"/>
      <c r="N144" s="9"/>
      <c r="O144" s="11"/>
      <c r="P144" s="205"/>
      <c r="Q144" s="13"/>
    </row>
    <row r="145" spans="1:17" ht="25.15" customHeight="1">
      <c r="A145" s="656"/>
      <c r="B145" s="784" t="str">
        <f>'Obrazac kalkulacije'!$B$8</f>
        <v>Radna snaga:</v>
      </c>
      <c r="C145" s="784"/>
      <c r="D145" s="656"/>
      <c r="E145" s="656"/>
      <c r="F145" s="206"/>
      <c r="G145" s="16">
        <f>SUM(G146:G148)</f>
        <v>3.5727000000000002</v>
      </c>
      <c r="K145" s="656"/>
      <c r="L145" s="784" t="str">
        <f>'Obrazac kalkulacije'!$B$8</f>
        <v>Radna snaga:</v>
      </c>
      <c r="M145" s="784"/>
      <c r="N145" s="656"/>
      <c r="O145" s="656"/>
      <c r="P145" s="206"/>
      <c r="Q145" s="16">
        <f>SUM(Q148:Q148)</f>
        <v>0</v>
      </c>
    </row>
    <row r="146" spans="1:17" ht="25.15" customHeight="1">
      <c r="A146" s="692"/>
      <c r="B146" s="788" t="s">
        <v>874</v>
      </c>
      <c r="C146" s="788"/>
      <c r="D146" s="693" t="s">
        <v>15</v>
      </c>
      <c r="E146" s="694">
        <v>2.5000000000000001E-2</v>
      </c>
      <c r="F146" s="676">
        <f>SUMIF('Cjenik RS'!$C$11:$C$26,kalkulacija!B146,'Cjenik RS'!$D$11:$D$26)</f>
        <v>103.46</v>
      </c>
      <c r="G146" s="677">
        <f>+F146*E146</f>
        <v>2.5865</v>
      </c>
      <c r="I146" s="3">
        <v>2.5999999999999999E-2</v>
      </c>
      <c r="K146" s="656"/>
      <c r="L146" s="661"/>
      <c r="M146" s="661"/>
      <c r="N146" s="84"/>
      <c r="O146" s="84"/>
      <c r="P146" s="206"/>
      <c r="Q146" s="75"/>
    </row>
    <row r="147" spans="1:17" ht="25.15" customHeight="1">
      <c r="A147" s="686"/>
      <c r="B147" s="789" t="s">
        <v>822</v>
      </c>
      <c r="C147" s="789"/>
      <c r="D147" s="678" t="s">
        <v>15</v>
      </c>
      <c r="E147" s="695">
        <v>0.02</v>
      </c>
      <c r="F147" s="680">
        <f>SUMIF('Cjenik RS'!$C$11:$C$26,kalkulacija!B147,'Cjenik RS'!$D$11:$D$26)</f>
        <v>49.31</v>
      </c>
      <c r="G147" s="681">
        <f>+F147*E147</f>
        <v>0.98620000000000008</v>
      </c>
      <c r="I147" s="3">
        <v>3.5000000000000003E-2</v>
      </c>
      <c r="K147" s="656"/>
      <c r="L147" s="661"/>
      <c r="M147" s="661"/>
      <c r="N147" s="84"/>
      <c r="O147" s="84"/>
      <c r="P147" s="206"/>
      <c r="Q147" s="75"/>
    </row>
    <row r="148" spans="1:17" ht="25.15" customHeight="1">
      <c r="A148" s="696"/>
      <c r="B148" s="790"/>
      <c r="C148" s="790"/>
      <c r="D148" s="697"/>
      <c r="E148" s="698"/>
      <c r="F148" s="684"/>
      <c r="G148" s="685"/>
      <c r="I148" s="3">
        <v>2.9000000000000001E-2</v>
      </c>
      <c r="K148" s="26"/>
      <c r="L148" s="791" t="s">
        <v>130</v>
      </c>
      <c r="M148" s="791"/>
      <c r="N148" s="27" t="s">
        <v>15</v>
      </c>
      <c r="O148" s="28">
        <v>4.571663</v>
      </c>
      <c r="P148" s="203">
        <f>SUMIF('Cjenik RS'!$C$11:$C$26,$B148,'Cjenik RS'!$D$11:$D$88)</f>
        <v>0</v>
      </c>
      <c r="Q148" s="29">
        <f>+P148*O148</f>
        <v>0</v>
      </c>
    </row>
    <row r="149" spans="1:17" ht="25.15" customHeight="1">
      <c r="A149" s="656"/>
      <c r="B149" s="784" t="str">
        <f>'Obrazac kalkulacije'!$B$11</f>
        <v>Vozila, strojevi i oprema:</v>
      </c>
      <c r="C149" s="784"/>
      <c r="D149" s="656"/>
      <c r="E149" s="656"/>
      <c r="F149" s="203"/>
      <c r="G149" s="16">
        <f>SUM(G150:G152)</f>
        <v>1.0489200000000001</v>
      </c>
      <c r="I149" s="3">
        <f>SUM(I146:I148)</f>
        <v>0.09</v>
      </c>
      <c r="K149" s="656"/>
      <c r="L149" s="784" t="str">
        <f>'Obrazac kalkulacije'!$B$11</f>
        <v>Vozila, strojevi i oprema:</v>
      </c>
      <c r="M149" s="784"/>
      <c r="N149" s="656"/>
      <c r="O149" s="656"/>
      <c r="P149" s="203"/>
      <c r="Q149" s="16">
        <f>SUM(Q150:Q152)</f>
        <v>344.37690809999998</v>
      </c>
    </row>
    <row r="150" spans="1:17" ht="25.15" customHeight="1">
      <c r="A150" s="44"/>
      <c r="B150" s="781" t="s">
        <v>477</v>
      </c>
      <c r="C150" s="782"/>
      <c r="D150" s="693" t="s">
        <v>15</v>
      </c>
      <c r="E150" s="675">
        <v>4.0000000000000001E-3</v>
      </c>
      <c r="F150" s="676">
        <f>SUMIF('Cjenik VSO (pomoćna) (2)'!$B$9:$B$26,kalkulacija!B150,'Cjenik VSO (pomoćna) (2)'!$C$9:$C$26)</f>
        <v>262.23</v>
      </c>
      <c r="G150" s="677">
        <f>E150*F150</f>
        <v>1.0489200000000001</v>
      </c>
      <c r="K150" s="44"/>
      <c r="L150" s="773" t="s">
        <v>138</v>
      </c>
      <c r="M150" s="773"/>
      <c r="N150" s="666" t="s">
        <v>15</v>
      </c>
      <c r="O150" s="46">
        <v>2.1183299999999998</v>
      </c>
      <c r="P150" s="200">
        <f>SUMIF('Cjenik VSO'!$B$9:$B$85,$B150,'Cjenik VSO'!$C$9:$C$85)</f>
        <v>162.57</v>
      </c>
      <c r="Q150" s="48">
        <f>O150*P150</f>
        <v>344.37690809999998</v>
      </c>
    </row>
    <row r="151" spans="1:17" ht="25.15" customHeight="1">
      <c r="A151" s="49"/>
      <c r="B151" s="783"/>
      <c r="C151" s="772"/>
      <c r="D151" s="678" t="s">
        <v>15</v>
      </c>
      <c r="E151" s="679"/>
      <c r="F151" s="680">
        <f>SUMIF('Cjenik VSO (pomoćna) (2)'!$B$9:$B$26,kalkulacija!B151,'Cjenik VSO (pomoćna) (2)'!$C$9:$C$26)</f>
        <v>0</v>
      </c>
      <c r="G151" s="681">
        <f>E151*F151</f>
        <v>0</v>
      </c>
      <c r="K151" s="49"/>
      <c r="L151" s="774" t="s">
        <v>139</v>
      </c>
      <c r="M151" s="774"/>
      <c r="N151" s="665" t="s">
        <v>15</v>
      </c>
      <c r="O151" s="51">
        <v>0.15</v>
      </c>
      <c r="P151" s="201">
        <f>SUMIF('Cjenik VSO'!$B$9:$B$85,$B151,'Cjenik VSO'!$C$9:$C$85)</f>
        <v>0</v>
      </c>
      <c r="Q151" s="53">
        <f>O151*P151</f>
        <v>0</v>
      </c>
    </row>
    <row r="152" spans="1:17" ht="25.15" customHeight="1">
      <c r="A152" s="54"/>
      <c r="B152" s="785"/>
      <c r="C152" s="786"/>
      <c r="D152" s="682" t="s">
        <v>15</v>
      </c>
      <c r="E152" s="683"/>
      <c r="F152" s="684">
        <f>SUMIF('Cjenik VSO (pomoćna) (2)'!$B$9:$B$26,kalkulacija!B152,'Cjenik VSO (pomoćna) (2)'!$C$9:$C$26)</f>
        <v>0</v>
      </c>
      <c r="G152" s="685">
        <f>E152*F152</f>
        <v>0</v>
      </c>
      <c r="K152" s="54"/>
      <c r="L152" s="787" t="s">
        <v>140</v>
      </c>
      <c r="M152" s="787"/>
      <c r="N152" s="664" t="s">
        <v>15</v>
      </c>
      <c r="O152" s="56">
        <v>0.2</v>
      </c>
      <c r="P152" s="202">
        <f>SUMIF('Cjenik VSO'!$B$9:$B$85,$B152,'Cjenik VSO'!$C$9:$C$85)</f>
        <v>0</v>
      </c>
      <c r="Q152" s="58">
        <f>O152*P152</f>
        <v>0</v>
      </c>
    </row>
    <row r="153" spans="1:17" ht="25.15" customHeight="1">
      <c r="A153" s="656"/>
      <c r="B153" s="784" t="str">
        <f>'Obrazac kalkulacije'!$B$15</f>
        <v>Materijali:</v>
      </c>
      <c r="C153" s="784"/>
      <c r="D153" s="656"/>
      <c r="E153" s="656"/>
      <c r="F153" s="203"/>
      <c r="G153" s="16">
        <f>SUM(G154:G162)</f>
        <v>4.1213200000000008</v>
      </c>
      <c r="K153" s="656"/>
      <c r="L153" s="784" t="str">
        <f>'Obrazac kalkulacije'!$B$15</f>
        <v>Materijali:</v>
      </c>
      <c r="M153" s="784"/>
      <c r="N153" s="656"/>
      <c r="O153" s="656"/>
      <c r="P153" s="203"/>
      <c r="Q153" s="16">
        <f>SUM(Q154:Q162)</f>
        <v>31.684799999999996</v>
      </c>
    </row>
    <row r="154" spans="1:17" ht="25.15" customHeight="1">
      <c r="A154" s="44"/>
      <c r="B154" s="781" t="s">
        <v>1000</v>
      </c>
      <c r="C154" s="782"/>
      <c r="D154" s="678" t="str">
        <f>INDEX('Cjenik M'!$C$11:$C$500, MATCH(1,INDEX(('Cjenik M'!$B$11:$B$500=kalkulacija!B154)*('Cjenik M'!$D$11:$D$500=kalkulacija!F154),,),0))</f>
        <v>l</v>
      </c>
      <c r="E154" s="675">
        <v>1.4999999999999999E-2</v>
      </c>
      <c r="F154" s="676">
        <f>SUMIF('Cjenik M'!$B$11:$B$350,kalkulacija!B154,'Cjenik M'!$D$11:$D$350)</f>
        <v>8.24</v>
      </c>
      <c r="G154" s="677">
        <f>E154*F154</f>
        <v>0.1236</v>
      </c>
      <c r="K154" s="44"/>
      <c r="L154" s="773" t="str">
        <f>'Cjenik M'!$B$16</f>
        <v xml:space="preserve">Cement 25 kg </v>
      </c>
      <c r="M154" s="773"/>
      <c r="N154" s="666" t="str">
        <f>'Cjenik M'!$C$16</f>
        <v>vreća</v>
      </c>
      <c r="O154" s="46">
        <v>0.5</v>
      </c>
      <c r="P154" s="200">
        <f>'Cjenik M'!$D$16</f>
        <v>18.36</v>
      </c>
      <c r="Q154" s="48">
        <f>O154*P154</f>
        <v>9.18</v>
      </c>
    </row>
    <row r="155" spans="1:17" ht="25.15" customHeight="1">
      <c r="A155" s="49"/>
      <c r="B155" s="783" t="s">
        <v>876</v>
      </c>
      <c r="C155" s="772"/>
      <c r="D155" s="678" t="str">
        <f>INDEX('Cjenik M'!$C$11:$C$500, MATCH(1,INDEX(('Cjenik M'!$B$11:$B$500=kalkulacija!B155)*('Cjenik M'!$D$11:$D$500=kalkulacija!F155),,),0))</f>
        <v>kg</v>
      </c>
      <c r="E155" s="679">
        <v>0.03</v>
      </c>
      <c r="F155" s="680">
        <f>SUMIF('Cjenik M'!$B$11:$B$350,kalkulacija!B155,'Cjenik M'!$D$11:$D$350)</f>
        <v>8.98</v>
      </c>
      <c r="G155" s="681">
        <f>E155*F155</f>
        <v>0.26940000000000003</v>
      </c>
      <c r="K155" s="49"/>
      <c r="L155" s="774" t="str">
        <f>'Cjenik M'!$B$14</f>
        <v>Zaštitna folija PVC 6*4 m</v>
      </c>
      <c r="M155" s="774"/>
      <c r="N155" s="665" t="str">
        <f>'Cjenik M'!$C$14</f>
        <v>kom.</v>
      </c>
      <c r="O155" s="51">
        <v>0.5</v>
      </c>
      <c r="P155" s="201">
        <f>'Cjenik M'!$D$14</f>
        <v>4.8</v>
      </c>
      <c r="Q155" s="53">
        <f>O155*P155</f>
        <v>2.4</v>
      </c>
    </row>
    <row r="156" spans="1:17" ht="25.15" customHeight="1">
      <c r="A156" s="76"/>
      <c r="B156" s="783" t="s">
        <v>877</v>
      </c>
      <c r="C156" s="772"/>
      <c r="D156" s="678" t="str">
        <f>INDEX('Cjenik M'!$C$11:$C$500, MATCH(1,INDEX(('Cjenik M'!$B$11:$B$500=kalkulacija!B156)*('Cjenik M'!$D$11:$D$500=kalkulacija!F156),,),0))</f>
        <v>m3</v>
      </c>
      <c r="E156" s="679">
        <v>2.0000000000000001E-4</v>
      </c>
      <c r="F156" s="680">
        <f>SUMIF('Cjenik M'!$B$11:$B$350,kalkulacija!B156,'Cjenik M'!$D$11:$D$350)</f>
        <v>8.8000000000000007</v>
      </c>
      <c r="G156" s="681">
        <f>E156*F156</f>
        <v>1.7600000000000003E-3</v>
      </c>
      <c r="K156" s="76"/>
      <c r="L156" s="654"/>
      <c r="M156" s="654"/>
      <c r="N156" s="71"/>
      <c r="O156" s="77"/>
      <c r="P156" s="213"/>
      <c r="Q156" s="73"/>
    </row>
    <row r="157" spans="1:17" ht="25.15" customHeight="1">
      <c r="A157" s="44"/>
      <c r="B157" s="783" t="s">
        <v>999</v>
      </c>
      <c r="C157" s="772"/>
      <c r="D157" s="678" t="str">
        <f>INDEX('Cjenik M'!$C$11:$C$500, MATCH(1,INDEX(('Cjenik M'!$B$11:$B$500=kalkulacija!B157)*('Cjenik M'!$D$11:$D$500=kalkulacija!F157),,),0))</f>
        <v>kom.</v>
      </c>
      <c r="E157" s="679">
        <v>0.2</v>
      </c>
      <c r="F157" s="680">
        <f>SUMIF('Cjenik M'!$B$11:$B$350,kalkulacija!B157,'Cjenik M'!$D$11:$D$350)</f>
        <v>4</v>
      </c>
      <c r="G157" s="681">
        <f>E157*F157</f>
        <v>0.8</v>
      </c>
      <c r="K157" s="44"/>
      <c r="L157" s="773" t="str">
        <f>'Cjenik M'!$B$16</f>
        <v xml:space="preserve">Cement 25 kg </v>
      </c>
      <c r="M157" s="773"/>
      <c r="N157" s="666" t="str">
        <f>'Cjenik M'!$C$16</f>
        <v>vreća</v>
      </c>
      <c r="O157" s="46">
        <v>0.5</v>
      </c>
      <c r="P157" s="200">
        <f>'Cjenik M'!$D$16</f>
        <v>18.36</v>
      </c>
      <c r="Q157" s="48">
        <f>O157*P157</f>
        <v>9.18</v>
      </c>
    </row>
    <row r="158" spans="1:17" ht="25.15" customHeight="1">
      <c r="A158" s="49"/>
      <c r="B158" s="783" t="s">
        <v>1003</v>
      </c>
      <c r="C158" s="772"/>
      <c r="D158" s="678" t="str">
        <f>INDEX('Cjenik M'!$C$11:$C$500, MATCH(1,INDEX(('Cjenik M'!$B$11:$B$500=kalkulacija!B158)*('Cjenik M'!$D$11:$D$500=kalkulacija!F158),,),0))</f>
        <v>l</v>
      </c>
      <c r="E158" s="679">
        <v>3.9E-2</v>
      </c>
      <c r="F158" s="680">
        <f>SUMIF('Cjenik M'!$B$11:$B$350,kalkulacija!B158,'Cjenik M'!$D$11:$D$350)</f>
        <v>75.040000000000006</v>
      </c>
      <c r="G158" s="681">
        <f>E158*F158</f>
        <v>2.9265600000000003</v>
      </c>
      <c r="K158" s="49"/>
      <c r="L158" s="774" t="str">
        <f>'Cjenik M'!$B$14</f>
        <v>Zaštitna folija PVC 6*4 m</v>
      </c>
      <c r="M158" s="774"/>
      <c r="N158" s="665" t="str">
        <f>'Cjenik M'!$C$14</f>
        <v>kom.</v>
      </c>
      <c r="O158" s="51">
        <v>0.5</v>
      </c>
      <c r="P158" s="201">
        <f>'Cjenik M'!$D$14</f>
        <v>4.8</v>
      </c>
      <c r="Q158" s="53">
        <f>O158*P158</f>
        <v>2.4</v>
      </c>
    </row>
    <row r="159" spans="1:17" ht="25.15" customHeight="1">
      <c r="A159" s="76"/>
      <c r="B159" s="783"/>
      <c r="C159" s="772"/>
      <c r="D159" s="678"/>
      <c r="E159" s="679"/>
      <c r="F159" s="680"/>
      <c r="G159" s="681"/>
      <c r="K159" s="76"/>
      <c r="L159" s="654"/>
      <c r="M159" s="654"/>
      <c r="N159" s="71"/>
      <c r="O159" s="77"/>
      <c r="P159" s="213"/>
      <c r="Q159" s="73"/>
    </row>
    <row r="160" spans="1:17" ht="25.15" customHeight="1">
      <c r="A160" s="76"/>
      <c r="B160" s="783"/>
      <c r="C160" s="772"/>
      <c r="D160" s="678"/>
      <c r="E160" s="679"/>
      <c r="F160" s="680">
        <f>SUMIF('Cjenik M'!$B$11:$B$350,kalkulacija!B160,'Cjenik M'!$D$11:$D$350)</f>
        <v>0</v>
      </c>
      <c r="G160" s="681">
        <f>E160*F160</f>
        <v>0</v>
      </c>
      <c r="K160" s="76"/>
      <c r="L160" s="654"/>
      <c r="M160" s="654"/>
      <c r="N160" s="71"/>
      <c r="O160" s="77"/>
      <c r="P160" s="213"/>
      <c r="Q160" s="73"/>
    </row>
    <row r="161" spans="1:17" ht="25.15" customHeight="1">
      <c r="A161" s="76"/>
      <c r="B161" s="783"/>
      <c r="C161" s="772"/>
      <c r="D161" s="678"/>
      <c r="E161" s="679"/>
      <c r="F161" s="680">
        <f>SUMIF('Cjenik M'!$B$11:$B$350,kalkulacija!B161,'Cjenik M'!$D$11:$D$350)</f>
        <v>0</v>
      </c>
      <c r="G161" s="681">
        <f>E161*F161</f>
        <v>0</v>
      </c>
      <c r="K161" s="76"/>
      <c r="L161" s="654"/>
      <c r="M161" s="654"/>
      <c r="N161" s="71"/>
      <c r="O161" s="77"/>
      <c r="P161" s="213"/>
      <c r="Q161" s="73"/>
    </row>
    <row r="162" spans="1:17" ht="25.15" customHeight="1" thickBot="1">
      <c r="A162" s="59"/>
      <c r="B162" s="775"/>
      <c r="C162" s="776"/>
      <c r="D162" s="688"/>
      <c r="E162" s="689"/>
      <c r="F162" s="691">
        <f>SUMIF('Cjenik M'!$B$11:$B$350,kalkulacija!B162,'Cjenik M'!$D$11:$D$350)</f>
        <v>0</v>
      </c>
      <c r="G162" s="690"/>
      <c r="K162" s="59"/>
      <c r="L162" s="777" t="str">
        <f>'Cjenik M'!$B$21</f>
        <v>PVC koljeno 40x90</v>
      </c>
      <c r="M162" s="777"/>
      <c r="N162" s="667" t="str">
        <f>'Cjenik M'!$C$21</f>
        <v>kom.</v>
      </c>
      <c r="O162" s="61">
        <v>3.33</v>
      </c>
      <c r="P162" s="208">
        <f>'Cjenik M'!$D$21</f>
        <v>2.56</v>
      </c>
      <c r="Q162" s="63">
        <f>O162*P162</f>
        <v>8.5248000000000008</v>
      </c>
    </row>
    <row r="163" spans="1:17" ht="25.15" customHeight="1" thickTop="1" thickBot="1">
      <c r="E163" s="778" t="str">
        <f>'Obrazac kalkulacije'!$E$18</f>
        <v>Ukupno (kn):</v>
      </c>
      <c r="F163" s="778"/>
      <c r="G163" s="64">
        <f>ROUND(SUM(G145+G149+G153),2)</f>
        <v>8.74</v>
      </c>
      <c r="H163" s="217"/>
      <c r="I163" s="602"/>
      <c r="J163" s="602"/>
      <c r="O163" s="778" t="str">
        <f>'Obrazac kalkulacije'!$E$18</f>
        <v>Ukupno (kn):</v>
      </c>
      <c r="P163" s="778"/>
      <c r="Q163" s="64">
        <f>ROUND(SUM(Q145+Q149+Q153),2)</f>
        <v>376.06</v>
      </c>
    </row>
    <row r="164" spans="1:17" ht="25.15" customHeight="1" thickTop="1" thickBot="1">
      <c r="E164" s="23" t="str">
        <f>'Obrazac kalkulacije'!$E$19</f>
        <v>PDV:</v>
      </c>
      <c r="F164" s="207">
        <f>'Obrazac kalkulacije'!$F$19</f>
        <v>0.25</v>
      </c>
      <c r="G164" s="24">
        <f>G163*F164</f>
        <v>2.1850000000000001</v>
      </c>
      <c r="H164" s="446"/>
      <c r="I164" s="446"/>
      <c r="J164" s="446"/>
      <c r="O164" s="23" t="str">
        <f>'Obrazac kalkulacije'!$E$19</f>
        <v>PDV:</v>
      </c>
      <c r="P164" s="207">
        <f>'Obrazac kalkulacije'!$F$19</f>
        <v>0.25</v>
      </c>
      <c r="Q164" s="24">
        <f>Q163*P164</f>
        <v>94.015000000000001</v>
      </c>
    </row>
    <row r="165" spans="1:17" ht="25.15" customHeight="1" thickTop="1" thickBot="1">
      <c r="E165" s="779" t="str">
        <f>'Obrazac kalkulacije'!$E$20</f>
        <v>Sveukupno (kn):</v>
      </c>
      <c r="F165" s="779"/>
      <c r="G165" s="24">
        <f>ROUND(SUM(G163:G164),2)</f>
        <v>10.93</v>
      </c>
      <c r="H165" s="447"/>
      <c r="I165" s="447"/>
      <c r="J165" s="447"/>
      <c r="O165" s="779" t="str">
        <f>'Obrazac kalkulacije'!$E$20</f>
        <v>Sveukupno (kn):</v>
      </c>
      <c r="P165" s="779"/>
      <c r="Q165" s="24">
        <f>ROUND(SUM(Q163:Q164),2)</f>
        <v>470.08</v>
      </c>
    </row>
    <row r="166" spans="1:17" ht="15" customHeight="1" thickTop="1"/>
    <row r="167" spans="1:17" ht="15" customHeight="1"/>
    <row r="168" spans="1:17" ht="15" customHeight="1">
      <c r="C168" s="3" t="str">
        <f>'Obrazac kalkulacije'!$C$24</f>
        <v>IZVODITELJ:</v>
      </c>
      <c r="F168" s="780" t="str">
        <f>'Obrazac kalkulacije'!$F$24</f>
        <v>NARUČITELJ:</v>
      </c>
      <c r="G168" s="780"/>
      <c r="M168" s="3" t="str">
        <f>'Obrazac kalkulacije'!$C$24</f>
        <v>IZVODITELJ:</v>
      </c>
      <c r="P168" s="780" t="str">
        <f>'Obrazac kalkulacije'!$F$24</f>
        <v>NARUČITELJ:</v>
      </c>
      <c r="Q168" s="780"/>
    </row>
    <row r="169" spans="1:17" ht="25.15" customHeight="1">
      <c r="C169" s="3" t="str">
        <f>'Obrazac kalkulacije'!$C$25</f>
        <v>__________________</v>
      </c>
      <c r="F169" s="780" t="str">
        <f>'Obrazac kalkulacije'!$F$25</f>
        <v>___________________</v>
      </c>
      <c r="G169" s="780"/>
      <c r="M169" s="3" t="str">
        <f>'Obrazac kalkulacije'!$C$25</f>
        <v>__________________</v>
      </c>
      <c r="P169" s="780" t="str">
        <f>'Obrazac kalkulacije'!$F$25</f>
        <v>___________________</v>
      </c>
      <c r="Q169" s="780"/>
    </row>
    <row r="170" spans="1:17" ht="15" customHeight="1">
      <c r="F170" s="780"/>
      <c r="G170" s="780"/>
      <c r="P170" s="780"/>
      <c r="Q170" s="780"/>
    </row>
    <row r="171" spans="1:17" ht="15" customHeight="1"/>
    <row r="172" spans="1:17" ht="15" customHeight="1">
      <c r="A172" s="115"/>
      <c r="B172" s="116"/>
      <c r="C172" s="796"/>
      <c r="D172" s="796"/>
      <c r="E172" s="796"/>
      <c r="F172" s="796"/>
      <c r="G172" s="796"/>
      <c r="K172" s="115"/>
      <c r="L172" s="116" t="s">
        <v>17</v>
      </c>
      <c r="M172" s="796" t="s">
        <v>18</v>
      </c>
      <c r="N172" s="796"/>
      <c r="O172" s="796"/>
      <c r="P172" s="796"/>
      <c r="Q172" s="796"/>
    </row>
    <row r="173" spans="1:17" ht="15" customHeight="1">
      <c r="A173" s="31"/>
      <c r="B173" s="32"/>
      <c r="C173" s="794"/>
      <c r="D173" s="794"/>
      <c r="E173" s="794"/>
      <c r="F173" s="794"/>
      <c r="G173" s="794"/>
      <c r="K173" s="31"/>
      <c r="L173" s="32" t="s">
        <v>22</v>
      </c>
      <c r="M173" s="794" t="s">
        <v>23</v>
      </c>
      <c r="N173" s="794"/>
      <c r="O173" s="794"/>
      <c r="P173" s="794"/>
      <c r="Q173" s="794"/>
    </row>
    <row r="174" spans="1:17" ht="15" customHeight="1">
      <c r="A174" s="41"/>
      <c r="B174" s="42"/>
      <c r="C174" s="43"/>
      <c r="D174" s="43"/>
      <c r="E174" s="43"/>
      <c r="F174" s="209"/>
      <c r="G174" s="43"/>
      <c r="K174" s="41"/>
      <c r="L174" s="42" t="s">
        <v>24</v>
      </c>
      <c r="M174" s="43" t="s">
        <v>25</v>
      </c>
      <c r="N174" s="43"/>
      <c r="O174" s="43"/>
      <c r="P174" s="209"/>
      <c r="Q174" s="43"/>
    </row>
    <row r="175" spans="1:17" ht="78.75" customHeight="1">
      <c r="A175" s="33"/>
      <c r="B175" s="443"/>
      <c r="C175" s="792" t="s">
        <v>1011</v>
      </c>
      <c r="D175" s="792"/>
      <c r="E175" s="792"/>
      <c r="F175" s="792"/>
      <c r="G175" s="792"/>
      <c r="K175" s="33"/>
      <c r="L175" s="34" t="s">
        <v>31</v>
      </c>
      <c r="M175" s="795" t="s">
        <v>158</v>
      </c>
      <c r="N175" s="795"/>
      <c r="O175" s="795"/>
      <c r="P175" s="795"/>
      <c r="Q175" s="795"/>
    </row>
    <row r="176" spans="1:17" ht="15" customHeight="1" thickBot="1"/>
    <row r="177" spans="1:17" ht="30" customHeight="1" thickTop="1" thickBot="1">
      <c r="A177" s="8"/>
      <c r="B177" s="797" t="str">
        <f>'Obrazac kalkulacije'!$B$6:$C$6</f>
        <v>Opis</v>
      </c>
      <c r="C177" s="797"/>
      <c r="D177" s="8" t="str">
        <f>'Obrazac kalkulacije'!$D$6</f>
        <v>Jed.
mjere</v>
      </c>
      <c r="E177" s="8" t="str">
        <f>'Obrazac kalkulacije'!$E$6</f>
        <v>Normativ</v>
      </c>
      <c r="F177" s="8" t="str">
        <f>'Obrazac kalkulacije'!$F$6</f>
        <v>Jed.
cijena</v>
      </c>
      <c r="G177" s="8" t="str">
        <f>'Obrazac kalkulacije'!$G$6</f>
        <v>Iznos</v>
      </c>
      <c r="K177" s="8"/>
      <c r="L177" s="797" t="e">
        <f>'Obrazac kalkulacije'!$B$6:$C$6</f>
        <v>#VALUE!</v>
      </c>
      <c r="M177" s="797"/>
      <c r="N177" s="8" t="str">
        <f>'Obrazac kalkulacije'!$D$6</f>
        <v>Jed.
mjere</v>
      </c>
      <c r="O177" s="8" t="str">
        <f>'Obrazac kalkulacije'!$E$6</f>
        <v>Normativ</v>
      </c>
      <c r="P177" s="8" t="str">
        <f>'Obrazac kalkulacije'!$F$6</f>
        <v>Jed.
cijena</v>
      </c>
      <c r="Q177" s="8" t="str">
        <f>'Obrazac kalkulacije'!$G$6</f>
        <v>Iznos</v>
      </c>
    </row>
    <row r="178" spans="1:17" ht="4.5" customHeight="1" thickTop="1">
      <c r="B178" s="35"/>
      <c r="C178" s="1"/>
      <c r="D178" s="9"/>
      <c r="E178" s="11"/>
      <c r="F178" s="205"/>
      <c r="G178" s="13"/>
      <c r="L178" s="35"/>
      <c r="M178" s="1"/>
      <c r="N178" s="9"/>
      <c r="O178" s="11"/>
      <c r="P178" s="205"/>
      <c r="Q178" s="13"/>
    </row>
    <row r="179" spans="1:17" ht="25.15" customHeight="1">
      <c r="A179" s="656"/>
      <c r="B179" s="784" t="str">
        <f>'Obrazac kalkulacije'!$B$8</f>
        <v>Radna snaga:</v>
      </c>
      <c r="C179" s="784"/>
      <c r="D179" s="656"/>
      <c r="E179" s="656"/>
      <c r="F179" s="206"/>
      <c r="G179" s="16">
        <f>SUM(G180:G182)</f>
        <v>79.675798450000002</v>
      </c>
      <c r="K179" s="656"/>
      <c r="L179" s="784" t="str">
        <f>'Obrazac kalkulacije'!$B$8</f>
        <v>Radna snaga:</v>
      </c>
      <c r="M179" s="784"/>
      <c r="N179" s="656"/>
      <c r="O179" s="656"/>
      <c r="P179" s="206"/>
      <c r="Q179" s="16">
        <f>SUM(Q182:Q182)</f>
        <v>225.42870253000001</v>
      </c>
    </row>
    <row r="180" spans="1:17" ht="25.15" customHeight="1">
      <c r="A180" s="692"/>
      <c r="B180" s="788" t="s">
        <v>819</v>
      </c>
      <c r="C180" s="788"/>
      <c r="D180" s="693" t="s">
        <v>15</v>
      </c>
      <c r="E180" s="694">
        <v>0.33333299999999999</v>
      </c>
      <c r="F180" s="676">
        <f>SUMIF('Cjenik RS'!$C$11:$C$26,kalkulacija!B180,'Cjenik RS'!$D$11:$D$26)</f>
        <v>128.44999999999999</v>
      </c>
      <c r="G180" s="677">
        <f>+F180*E180</f>
        <v>42.816623849999992</v>
      </c>
      <c r="I180" s="3">
        <v>2.5999999999999999E-2</v>
      </c>
      <c r="K180" s="656"/>
      <c r="L180" s="661"/>
      <c r="M180" s="661"/>
      <c r="N180" s="84"/>
      <c r="O180" s="84"/>
      <c r="P180" s="206"/>
      <c r="Q180" s="75"/>
    </row>
    <row r="181" spans="1:17" ht="25.15" customHeight="1">
      <c r="A181" s="686"/>
      <c r="B181" s="789" t="s">
        <v>875</v>
      </c>
      <c r="C181" s="789"/>
      <c r="D181" s="678" t="s">
        <v>15</v>
      </c>
      <c r="E181" s="695">
        <v>0.33333000000000002</v>
      </c>
      <c r="F181" s="680">
        <f>SUMIF('Cjenik RS'!$C$11:$C$26,kalkulacija!B181,'Cjenik RS'!$D$11:$D$26)</f>
        <v>107.62</v>
      </c>
      <c r="G181" s="681">
        <f>+F181*E181</f>
        <v>35.872974600000006</v>
      </c>
      <c r="I181" s="3">
        <v>3.5000000000000003E-2</v>
      </c>
      <c r="K181" s="656"/>
      <c r="L181" s="661"/>
      <c r="M181" s="661"/>
      <c r="N181" s="84"/>
      <c r="O181" s="84"/>
      <c r="P181" s="206"/>
      <c r="Q181" s="75"/>
    </row>
    <row r="182" spans="1:17" ht="25.15" customHeight="1">
      <c r="A182" s="696"/>
      <c r="B182" s="790" t="s">
        <v>822</v>
      </c>
      <c r="C182" s="790"/>
      <c r="D182" s="697" t="s">
        <v>15</v>
      </c>
      <c r="E182" s="695">
        <v>0.02</v>
      </c>
      <c r="F182" s="680">
        <f>SUMIF('Cjenik RS'!$C$11:$C$26,kalkulacija!B182,'Cjenik RS'!$D$11:$D$26)</f>
        <v>49.31</v>
      </c>
      <c r="G182" s="681">
        <f>+F182*E182</f>
        <v>0.98620000000000008</v>
      </c>
      <c r="I182" s="3">
        <v>2.9000000000000001E-2</v>
      </c>
      <c r="K182" s="26"/>
      <c r="L182" s="791" t="s">
        <v>130</v>
      </c>
      <c r="M182" s="791"/>
      <c r="N182" s="27" t="s">
        <v>15</v>
      </c>
      <c r="O182" s="28">
        <v>4.571663</v>
      </c>
      <c r="P182" s="203">
        <f>SUMIF('Cjenik RS'!$C$11:$C$26,$B182,'Cjenik RS'!$D$11:$D$88)</f>
        <v>49.31</v>
      </c>
      <c r="Q182" s="29">
        <f>+P182*O182</f>
        <v>225.42870253000001</v>
      </c>
    </row>
    <row r="183" spans="1:17" ht="25.15" customHeight="1">
      <c r="A183" s="656"/>
      <c r="B183" s="784" t="str">
        <f>'Obrazac kalkulacije'!$B$11</f>
        <v>Vozila, strojevi i oprema:</v>
      </c>
      <c r="C183" s="784"/>
      <c r="D183" s="656"/>
      <c r="E183" s="656"/>
      <c r="F183" s="203"/>
      <c r="G183" s="16">
        <f>SUM(G184:G186)</f>
        <v>2.0978400000000001</v>
      </c>
      <c r="I183" s="3">
        <f>SUM(I180:I182)</f>
        <v>0.09</v>
      </c>
      <c r="K183" s="656"/>
      <c r="L183" s="784" t="str">
        <f>'Obrazac kalkulacije'!$B$11</f>
        <v>Vozila, strojevi i oprema:</v>
      </c>
      <c r="M183" s="784"/>
      <c r="N183" s="656"/>
      <c r="O183" s="656"/>
      <c r="P183" s="203"/>
      <c r="Q183" s="16">
        <f>SUM(Q184:Q186)</f>
        <v>344.37690809999998</v>
      </c>
    </row>
    <row r="184" spans="1:17" ht="25.15" customHeight="1">
      <c r="A184" s="44"/>
      <c r="B184" s="781" t="s">
        <v>477</v>
      </c>
      <c r="C184" s="782"/>
      <c r="D184" s="693" t="s">
        <v>15</v>
      </c>
      <c r="E184" s="675">
        <v>8.0000000000000002E-3</v>
      </c>
      <c r="F184" s="676">
        <f>SUMIF('Cjenik VSO (pomoćna) (2)'!$B$9:$B$26,kalkulacija!B184,'Cjenik VSO (pomoćna) (2)'!$C$9:$C$26)</f>
        <v>262.23</v>
      </c>
      <c r="G184" s="677">
        <f>E184*F184</f>
        <v>2.0978400000000001</v>
      </c>
      <c r="K184" s="44"/>
      <c r="L184" s="773" t="s">
        <v>138</v>
      </c>
      <c r="M184" s="773"/>
      <c r="N184" s="666" t="s">
        <v>15</v>
      </c>
      <c r="O184" s="46">
        <v>2.1183299999999998</v>
      </c>
      <c r="P184" s="200">
        <f>SUMIF('Cjenik VSO'!$B$9:$B$85,$B184,'Cjenik VSO'!$C$9:$C$85)</f>
        <v>162.57</v>
      </c>
      <c r="Q184" s="48">
        <f>O184*P184</f>
        <v>344.37690809999998</v>
      </c>
    </row>
    <row r="185" spans="1:17" ht="25.15" customHeight="1">
      <c r="A185" s="49"/>
      <c r="B185" s="783"/>
      <c r="C185" s="772"/>
      <c r="D185" s="678" t="s">
        <v>15</v>
      </c>
      <c r="E185" s="679"/>
      <c r="F185" s="680">
        <f>SUMIF('Cjenik VSO (pomoćna) (2)'!$B$9:$B$26,kalkulacija!B185,'Cjenik VSO (pomoćna) (2)'!$C$9:$C$26)</f>
        <v>0</v>
      </c>
      <c r="G185" s="681">
        <f>E185*F185</f>
        <v>0</v>
      </c>
      <c r="K185" s="49"/>
      <c r="L185" s="774" t="s">
        <v>139</v>
      </c>
      <c r="M185" s="774"/>
      <c r="N185" s="665" t="s">
        <v>15</v>
      </c>
      <c r="O185" s="51">
        <v>0.15</v>
      </c>
      <c r="P185" s="201">
        <f>SUMIF('Cjenik VSO'!$B$9:$B$85,$B185,'Cjenik VSO'!$C$9:$C$85)</f>
        <v>0</v>
      </c>
      <c r="Q185" s="53">
        <f>O185*P185</f>
        <v>0</v>
      </c>
    </row>
    <row r="186" spans="1:17" ht="25.15" customHeight="1">
      <c r="A186" s="54"/>
      <c r="B186" s="785"/>
      <c r="C186" s="786"/>
      <c r="D186" s="682" t="s">
        <v>15</v>
      </c>
      <c r="E186" s="683"/>
      <c r="F186" s="684">
        <f>SUMIF('Cjenik VSO (pomoćna) (2)'!$B$9:$B$26,kalkulacija!B186,'Cjenik VSO (pomoćna) (2)'!$C$9:$C$26)</f>
        <v>0</v>
      </c>
      <c r="G186" s="685">
        <f>E186*F186</f>
        <v>0</v>
      </c>
      <c r="K186" s="54"/>
      <c r="L186" s="787" t="s">
        <v>140</v>
      </c>
      <c r="M186" s="787"/>
      <c r="N186" s="664" t="s">
        <v>15</v>
      </c>
      <c r="O186" s="56">
        <v>0.2</v>
      </c>
      <c r="P186" s="202">
        <f>SUMIF('Cjenik VSO'!$B$9:$B$85,$B186,'Cjenik VSO'!$C$9:$C$85)</f>
        <v>0</v>
      </c>
      <c r="Q186" s="58">
        <f>O186*P186</f>
        <v>0</v>
      </c>
    </row>
    <row r="187" spans="1:17" ht="25.15" customHeight="1">
      <c r="A187" s="656"/>
      <c r="B187" s="784" t="str">
        <f>'Obrazac kalkulacije'!$B$15</f>
        <v>Materijali:</v>
      </c>
      <c r="C187" s="784"/>
      <c r="D187" s="656"/>
      <c r="E187" s="656"/>
      <c r="F187" s="203"/>
      <c r="G187" s="16">
        <f>SUM(G188:G196)</f>
        <v>105.2405</v>
      </c>
      <c r="K187" s="656"/>
      <c r="L187" s="784" t="str">
        <f>'Obrazac kalkulacije'!$B$15</f>
        <v>Materijali:</v>
      </c>
      <c r="M187" s="784"/>
      <c r="N187" s="656"/>
      <c r="O187" s="656"/>
      <c r="P187" s="203"/>
      <c r="Q187" s="16">
        <f>SUM(Q188:Q196)</f>
        <v>31.684799999999996</v>
      </c>
    </row>
    <row r="188" spans="1:17" ht="25.15" customHeight="1">
      <c r="A188" s="44"/>
      <c r="B188" s="781" t="s">
        <v>1004</v>
      </c>
      <c r="C188" s="782"/>
      <c r="D188" s="678" t="str">
        <f>INDEX('Cjenik M'!$C$11:$C$500, MATCH(1,INDEX(('Cjenik M'!$B$11:$B$500=kalkulacija!B188)*('Cjenik M'!$D$11:$D$500=kalkulacija!F188),,),0))</f>
        <v>kg</v>
      </c>
      <c r="E188" s="675">
        <v>2.5000000000000001E-2</v>
      </c>
      <c r="F188" s="676">
        <f>SUMIF('Cjenik M'!$B$11:$B$350,kalkulacija!B188,'Cjenik M'!$D$11:$D$350)</f>
        <v>4.82</v>
      </c>
      <c r="G188" s="677">
        <f>E188*F188</f>
        <v>0.12050000000000001</v>
      </c>
      <c r="K188" s="44"/>
      <c r="L188" s="773" t="str">
        <f>'Cjenik M'!$B$16</f>
        <v xml:space="preserve">Cement 25 kg </v>
      </c>
      <c r="M188" s="773"/>
      <c r="N188" s="666" t="str">
        <f>'Cjenik M'!$C$16</f>
        <v>vreća</v>
      </c>
      <c r="O188" s="46">
        <v>0.5</v>
      </c>
      <c r="P188" s="200">
        <f>'Cjenik M'!$D$16</f>
        <v>18.36</v>
      </c>
      <c r="Q188" s="48">
        <f>O188*P188</f>
        <v>9.18</v>
      </c>
    </row>
    <row r="189" spans="1:17" ht="25.15" customHeight="1">
      <c r="A189" s="49"/>
      <c r="B189" s="783" t="s">
        <v>1006</v>
      </c>
      <c r="C189" s="772"/>
      <c r="D189" s="678" t="str">
        <f>INDEX('Cjenik M'!$C$11:$C$500, MATCH(1,INDEX(('Cjenik M'!$B$11:$B$500=kalkulacija!B189)*('Cjenik M'!$D$11:$D$500=kalkulacija!F189),,),0))</f>
        <v>m2</v>
      </c>
      <c r="E189" s="679">
        <v>0.5</v>
      </c>
      <c r="F189" s="680">
        <f>SUMIF('Cjenik M'!$B$11:$B$350,kalkulacija!B189,'Cjenik M'!$D$11:$D$350)</f>
        <v>127.74</v>
      </c>
      <c r="G189" s="681">
        <f>E189*F189</f>
        <v>63.87</v>
      </c>
      <c r="K189" s="49"/>
      <c r="L189" s="774" t="str">
        <f>'Cjenik M'!$B$14</f>
        <v>Zaštitna folija PVC 6*4 m</v>
      </c>
      <c r="M189" s="774"/>
      <c r="N189" s="665" t="str">
        <f>'Cjenik M'!$C$14</f>
        <v>kom.</v>
      </c>
      <c r="O189" s="51">
        <v>0.5</v>
      </c>
      <c r="P189" s="201">
        <f>'Cjenik M'!$D$14</f>
        <v>4.8</v>
      </c>
      <c r="Q189" s="53">
        <f>O189*P189</f>
        <v>2.4</v>
      </c>
    </row>
    <row r="190" spans="1:17" ht="25.15" customHeight="1">
      <c r="A190" s="76"/>
      <c r="B190" s="783" t="s">
        <v>1005</v>
      </c>
      <c r="C190" s="772"/>
      <c r="D190" s="678" t="str">
        <f>INDEX('Cjenik M'!$C$11:$C$500, MATCH(1,INDEX(('Cjenik M'!$B$11:$B$500=kalkulacija!B190)*('Cjenik M'!$D$11:$D$500=kalkulacija!F190),,),0))</f>
        <v>m2</v>
      </c>
      <c r="E190" s="679">
        <v>0.5</v>
      </c>
      <c r="F190" s="680">
        <f>SUMIF('Cjenik M'!$B$11:$B$350,kalkulacija!B190,'Cjenik M'!$D$11:$D$350)</f>
        <v>82.5</v>
      </c>
      <c r="G190" s="681">
        <f>E190*F190</f>
        <v>41.25</v>
      </c>
      <c r="K190" s="76"/>
      <c r="L190" s="654"/>
      <c r="M190" s="654"/>
      <c r="N190" s="71"/>
      <c r="O190" s="77"/>
      <c r="P190" s="213"/>
      <c r="Q190" s="73"/>
    </row>
    <row r="191" spans="1:17" ht="25.15" customHeight="1">
      <c r="A191" s="44"/>
      <c r="B191" s="783"/>
      <c r="C191" s="772"/>
      <c r="D191" s="678">
        <f>INDEX('Cjenik M'!$C$11:$C$500, MATCH(1,INDEX(('Cjenik M'!$B$11:$B$500=kalkulacija!B191)*('Cjenik M'!$D$11:$D$500=kalkulacija!F191),,),0))</f>
        <v>0</v>
      </c>
      <c r="E191" s="679"/>
      <c r="F191" s="680">
        <f>SUMIF('Cjenik M'!$B$11:$B$350,kalkulacija!B191,'Cjenik M'!$D$11:$D$350)</f>
        <v>0</v>
      </c>
      <c r="G191" s="681">
        <f>E191*F191</f>
        <v>0</v>
      </c>
      <c r="K191" s="44"/>
      <c r="L191" s="773" t="str">
        <f>'Cjenik M'!$B$16</f>
        <v xml:space="preserve">Cement 25 kg </v>
      </c>
      <c r="M191" s="773"/>
      <c r="N191" s="666" t="str">
        <f>'Cjenik M'!$C$16</f>
        <v>vreća</v>
      </c>
      <c r="O191" s="46">
        <v>0.5</v>
      </c>
      <c r="P191" s="200">
        <f>'Cjenik M'!$D$16</f>
        <v>18.36</v>
      </c>
      <c r="Q191" s="48">
        <f>O191*P191</f>
        <v>9.18</v>
      </c>
    </row>
    <row r="192" spans="1:17" ht="25.15" customHeight="1">
      <c r="A192" s="49"/>
      <c r="B192" s="783"/>
      <c r="C192" s="772"/>
      <c r="D192" s="678">
        <f>INDEX('Cjenik M'!$C$11:$C$500, MATCH(1,INDEX(('Cjenik M'!$B$11:$B$500=kalkulacija!B192)*('Cjenik M'!$D$11:$D$500=kalkulacija!F192),,),0))</f>
        <v>0</v>
      </c>
      <c r="E192" s="679"/>
      <c r="F192" s="680"/>
      <c r="G192" s="681">
        <f>E192*F192</f>
        <v>0</v>
      </c>
      <c r="K192" s="49"/>
      <c r="L192" s="774" t="str">
        <f>'Cjenik M'!$B$14</f>
        <v>Zaštitna folija PVC 6*4 m</v>
      </c>
      <c r="M192" s="774"/>
      <c r="N192" s="665" t="str">
        <f>'Cjenik M'!$C$14</f>
        <v>kom.</v>
      </c>
      <c r="O192" s="51">
        <v>0.5</v>
      </c>
      <c r="P192" s="201">
        <f>'Cjenik M'!$D$14</f>
        <v>4.8</v>
      </c>
      <c r="Q192" s="53">
        <f>O192*P192</f>
        <v>2.4</v>
      </c>
    </row>
    <row r="193" spans="1:17" ht="25.15" customHeight="1">
      <c r="A193" s="76"/>
      <c r="B193" s="783"/>
      <c r="C193" s="772"/>
      <c r="D193" s="678"/>
      <c r="E193" s="679"/>
      <c r="F193" s="680"/>
      <c r="G193" s="681"/>
      <c r="K193" s="76"/>
      <c r="L193" s="654"/>
      <c r="M193" s="654"/>
      <c r="N193" s="71"/>
      <c r="O193" s="77"/>
      <c r="P193" s="213"/>
      <c r="Q193" s="73"/>
    </row>
    <row r="194" spans="1:17" ht="25.15" customHeight="1">
      <c r="A194" s="76"/>
      <c r="B194" s="783"/>
      <c r="C194" s="772"/>
      <c r="D194" s="678"/>
      <c r="E194" s="679"/>
      <c r="F194" s="680">
        <f>SUMIF('Cjenik M'!$B$11:$B$350,kalkulacija!B194,'Cjenik M'!$D$11:$D$350)</f>
        <v>0</v>
      </c>
      <c r="G194" s="681">
        <f>E194*F194</f>
        <v>0</v>
      </c>
      <c r="K194" s="76"/>
      <c r="L194" s="654"/>
      <c r="M194" s="654"/>
      <c r="N194" s="71"/>
      <c r="O194" s="77"/>
      <c r="P194" s="213"/>
      <c r="Q194" s="73"/>
    </row>
    <row r="195" spans="1:17" ht="25.15" customHeight="1">
      <c r="A195" s="76"/>
      <c r="B195" s="783"/>
      <c r="C195" s="772"/>
      <c r="D195" s="678"/>
      <c r="E195" s="679"/>
      <c r="F195" s="680">
        <f>SUMIF('Cjenik M'!$B$11:$B$350,kalkulacija!B195,'Cjenik M'!$D$11:$D$350)</f>
        <v>0</v>
      </c>
      <c r="G195" s="681">
        <f>E195*F195</f>
        <v>0</v>
      </c>
      <c r="K195" s="76"/>
      <c r="L195" s="654"/>
      <c r="M195" s="654"/>
      <c r="N195" s="71"/>
      <c r="O195" s="77"/>
      <c r="P195" s="213"/>
      <c r="Q195" s="73"/>
    </row>
    <row r="196" spans="1:17" ht="25.15" customHeight="1" thickBot="1">
      <c r="A196" s="59"/>
      <c r="B196" s="775"/>
      <c r="C196" s="776"/>
      <c r="D196" s="688"/>
      <c r="E196" s="689"/>
      <c r="F196" s="691">
        <f>SUMIF('Cjenik M'!$B$11:$B$350,kalkulacija!B196,'Cjenik M'!$D$11:$D$350)</f>
        <v>0</v>
      </c>
      <c r="G196" s="690"/>
      <c r="K196" s="59"/>
      <c r="L196" s="777" t="str">
        <f>'Cjenik M'!$B$21</f>
        <v>PVC koljeno 40x90</v>
      </c>
      <c r="M196" s="777"/>
      <c r="N196" s="667" t="str">
        <f>'Cjenik M'!$C$21</f>
        <v>kom.</v>
      </c>
      <c r="O196" s="61">
        <v>3.33</v>
      </c>
      <c r="P196" s="208">
        <f>'Cjenik M'!$D$21</f>
        <v>2.56</v>
      </c>
      <c r="Q196" s="63">
        <f>O196*P196</f>
        <v>8.5248000000000008</v>
      </c>
    </row>
    <row r="197" spans="1:17" ht="25.15" customHeight="1" thickTop="1" thickBot="1">
      <c r="E197" s="778" t="str">
        <f>'Obrazac kalkulacije'!$E$18</f>
        <v>Ukupno (kn):</v>
      </c>
      <c r="F197" s="778"/>
      <c r="G197" s="64">
        <f>ROUND(SUM(G179+G183+G187),2)</f>
        <v>187.01</v>
      </c>
      <c r="H197" s="217"/>
      <c r="I197" s="602"/>
      <c r="J197" s="602"/>
      <c r="O197" s="778" t="str">
        <f>'Obrazac kalkulacije'!$E$18</f>
        <v>Ukupno (kn):</v>
      </c>
      <c r="P197" s="778"/>
      <c r="Q197" s="64">
        <f>ROUND(SUM(Q179+Q183+Q187),2)</f>
        <v>601.49</v>
      </c>
    </row>
    <row r="198" spans="1:17" ht="25.15" customHeight="1" thickTop="1" thickBot="1">
      <c r="E198" s="23" t="str">
        <f>'Obrazac kalkulacije'!$E$19</f>
        <v>PDV:</v>
      </c>
      <c r="F198" s="207">
        <f>'Obrazac kalkulacije'!$F$19</f>
        <v>0.25</v>
      </c>
      <c r="G198" s="24">
        <f>G197*F198</f>
        <v>46.752499999999998</v>
      </c>
      <c r="H198" s="446"/>
      <c r="I198" s="446"/>
      <c r="J198" s="446"/>
      <c r="O198" s="23" t="str">
        <f>'Obrazac kalkulacije'!$E$19</f>
        <v>PDV:</v>
      </c>
      <c r="P198" s="207">
        <f>'Obrazac kalkulacije'!$F$19</f>
        <v>0.25</v>
      </c>
      <c r="Q198" s="24">
        <f>Q197*P198</f>
        <v>150.3725</v>
      </c>
    </row>
    <row r="199" spans="1:17" ht="25.15" customHeight="1" thickTop="1" thickBot="1">
      <c r="E199" s="779" t="str">
        <f>'Obrazac kalkulacije'!$E$20</f>
        <v>Sveukupno (kn):</v>
      </c>
      <c r="F199" s="779"/>
      <c r="G199" s="24">
        <f>ROUND(SUM(G197:G198),2)</f>
        <v>233.76</v>
      </c>
      <c r="H199" s="447"/>
      <c r="I199" s="447"/>
      <c r="J199" s="447"/>
      <c r="O199" s="779" t="str">
        <f>'Obrazac kalkulacije'!$E$20</f>
        <v>Sveukupno (kn):</v>
      </c>
      <c r="P199" s="779"/>
      <c r="Q199" s="24">
        <f>ROUND(SUM(Q197:Q198),2)</f>
        <v>751.86</v>
      </c>
    </row>
    <row r="200" spans="1:17" ht="15" customHeight="1" thickTop="1"/>
    <row r="201" spans="1:17" ht="15" customHeight="1"/>
    <row r="202" spans="1:17" ht="15" customHeight="1">
      <c r="C202" s="3" t="str">
        <f>'Obrazac kalkulacije'!$C$24</f>
        <v>IZVODITELJ:</v>
      </c>
      <c r="F202" s="780" t="str">
        <f>'Obrazac kalkulacije'!$F$24</f>
        <v>NARUČITELJ:</v>
      </c>
      <c r="G202" s="780"/>
      <c r="M202" s="3" t="str">
        <f>'Obrazac kalkulacije'!$C$24</f>
        <v>IZVODITELJ:</v>
      </c>
      <c r="P202" s="780" t="str">
        <f>'Obrazac kalkulacije'!$F$24</f>
        <v>NARUČITELJ:</v>
      </c>
      <c r="Q202" s="780"/>
    </row>
    <row r="203" spans="1:17" ht="25.15" customHeight="1">
      <c r="C203" s="3" t="str">
        <f>'Obrazac kalkulacije'!$C$25</f>
        <v>__________________</v>
      </c>
      <c r="F203" s="780" t="str">
        <f>'Obrazac kalkulacije'!$F$25</f>
        <v>___________________</v>
      </c>
      <c r="G203" s="780"/>
      <c r="M203" s="3" t="str">
        <f>'Obrazac kalkulacije'!$C$25</f>
        <v>__________________</v>
      </c>
      <c r="P203" s="780" t="str">
        <f>'Obrazac kalkulacije'!$F$25</f>
        <v>___________________</v>
      </c>
      <c r="Q203" s="780"/>
    </row>
    <row r="204" spans="1:17" ht="15" customHeight="1">
      <c r="F204" s="780"/>
      <c r="G204" s="780"/>
      <c r="P204" s="780"/>
      <c r="Q204" s="780"/>
    </row>
    <row r="205" spans="1:17" ht="15" customHeight="1"/>
    <row r="206" spans="1:17" ht="15" customHeight="1">
      <c r="A206" s="115"/>
      <c r="B206" s="116"/>
      <c r="C206" s="796"/>
      <c r="D206" s="796"/>
      <c r="E206" s="796"/>
      <c r="F206" s="796"/>
      <c r="G206" s="796"/>
      <c r="K206" s="115"/>
      <c r="L206" s="116" t="s">
        <v>17</v>
      </c>
      <c r="M206" s="796" t="s">
        <v>18</v>
      </c>
      <c r="N206" s="796"/>
      <c r="O206" s="796"/>
      <c r="P206" s="796"/>
      <c r="Q206" s="796"/>
    </row>
    <row r="207" spans="1:17" ht="15" customHeight="1">
      <c r="A207" s="31"/>
      <c r="B207" s="32"/>
      <c r="C207" s="794"/>
      <c r="D207" s="794"/>
      <c r="E207" s="794"/>
      <c r="F207" s="794"/>
      <c r="G207" s="794"/>
      <c r="K207" s="31"/>
      <c r="L207" s="32" t="s">
        <v>22</v>
      </c>
      <c r="M207" s="794" t="s">
        <v>23</v>
      </c>
      <c r="N207" s="794"/>
      <c r="O207" s="794"/>
      <c r="P207" s="794"/>
      <c r="Q207" s="794"/>
    </row>
    <row r="208" spans="1:17" ht="15" customHeight="1">
      <c r="A208" s="41"/>
      <c r="B208" s="42"/>
      <c r="C208" s="43"/>
      <c r="D208" s="43"/>
      <c r="E208" s="43"/>
      <c r="F208" s="209"/>
      <c r="G208" s="43"/>
      <c r="K208" s="41"/>
      <c r="L208" s="42" t="s">
        <v>24</v>
      </c>
      <c r="M208" s="43" t="s">
        <v>25</v>
      </c>
      <c r="N208" s="43"/>
      <c r="O208" s="43"/>
      <c r="P208" s="209"/>
      <c r="Q208" s="43"/>
    </row>
    <row r="209" spans="1:17" ht="78.75" customHeight="1">
      <c r="A209" s="33"/>
      <c r="B209" s="443"/>
      <c r="C209" s="792" t="s">
        <v>1010</v>
      </c>
      <c r="D209" s="792"/>
      <c r="E209" s="792"/>
      <c r="F209" s="792"/>
      <c r="G209" s="792"/>
      <c r="K209" s="33"/>
      <c r="L209" s="34" t="s">
        <v>31</v>
      </c>
      <c r="M209" s="795" t="s">
        <v>158</v>
      </c>
      <c r="N209" s="795"/>
      <c r="O209" s="795"/>
      <c r="P209" s="795"/>
      <c r="Q209" s="795"/>
    </row>
    <row r="210" spans="1:17" ht="15" customHeight="1" thickBot="1"/>
    <row r="211" spans="1:17" ht="30" customHeight="1" thickTop="1" thickBot="1">
      <c r="A211" s="663"/>
      <c r="B211" s="797" t="str">
        <f>'Obrazac kalkulacije'!$B$6:$C$6</f>
        <v>Opis</v>
      </c>
      <c r="C211" s="797"/>
      <c r="D211" s="663" t="str">
        <f>'Obrazac kalkulacije'!$D$6</f>
        <v>Jed.
mjere</v>
      </c>
      <c r="E211" s="663" t="str">
        <f>'Obrazac kalkulacije'!$E$6</f>
        <v>Normativ</v>
      </c>
      <c r="F211" s="663" t="str">
        <f>'Obrazac kalkulacije'!$F$6</f>
        <v>Jed.
cijena</v>
      </c>
      <c r="G211" s="663" t="str">
        <f>'Obrazac kalkulacije'!$G$6</f>
        <v>Iznos</v>
      </c>
      <c r="K211" s="663"/>
      <c r="L211" s="797" t="e">
        <f>'Obrazac kalkulacije'!$B$6:$C$6</f>
        <v>#VALUE!</v>
      </c>
      <c r="M211" s="797"/>
      <c r="N211" s="663" t="str">
        <f>'Obrazac kalkulacije'!$D$6</f>
        <v>Jed.
mjere</v>
      </c>
      <c r="O211" s="663" t="str">
        <f>'Obrazac kalkulacije'!$E$6</f>
        <v>Normativ</v>
      </c>
      <c r="P211" s="663" t="str">
        <f>'Obrazac kalkulacije'!$F$6</f>
        <v>Jed.
cijena</v>
      </c>
      <c r="Q211" s="663" t="str">
        <f>'Obrazac kalkulacije'!$G$6</f>
        <v>Iznos</v>
      </c>
    </row>
    <row r="212" spans="1:17" ht="4.5" customHeight="1" thickTop="1">
      <c r="B212" s="35"/>
      <c r="C212" s="1"/>
      <c r="D212" s="9"/>
      <c r="E212" s="11"/>
      <c r="F212" s="205"/>
      <c r="G212" s="13"/>
      <c r="L212" s="35"/>
      <c r="M212" s="1"/>
      <c r="N212" s="9"/>
      <c r="O212" s="11"/>
      <c r="P212" s="205"/>
      <c r="Q212" s="13"/>
    </row>
    <row r="213" spans="1:17" ht="25.15" customHeight="1">
      <c r="A213" s="656"/>
      <c r="B213" s="784" t="str">
        <f>'Obrazac kalkulacije'!$B$8</f>
        <v>Radna snaga:</v>
      </c>
      <c r="C213" s="784"/>
      <c r="D213" s="656"/>
      <c r="E213" s="656"/>
      <c r="F213" s="206"/>
      <c r="G213" s="16">
        <f>SUM(G214:G216)</f>
        <v>39.713333600000006</v>
      </c>
      <c r="K213" s="656"/>
      <c r="L213" s="784" t="str">
        <f>'Obrazac kalkulacije'!$B$8</f>
        <v>Radna snaga:</v>
      </c>
      <c r="M213" s="784"/>
      <c r="N213" s="656"/>
      <c r="O213" s="656"/>
      <c r="P213" s="206"/>
      <c r="Q213" s="16">
        <f>SUM(Q216:Q216)</f>
        <v>225.42870253000001</v>
      </c>
    </row>
    <row r="214" spans="1:17" ht="25.15" customHeight="1">
      <c r="A214" s="692"/>
      <c r="B214" s="788" t="s">
        <v>819</v>
      </c>
      <c r="C214" s="788"/>
      <c r="D214" s="693" t="s">
        <v>15</v>
      </c>
      <c r="E214" s="694">
        <v>2.222E-2</v>
      </c>
      <c r="F214" s="676">
        <f>SUMIF('Cjenik RS'!$C$11:$C$26,kalkulacija!B214,'Cjenik RS'!$D$11:$D$26)</f>
        <v>128.44999999999999</v>
      </c>
      <c r="G214" s="677">
        <f>+F214*E214</f>
        <v>2.8541589999999997</v>
      </c>
      <c r="I214" s="3">
        <v>2.5999999999999999E-2</v>
      </c>
      <c r="K214" s="656"/>
      <c r="L214" s="661"/>
      <c r="M214" s="661"/>
      <c r="N214" s="84"/>
      <c r="O214" s="84"/>
      <c r="P214" s="206"/>
      <c r="Q214" s="75"/>
    </row>
    <row r="215" spans="1:17" ht="25.15" customHeight="1">
      <c r="A215" s="686"/>
      <c r="B215" s="789" t="s">
        <v>875</v>
      </c>
      <c r="C215" s="789"/>
      <c r="D215" s="678" t="s">
        <v>15</v>
      </c>
      <c r="E215" s="695">
        <v>0.33333000000000002</v>
      </c>
      <c r="F215" s="680">
        <f>SUMIF('Cjenik RS'!$C$11:$C$26,kalkulacija!B215,'Cjenik RS'!$D$11:$D$26)</f>
        <v>107.62</v>
      </c>
      <c r="G215" s="681">
        <f>+F215*E215</f>
        <v>35.872974600000006</v>
      </c>
      <c r="I215" s="3">
        <v>3.5000000000000003E-2</v>
      </c>
      <c r="K215" s="656"/>
      <c r="L215" s="661"/>
      <c r="M215" s="661"/>
      <c r="N215" s="84"/>
      <c r="O215" s="84"/>
      <c r="P215" s="206"/>
      <c r="Q215" s="75"/>
    </row>
    <row r="216" spans="1:17" ht="25.15" customHeight="1">
      <c r="A216" s="696"/>
      <c r="B216" s="790" t="s">
        <v>822</v>
      </c>
      <c r="C216" s="790"/>
      <c r="D216" s="697" t="s">
        <v>15</v>
      </c>
      <c r="E216" s="695">
        <v>0.02</v>
      </c>
      <c r="F216" s="680">
        <f>SUMIF('Cjenik RS'!$C$11:$C$26,kalkulacija!B216,'Cjenik RS'!$D$11:$D$26)</f>
        <v>49.31</v>
      </c>
      <c r="G216" s="681">
        <f>+F216*E216</f>
        <v>0.98620000000000008</v>
      </c>
      <c r="I216" s="3">
        <v>2.9000000000000001E-2</v>
      </c>
      <c r="K216" s="26"/>
      <c r="L216" s="791" t="s">
        <v>130</v>
      </c>
      <c r="M216" s="791"/>
      <c r="N216" s="27" t="s">
        <v>15</v>
      </c>
      <c r="O216" s="28">
        <v>4.571663</v>
      </c>
      <c r="P216" s="203">
        <f>SUMIF('Cjenik RS'!$C$11:$C$26,$B216,'Cjenik RS'!$D$11:$D$88)</f>
        <v>49.31</v>
      </c>
      <c r="Q216" s="29">
        <f>+P216*O216</f>
        <v>225.42870253000001</v>
      </c>
    </row>
    <row r="217" spans="1:17" ht="25.15" customHeight="1">
      <c r="A217" s="656"/>
      <c r="B217" s="784" t="str">
        <f>'Obrazac kalkulacije'!$B$11</f>
        <v>Vozila, strojevi i oprema:</v>
      </c>
      <c r="C217" s="784"/>
      <c r="D217" s="656"/>
      <c r="E217" s="656"/>
      <c r="F217" s="203"/>
      <c r="G217" s="16">
        <f>SUM(G218:G220)</f>
        <v>2.0978400000000001</v>
      </c>
      <c r="I217" s="3">
        <f>SUM(I214:I216)</f>
        <v>0.09</v>
      </c>
      <c r="K217" s="656"/>
      <c r="L217" s="784" t="str">
        <f>'Obrazac kalkulacije'!$B$11</f>
        <v>Vozila, strojevi i oprema:</v>
      </c>
      <c r="M217" s="784"/>
      <c r="N217" s="656"/>
      <c r="O217" s="656"/>
      <c r="P217" s="203"/>
      <c r="Q217" s="16">
        <f>SUM(Q218:Q220)</f>
        <v>344.37690809999998</v>
      </c>
    </row>
    <row r="218" spans="1:17" ht="25.15" customHeight="1">
      <c r="A218" s="44"/>
      <c r="B218" s="781" t="s">
        <v>477</v>
      </c>
      <c r="C218" s="782"/>
      <c r="D218" s="693" t="s">
        <v>15</v>
      </c>
      <c r="E218" s="675">
        <v>8.0000000000000002E-3</v>
      </c>
      <c r="F218" s="676">
        <f>SUMIF('Cjenik VSO (pomoćna) (2)'!$B$9:$B$26,kalkulacija!B218,'Cjenik VSO (pomoćna) (2)'!$C$9:$C$26)</f>
        <v>262.23</v>
      </c>
      <c r="G218" s="677">
        <f>E218*F218</f>
        <v>2.0978400000000001</v>
      </c>
      <c r="K218" s="44"/>
      <c r="L218" s="773" t="s">
        <v>138</v>
      </c>
      <c r="M218" s="773"/>
      <c r="N218" s="666" t="s">
        <v>15</v>
      </c>
      <c r="O218" s="46">
        <v>2.1183299999999998</v>
      </c>
      <c r="P218" s="200">
        <f>SUMIF('Cjenik VSO'!$B$9:$B$85,$B218,'Cjenik VSO'!$C$9:$C$85)</f>
        <v>162.57</v>
      </c>
      <c r="Q218" s="48">
        <f>O218*P218</f>
        <v>344.37690809999998</v>
      </c>
    </row>
    <row r="219" spans="1:17" ht="25.15" customHeight="1">
      <c r="A219" s="49"/>
      <c r="B219" s="783"/>
      <c r="C219" s="772"/>
      <c r="D219" s="678" t="s">
        <v>15</v>
      </c>
      <c r="E219" s="679"/>
      <c r="F219" s="680">
        <f>SUMIF('Cjenik VSO (pomoćna) (2)'!$B$9:$B$26,kalkulacija!B219,'Cjenik VSO (pomoćna) (2)'!$C$9:$C$26)</f>
        <v>0</v>
      </c>
      <c r="G219" s="681">
        <f>E219*F219</f>
        <v>0</v>
      </c>
      <c r="K219" s="49"/>
      <c r="L219" s="774" t="s">
        <v>139</v>
      </c>
      <c r="M219" s="774"/>
      <c r="N219" s="665" t="s">
        <v>15</v>
      </c>
      <c r="O219" s="51">
        <v>0.15</v>
      </c>
      <c r="P219" s="201">
        <f>SUMIF('Cjenik VSO'!$B$9:$B$85,$B219,'Cjenik VSO'!$C$9:$C$85)</f>
        <v>0</v>
      </c>
      <c r="Q219" s="53">
        <f>O219*P219</f>
        <v>0</v>
      </c>
    </row>
    <row r="220" spans="1:17" ht="25.15" customHeight="1">
      <c r="A220" s="54"/>
      <c r="B220" s="785"/>
      <c r="C220" s="786"/>
      <c r="D220" s="682" t="s">
        <v>15</v>
      </c>
      <c r="E220" s="683"/>
      <c r="F220" s="684">
        <f>SUMIF('Cjenik VSO (pomoćna) (2)'!$B$9:$B$26,kalkulacija!B220,'Cjenik VSO (pomoćna) (2)'!$C$9:$C$26)</f>
        <v>0</v>
      </c>
      <c r="G220" s="685">
        <f>E220*F220</f>
        <v>0</v>
      </c>
      <c r="K220" s="54"/>
      <c r="L220" s="787" t="s">
        <v>140</v>
      </c>
      <c r="M220" s="787"/>
      <c r="N220" s="664" t="s">
        <v>15</v>
      </c>
      <c r="O220" s="56">
        <v>0.2</v>
      </c>
      <c r="P220" s="202">
        <f>SUMIF('Cjenik VSO'!$B$9:$B$85,$B220,'Cjenik VSO'!$C$9:$C$85)</f>
        <v>0</v>
      </c>
      <c r="Q220" s="58">
        <f>O220*P220</f>
        <v>0</v>
      </c>
    </row>
    <row r="221" spans="1:17" ht="25.15" customHeight="1">
      <c r="A221" s="656"/>
      <c r="B221" s="784" t="str">
        <f>'Obrazac kalkulacije'!$B$15</f>
        <v>Materijali:</v>
      </c>
      <c r="C221" s="784"/>
      <c r="D221" s="656"/>
      <c r="E221" s="656"/>
      <c r="F221" s="203"/>
      <c r="G221" s="16">
        <f>SUM(G222:G230)</f>
        <v>105.843</v>
      </c>
      <c r="K221" s="656"/>
      <c r="L221" s="784" t="str">
        <f>'Obrazac kalkulacije'!$B$15</f>
        <v>Materijali:</v>
      </c>
      <c r="M221" s="784"/>
      <c r="N221" s="656"/>
      <c r="O221" s="656"/>
      <c r="P221" s="203"/>
      <c r="Q221" s="16">
        <f>SUM(Q222:Q230)</f>
        <v>31.684799999999996</v>
      </c>
    </row>
    <row r="222" spans="1:17" ht="25.15" customHeight="1">
      <c r="A222" s="44"/>
      <c r="B222" s="781" t="s">
        <v>1004</v>
      </c>
      <c r="C222" s="782"/>
      <c r="D222" s="678" t="str">
        <f>INDEX('Cjenik M'!$C$11:$C$500, MATCH(1,INDEX(('Cjenik M'!$B$11:$B$500=kalkulacija!B222)*('Cjenik M'!$D$11:$D$500=kalkulacija!F222),,),0))</f>
        <v>kg</v>
      </c>
      <c r="E222" s="675">
        <v>0.15</v>
      </c>
      <c r="F222" s="676">
        <f>SUMIF('Cjenik M'!$B$11:$B$350,kalkulacija!B222,'Cjenik M'!$D$11:$D$350)</f>
        <v>4.82</v>
      </c>
      <c r="G222" s="677">
        <f>E222*F222</f>
        <v>0.72299999999999998</v>
      </c>
      <c r="K222" s="44"/>
      <c r="L222" s="773" t="str">
        <f>'Cjenik M'!$B$16</f>
        <v xml:space="preserve">Cement 25 kg </v>
      </c>
      <c r="M222" s="773"/>
      <c r="N222" s="666" t="str">
        <f>'Cjenik M'!$C$16</f>
        <v>vreća</v>
      </c>
      <c r="O222" s="46">
        <v>0.5</v>
      </c>
      <c r="P222" s="200">
        <f>'Cjenik M'!$D$16</f>
        <v>18.36</v>
      </c>
      <c r="Q222" s="48">
        <f>O222*P222</f>
        <v>9.18</v>
      </c>
    </row>
    <row r="223" spans="1:17" ht="25.15" customHeight="1">
      <c r="A223" s="49"/>
      <c r="B223" s="783" t="s">
        <v>1006</v>
      </c>
      <c r="C223" s="772"/>
      <c r="D223" s="678" t="str">
        <f>INDEX('Cjenik M'!$C$11:$C$500, MATCH(1,INDEX(('Cjenik M'!$B$11:$B$500=kalkulacija!B223)*('Cjenik M'!$D$11:$D$500=kalkulacija!F223),,),0))</f>
        <v>m2</v>
      </c>
      <c r="E223" s="679">
        <v>0.5</v>
      </c>
      <c r="F223" s="680">
        <f>SUMIF('Cjenik M'!$B$11:$B$350,kalkulacija!B223,'Cjenik M'!$D$11:$D$350)</f>
        <v>127.74</v>
      </c>
      <c r="G223" s="681">
        <f>E223*F223</f>
        <v>63.87</v>
      </c>
      <c r="K223" s="49"/>
      <c r="L223" s="774" t="str">
        <f>'Cjenik M'!$B$14</f>
        <v>Zaštitna folija PVC 6*4 m</v>
      </c>
      <c r="M223" s="774"/>
      <c r="N223" s="665" t="str">
        <f>'Cjenik M'!$C$14</f>
        <v>kom.</v>
      </c>
      <c r="O223" s="51">
        <v>0.5</v>
      </c>
      <c r="P223" s="201">
        <f>'Cjenik M'!$D$14</f>
        <v>4.8</v>
      </c>
      <c r="Q223" s="53">
        <f>O223*P223</f>
        <v>2.4</v>
      </c>
    </row>
    <row r="224" spans="1:17" ht="25.15" customHeight="1">
      <c r="A224" s="76"/>
      <c r="B224" s="783" t="s">
        <v>1005</v>
      </c>
      <c r="C224" s="772"/>
      <c r="D224" s="678" t="str">
        <f>INDEX('Cjenik M'!$C$11:$C$500, MATCH(1,INDEX(('Cjenik M'!$B$11:$B$500=kalkulacija!B224)*('Cjenik M'!$D$11:$D$500=kalkulacija!F224),,),0))</f>
        <v>m2</v>
      </c>
      <c r="E224" s="679">
        <v>0.5</v>
      </c>
      <c r="F224" s="680">
        <f>SUMIF('Cjenik M'!$B$11:$B$350,kalkulacija!B224,'Cjenik M'!$D$11:$D$350)</f>
        <v>82.5</v>
      </c>
      <c r="G224" s="681">
        <f>E224*F224</f>
        <v>41.25</v>
      </c>
      <c r="K224" s="76"/>
      <c r="L224" s="654"/>
      <c r="M224" s="654"/>
      <c r="N224" s="71"/>
      <c r="O224" s="77"/>
      <c r="P224" s="213"/>
      <c r="Q224" s="73"/>
    </row>
    <row r="225" spans="1:17" ht="25.15" customHeight="1">
      <c r="A225" s="44"/>
      <c r="B225" s="783"/>
      <c r="C225" s="772"/>
      <c r="D225" s="678">
        <f>INDEX('Cjenik M'!$C$11:$C$500, MATCH(1,INDEX(('Cjenik M'!$B$11:$B$500=kalkulacija!B225)*('Cjenik M'!$D$11:$D$500=kalkulacija!F225),,),0))</f>
        <v>0</v>
      </c>
      <c r="E225" s="679"/>
      <c r="F225" s="680">
        <f>SUMIF('Cjenik M'!$B$11:$B$350,kalkulacija!B225,'Cjenik M'!$D$11:$D$350)</f>
        <v>0</v>
      </c>
      <c r="G225" s="681">
        <f>E225*F225</f>
        <v>0</v>
      </c>
      <c r="K225" s="44"/>
      <c r="L225" s="773" t="str">
        <f>'Cjenik M'!$B$16</f>
        <v xml:space="preserve">Cement 25 kg </v>
      </c>
      <c r="M225" s="773"/>
      <c r="N225" s="666" t="str">
        <f>'Cjenik M'!$C$16</f>
        <v>vreća</v>
      </c>
      <c r="O225" s="46">
        <v>0.5</v>
      </c>
      <c r="P225" s="200">
        <f>'Cjenik M'!$D$16</f>
        <v>18.36</v>
      </c>
      <c r="Q225" s="48">
        <f>O225*P225</f>
        <v>9.18</v>
      </c>
    </row>
    <row r="226" spans="1:17" ht="25.15" customHeight="1">
      <c r="A226" s="49"/>
      <c r="B226" s="783"/>
      <c r="C226" s="772"/>
      <c r="D226" s="678">
        <f>INDEX('Cjenik M'!$C$11:$C$500, MATCH(1,INDEX(('Cjenik M'!$B$11:$B$500=kalkulacija!B226)*('Cjenik M'!$D$11:$D$500=kalkulacija!F226),,),0))</f>
        <v>0</v>
      </c>
      <c r="E226" s="679"/>
      <c r="F226" s="680"/>
      <c r="G226" s="681">
        <f>E226*F226</f>
        <v>0</v>
      </c>
      <c r="K226" s="49"/>
      <c r="L226" s="774" t="str">
        <f>'Cjenik M'!$B$14</f>
        <v>Zaštitna folija PVC 6*4 m</v>
      </c>
      <c r="M226" s="774"/>
      <c r="N226" s="665" t="str">
        <f>'Cjenik M'!$C$14</f>
        <v>kom.</v>
      </c>
      <c r="O226" s="51">
        <v>0.5</v>
      </c>
      <c r="P226" s="201">
        <f>'Cjenik M'!$D$14</f>
        <v>4.8</v>
      </c>
      <c r="Q226" s="53">
        <f>O226*P226</f>
        <v>2.4</v>
      </c>
    </row>
    <row r="227" spans="1:17" ht="25.15" customHeight="1">
      <c r="A227" s="76"/>
      <c r="B227" s="783"/>
      <c r="C227" s="772"/>
      <c r="D227" s="678"/>
      <c r="E227" s="679"/>
      <c r="F227" s="680"/>
      <c r="G227" s="681"/>
      <c r="K227" s="76"/>
      <c r="L227" s="654"/>
      <c r="M227" s="654"/>
      <c r="N227" s="71"/>
      <c r="O227" s="77"/>
      <c r="P227" s="213"/>
      <c r="Q227" s="73"/>
    </row>
    <row r="228" spans="1:17" ht="25.15" customHeight="1">
      <c r="A228" s="76"/>
      <c r="B228" s="783"/>
      <c r="C228" s="772"/>
      <c r="D228" s="678"/>
      <c r="E228" s="679"/>
      <c r="F228" s="680">
        <f>SUMIF('Cjenik M'!$B$11:$B$350,kalkulacija!B228,'Cjenik M'!$D$11:$D$350)</f>
        <v>0</v>
      </c>
      <c r="G228" s="681">
        <f>E228*F228</f>
        <v>0</v>
      </c>
      <c r="K228" s="76"/>
      <c r="L228" s="654"/>
      <c r="M228" s="654"/>
      <c r="N228" s="71"/>
      <c r="O228" s="77"/>
      <c r="P228" s="213"/>
      <c r="Q228" s="73"/>
    </row>
    <row r="229" spans="1:17" ht="25.15" customHeight="1">
      <c r="A229" s="76"/>
      <c r="B229" s="783"/>
      <c r="C229" s="772"/>
      <c r="D229" s="678"/>
      <c r="E229" s="679"/>
      <c r="F229" s="680">
        <f>SUMIF('Cjenik M'!$B$11:$B$350,kalkulacija!B229,'Cjenik M'!$D$11:$D$350)</f>
        <v>0</v>
      </c>
      <c r="G229" s="681">
        <f>E229*F229</f>
        <v>0</v>
      </c>
      <c r="K229" s="76"/>
      <c r="L229" s="654"/>
      <c r="M229" s="654"/>
      <c r="N229" s="71"/>
      <c r="O229" s="77"/>
      <c r="P229" s="213"/>
      <c r="Q229" s="73"/>
    </row>
    <row r="230" spans="1:17" ht="25.15" customHeight="1" thickBot="1">
      <c r="A230" s="59"/>
      <c r="B230" s="775"/>
      <c r="C230" s="776"/>
      <c r="D230" s="688"/>
      <c r="E230" s="689"/>
      <c r="F230" s="691">
        <f>SUMIF('Cjenik M'!$B$11:$B$350,kalkulacija!B230,'Cjenik M'!$D$11:$D$350)</f>
        <v>0</v>
      </c>
      <c r="G230" s="690"/>
      <c r="K230" s="59"/>
      <c r="L230" s="777" t="str">
        <f>'Cjenik M'!$B$21</f>
        <v>PVC koljeno 40x90</v>
      </c>
      <c r="M230" s="777"/>
      <c r="N230" s="667" t="str">
        <f>'Cjenik M'!$C$21</f>
        <v>kom.</v>
      </c>
      <c r="O230" s="61">
        <v>3.33</v>
      </c>
      <c r="P230" s="208">
        <f>'Cjenik M'!$D$21</f>
        <v>2.56</v>
      </c>
      <c r="Q230" s="63">
        <f>O230*P230</f>
        <v>8.5248000000000008</v>
      </c>
    </row>
    <row r="231" spans="1:17" ht="25.15" customHeight="1" thickTop="1" thickBot="1">
      <c r="E231" s="778" t="str">
        <f>'Obrazac kalkulacije'!$E$18</f>
        <v>Ukupno (kn):</v>
      </c>
      <c r="F231" s="778"/>
      <c r="G231" s="64">
        <f>ROUND(SUM(G213+G217+G221),2)</f>
        <v>147.65</v>
      </c>
      <c r="H231" s="217"/>
      <c r="I231" s="602"/>
      <c r="J231" s="602"/>
      <c r="O231" s="778" t="str">
        <f>'Obrazac kalkulacije'!$E$18</f>
        <v>Ukupno (kn):</v>
      </c>
      <c r="P231" s="778"/>
      <c r="Q231" s="64">
        <f>ROUND(SUM(Q213+Q217+Q221),2)</f>
        <v>601.49</v>
      </c>
    </row>
    <row r="232" spans="1:17" ht="25.15" customHeight="1" thickTop="1" thickBot="1">
      <c r="E232" s="23" t="str">
        <f>'Obrazac kalkulacije'!$E$19</f>
        <v>PDV:</v>
      </c>
      <c r="F232" s="207">
        <f>'Obrazac kalkulacije'!$F$19</f>
        <v>0.25</v>
      </c>
      <c r="G232" s="24">
        <f>G231*F232</f>
        <v>36.912500000000001</v>
      </c>
      <c r="H232" s="446"/>
      <c r="I232" s="446"/>
      <c r="J232" s="446"/>
      <c r="O232" s="23" t="str">
        <f>'Obrazac kalkulacije'!$E$19</f>
        <v>PDV:</v>
      </c>
      <c r="P232" s="207">
        <f>'Obrazac kalkulacije'!$F$19</f>
        <v>0.25</v>
      </c>
      <c r="Q232" s="24">
        <f>Q231*P232</f>
        <v>150.3725</v>
      </c>
    </row>
    <row r="233" spans="1:17" ht="25.15" customHeight="1" thickTop="1" thickBot="1">
      <c r="E233" s="779" t="str">
        <f>'Obrazac kalkulacije'!$E$20</f>
        <v>Sveukupno (kn):</v>
      </c>
      <c r="F233" s="779"/>
      <c r="G233" s="24">
        <f>ROUND(SUM(G231:G232),2)</f>
        <v>184.56</v>
      </c>
      <c r="H233" s="447"/>
      <c r="I233" s="447"/>
      <c r="J233" s="447"/>
      <c r="O233" s="779" t="str">
        <f>'Obrazac kalkulacije'!$E$20</f>
        <v>Sveukupno (kn):</v>
      </c>
      <c r="P233" s="779"/>
      <c r="Q233" s="24">
        <f>ROUND(SUM(Q231:Q232),2)</f>
        <v>751.86</v>
      </c>
    </row>
    <row r="234" spans="1:17" ht="15" customHeight="1" thickTop="1"/>
    <row r="235" spans="1:17" ht="15" customHeight="1"/>
    <row r="236" spans="1:17" ht="15" customHeight="1">
      <c r="C236" s="3" t="str">
        <f>'Obrazac kalkulacije'!$C$24</f>
        <v>IZVODITELJ:</v>
      </c>
      <c r="F236" s="780" t="str">
        <f>'Obrazac kalkulacije'!$F$24</f>
        <v>NARUČITELJ:</v>
      </c>
      <c r="G236" s="780"/>
      <c r="M236" s="3" t="str">
        <f>'Obrazac kalkulacije'!$C$24</f>
        <v>IZVODITELJ:</v>
      </c>
      <c r="P236" s="780" t="str">
        <f>'Obrazac kalkulacije'!$F$24</f>
        <v>NARUČITELJ:</v>
      </c>
      <c r="Q236" s="780"/>
    </row>
    <row r="237" spans="1:17" ht="25.15" customHeight="1">
      <c r="C237" s="3" t="str">
        <f>'Obrazac kalkulacije'!$C$25</f>
        <v>__________________</v>
      </c>
      <c r="F237" s="780" t="str">
        <f>'Obrazac kalkulacije'!$F$25</f>
        <v>___________________</v>
      </c>
      <c r="G237" s="780"/>
      <c r="M237" s="3" t="str">
        <f>'Obrazac kalkulacije'!$C$25</f>
        <v>__________________</v>
      </c>
      <c r="P237" s="780" t="str">
        <f>'Obrazac kalkulacije'!$F$25</f>
        <v>___________________</v>
      </c>
      <c r="Q237" s="780"/>
    </row>
    <row r="238" spans="1:17" ht="15" customHeight="1">
      <c r="F238" s="780"/>
      <c r="G238" s="780"/>
      <c r="P238" s="780"/>
      <c r="Q238" s="780"/>
    </row>
    <row r="239" spans="1:17" ht="15" customHeight="1"/>
    <row r="240" spans="1:17" ht="15" customHeight="1">
      <c r="A240" s="115"/>
      <c r="B240" s="116"/>
      <c r="C240" s="796"/>
      <c r="D240" s="796"/>
      <c r="E240" s="796"/>
      <c r="F240" s="796"/>
      <c r="G240" s="796"/>
      <c r="K240" s="115"/>
      <c r="L240" s="116" t="s">
        <v>17</v>
      </c>
      <c r="M240" s="796" t="s">
        <v>18</v>
      </c>
      <c r="N240" s="796"/>
      <c r="O240" s="796"/>
      <c r="P240" s="796"/>
      <c r="Q240" s="796"/>
    </row>
    <row r="241" spans="1:17" ht="15" customHeight="1">
      <c r="A241" s="31"/>
      <c r="B241" s="32"/>
      <c r="C241" s="794"/>
      <c r="D241" s="794"/>
      <c r="E241" s="794"/>
      <c r="F241" s="794"/>
      <c r="G241" s="794"/>
      <c r="K241" s="31"/>
      <c r="L241" s="32" t="s">
        <v>22</v>
      </c>
      <c r="M241" s="794" t="s">
        <v>23</v>
      </c>
      <c r="N241" s="794"/>
      <c r="O241" s="794"/>
      <c r="P241" s="794"/>
      <c r="Q241" s="794"/>
    </row>
    <row r="242" spans="1:17" ht="15" customHeight="1">
      <c r="A242" s="41"/>
      <c r="B242" s="42"/>
      <c r="C242" s="668"/>
      <c r="D242" s="668"/>
      <c r="E242" s="668"/>
      <c r="F242" s="209"/>
      <c r="G242" s="668"/>
      <c r="K242" s="41"/>
      <c r="L242" s="42" t="s">
        <v>24</v>
      </c>
      <c r="M242" s="668" t="s">
        <v>25</v>
      </c>
      <c r="N242" s="668"/>
      <c r="O242" s="668"/>
      <c r="P242" s="209"/>
      <c r="Q242" s="668"/>
    </row>
    <row r="243" spans="1:17" ht="78.75" customHeight="1">
      <c r="A243" s="33"/>
      <c r="B243" s="443"/>
      <c r="C243" s="792" t="s">
        <v>1009</v>
      </c>
      <c r="D243" s="792"/>
      <c r="E243" s="792"/>
      <c r="F243" s="792"/>
      <c r="G243" s="792"/>
      <c r="K243" s="33"/>
      <c r="L243" s="34" t="s">
        <v>31</v>
      </c>
      <c r="M243" s="795" t="s">
        <v>158</v>
      </c>
      <c r="N243" s="795"/>
      <c r="O243" s="795"/>
      <c r="P243" s="795"/>
      <c r="Q243" s="795"/>
    </row>
    <row r="244" spans="1:17" ht="15" customHeight="1" thickBot="1"/>
    <row r="245" spans="1:17" ht="30" customHeight="1" thickTop="1" thickBot="1">
      <c r="A245" s="663"/>
      <c r="B245" s="797" t="str">
        <f>'Obrazac kalkulacije'!$B$6:$C$6</f>
        <v>Opis</v>
      </c>
      <c r="C245" s="797"/>
      <c r="D245" s="663" t="str">
        <f>'Obrazac kalkulacije'!$D$6</f>
        <v>Jed.
mjere</v>
      </c>
      <c r="E245" s="663" t="str">
        <f>'Obrazac kalkulacije'!$E$6</f>
        <v>Normativ</v>
      </c>
      <c r="F245" s="663" t="str">
        <f>'Obrazac kalkulacije'!$F$6</f>
        <v>Jed.
cijena</v>
      </c>
      <c r="G245" s="663" t="str">
        <f>'Obrazac kalkulacije'!$G$6</f>
        <v>Iznos</v>
      </c>
      <c r="K245" s="663"/>
      <c r="L245" s="797" t="e">
        <f>'Obrazac kalkulacije'!$B$6:$C$6</f>
        <v>#VALUE!</v>
      </c>
      <c r="M245" s="797"/>
      <c r="N245" s="663" t="str">
        <f>'Obrazac kalkulacije'!$D$6</f>
        <v>Jed.
mjere</v>
      </c>
      <c r="O245" s="663" t="str">
        <f>'Obrazac kalkulacije'!$E$6</f>
        <v>Normativ</v>
      </c>
      <c r="P245" s="663" t="str">
        <f>'Obrazac kalkulacije'!$F$6</f>
        <v>Jed.
cijena</v>
      </c>
      <c r="Q245" s="663" t="str">
        <f>'Obrazac kalkulacije'!$G$6</f>
        <v>Iznos</v>
      </c>
    </row>
    <row r="246" spans="1:17" ht="4.5" customHeight="1" thickTop="1">
      <c r="B246" s="35"/>
      <c r="C246" s="1"/>
      <c r="D246" s="9"/>
      <c r="E246" s="11"/>
      <c r="F246" s="205"/>
      <c r="G246" s="13"/>
      <c r="L246" s="35"/>
      <c r="M246" s="1"/>
      <c r="N246" s="9"/>
      <c r="O246" s="11"/>
      <c r="P246" s="205"/>
      <c r="Q246" s="13"/>
    </row>
    <row r="247" spans="1:17" ht="25.15" customHeight="1">
      <c r="A247" s="656"/>
      <c r="B247" s="784" t="str">
        <f>'Obrazac kalkulacije'!$B$8</f>
        <v>Radna snaga:</v>
      </c>
      <c r="C247" s="784"/>
      <c r="D247" s="656"/>
      <c r="E247" s="656"/>
      <c r="F247" s="206"/>
      <c r="G247" s="16">
        <f>SUM(G248:G250)</f>
        <v>108.220569496</v>
      </c>
      <c r="K247" s="656"/>
      <c r="L247" s="784" t="str">
        <f>'Obrazac kalkulacije'!$B$8</f>
        <v>Radna snaga:</v>
      </c>
      <c r="M247" s="784"/>
      <c r="N247" s="656"/>
      <c r="O247" s="656"/>
      <c r="P247" s="206"/>
      <c r="Q247" s="16">
        <f>SUM(Q250:Q250)</f>
        <v>225.42870253000001</v>
      </c>
    </row>
    <row r="248" spans="1:17" ht="25.15" customHeight="1">
      <c r="A248" s="692"/>
      <c r="B248" s="788" t="s">
        <v>819</v>
      </c>
      <c r="C248" s="788"/>
      <c r="D248" s="693" t="s">
        <v>15</v>
      </c>
      <c r="E248" s="694">
        <v>0.55555500000000002</v>
      </c>
      <c r="F248" s="676">
        <f>SUMIF('Cjenik RS'!$C$11:$C$26,kalkulacija!B248,'Cjenik RS'!$D$11:$D$26)</f>
        <v>128.44999999999999</v>
      </c>
      <c r="G248" s="677">
        <f>+F248*E248</f>
        <v>71.361039750000003</v>
      </c>
      <c r="I248" s="3">
        <v>2.5999999999999999E-2</v>
      </c>
      <c r="K248" s="656"/>
      <c r="L248" s="661"/>
      <c r="M248" s="661"/>
      <c r="N248" s="84"/>
      <c r="O248" s="84"/>
      <c r="P248" s="206"/>
      <c r="Q248" s="75"/>
    </row>
    <row r="249" spans="1:17" ht="25.15" customHeight="1">
      <c r="A249" s="686"/>
      <c r="B249" s="789" t="s">
        <v>875</v>
      </c>
      <c r="C249" s="789"/>
      <c r="D249" s="678" t="s">
        <v>15</v>
      </c>
      <c r="E249" s="695">
        <v>0.3333333</v>
      </c>
      <c r="F249" s="680">
        <f>SUMIF('Cjenik RS'!$C$11:$C$26,kalkulacija!B249,'Cjenik RS'!$D$11:$D$26)</f>
        <v>107.62</v>
      </c>
      <c r="G249" s="681">
        <f>+F249*E249</f>
        <v>35.873329746000003</v>
      </c>
      <c r="I249" s="3">
        <v>3.5000000000000003E-2</v>
      </c>
      <c r="K249" s="656"/>
      <c r="L249" s="661"/>
      <c r="M249" s="661"/>
      <c r="N249" s="84"/>
      <c r="O249" s="84"/>
      <c r="P249" s="206"/>
      <c r="Q249" s="75"/>
    </row>
    <row r="250" spans="1:17" ht="25.15" customHeight="1">
      <c r="A250" s="696"/>
      <c r="B250" s="790" t="s">
        <v>822</v>
      </c>
      <c r="C250" s="790"/>
      <c r="D250" s="697" t="s">
        <v>15</v>
      </c>
      <c r="E250" s="695">
        <v>0.02</v>
      </c>
      <c r="F250" s="680">
        <f>SUMIF('Cjenik RS'!$C$11:$C$26,kalkulacija!B250,'Cjenik RS'!$D$11:$D$26)</f>
        <v>49.31</v>
      </c>
      <c r="G250" s="681">
        <f>+F250*E250</f>
        <v>0.98620000000000008</v>
      </c>
      <c r="I250" s="3">
        <v>2.9000000000000001E-2</v>
      </c>
      <c r="K250" s="26"/>
      <c r="L250" s="791" t="s">
        <v>130</v>
      </c>
      <c r="M250" s="791"/>
      <c r="N250" s="27" t="s">
        <v>15</v>
      </c>
      <c r="O250" s="28">
        <v>4.571663</v>
      </c>
      <c r="P250" s="203">
        <f>SUMIF('Cjenik RS'!$C$11:$C$26,$B250,'Cjenik RS'!$D$11:$D$88)</f>
        <v>49.31</v>
      </c>
      <c r="Q250" s="29">
        <f>+P250*O250</f>
        <v>225.42870253000001</v>
      </c>
    </row>
    <row r="251" spans="1:17" ht="25.15" customHeight="1">
      <c r="A251" s="656"/>
      <c r="B251" s="784" t="str">
        <f>'Obrazac kalkulacije'!$B$11</f>
        <v>Vozila, strojevi i oprema:</v>
      </c>
      <c r="C251" s="784"/>
      <c r="D251" s="656"/>
      <c r="E251" s="656"/>
      <c r="F251" s="203"/>
      <c r="G251" s="16">
        <f>SUM(G252:G254)</f>
        <v>2.0978400000000001</v>
      </c>
      <c r="I251" s="3">
        <f>SUM(I248:I250)</f>
        <v>0.09</v>
      </c>
      <c r="K251" s="656"/>
      <c r="L251" s="784" t="str">
        <f>'Obrazac kalkulacije'!$B$11</f>
        <v>Vozila, strojevi i oprema:</v>
      </c>
      <c r="M251" s="784"/>
      <c r="N251" s="656"/>
      <c r="O251" s="656"/>
      <c r="P251" s="203"/>
      <c r="Q251" s="16">
        <f>SUM(Q252:Q254)</f>
        <v>344.37690809999998</v>
      </c>
    </row>
    <row r="252" spans="1:17" ht="25.15" customHeight="1">
      <c r="A252" s="44"/>
      <c r="B252" s="781" t="s">
        <v>477</v>
      </c>
      <c r="C252" s="782"/>
      <c r="D252" s="693" t="s">
        <v>15</v>
      </c>
      <c r="E252" s="675">
        <v>8.0000000000000002E-3</v>
      </c>
      <c r="F252" s="676">
        <f>SUMIF('Cjenik VSO (pomoćna) (2)'!$B$9:$B$26,kalkulacija!B252,'Cjenik VSO (pomoćna) (2)'!$C$9:$C$26)</f>
        <v>262.23</v>
      </c>
      <c r="G252" s="677">
        <f>E252*F252</f>
        <v>2.0978400000000001</v>
      </c>
      <c r="K252" s="44"/>
      <c r="L252" s="773" t="s">
        <v>138</v>
      </c>
      <c r="M252" s="773"/>
      <c r="N252" s="666" t="s">
        <v>15</v>
      </c>
      <c r="O252" s="46">
        <v>2.1183299999999998</v>
      </c>
      <c r="P252" s="200">
        <f>SUMIF('Cjenik VSO'!$B$9:$B$85,$B252,'Cjenik VSO'!$C$9:$C$85)</f>
        <v>162.57</v>
      </c>
      <c r="Q252" s="48">
        <f>O252*P252</f>
        <v>344.37690809999998</v>
      </c>
    </row>
    <row r="253" spans="1:17" ht="25.15" customHeight="1">
      <c r="A253" s="49"/>
      <c r="B253" s="783"/>
      <c r="C253" s="772"/>
      <c r="D253" s="678" t="s">
        <v>15</v>
      </c>
      <c r="E253" s="679"/>
      <c r="F253" s="680">
        <f>SUMIF('Cjenik VSO (pomoćna) (2)'!$B$9:$B$26,kalkulacija!B253,'Cjenik VSO (pomoćna) (2)'!$C$9:$C$26)</f>
        <v>0</v>
      </c>
      <c r="G253" s="681">
        <f>E253*F253</f>
        <v>0</v>
      </c>
      <c r="K253" s="49"/>
      <c r="L253" s="774" t="s">
        <v>139</v>
      </c>
      <c r="M253" s="774"/>
      <c r="N253" s="665" t="s">
        <v>15</v>
      </c>
      <c r="O253" s="51">
        <v>0.15</v>
      </c>
      <c r="P253" s="201">
        <f>SUMIF('Cjenik VSO'!$B$9:$B$85,$B253,'Cjenik VSO'!$C$9:$C$85)</f>
        <v>0</v>
      </c>
      <c r="Q253" s="53">
        <f>O253*P253</f>
        <v>0</v>
      </c>
    </row>
    <row r="254" spans="1:17" ht="25.15" customHeight="1">
      <c r="A254" s="54"/>
      <c r="B254" s="785"/>
      <c r="C254" s="786"/>
      <c r="D254" s="682" t="s">
        <v>15</v>
      </c>
      <c r="E254" s="683"/>
      <c r="F254" s="684">
        <f>SUMIF('Cjenik VSO (pomoćna) (2)'!$B$9:$B$26,kalkulacija!B254,'Cjenik VSO (pomoćna) (2)'!$C$9:$C$26)</f>
        <v>0</v>
      </c>
      <c r="G254" s="685">
        <f>E254*F254</f>
        <v>0</v>
      </c>
      <c r="K254" s="54"/>
      <c r="L254" s="787" t="s">
        <v>140</v>
      </c>
      <c r="M254" s="787"/>
      <c r="N254" s="664" t="s">
        <v>15</v>
      </c>
      <c r="O254" s="56">
        <v>0.2</v>
      </c>
      <c r="P254" s="202">
        <f>SUMIF('Cjenik VSO'!$B$9:$B$85,$B254,'Cjenik VSO'!$C$9:$C$85)</f>
        <v>0</v>
      </c>
      <c r="Q254" s="58">
        <f>O254*P254</f>
        <v>0</v>
      </c>
    </row>
    <row r="255" spans="1:17" ht="25.15" customHeight="1">
      <c r="A255" s="656"/>
      <c r="B255" s="784" t="str">
        <f>'Obrazac kalkulacije'!$B$15</f>
        <v>Materijali:</v>
      </c>
      <c r="C255" s="784"/>
      <c r="D255" s="656"/>
      <c r="E255" s="656"/>
      <c r="F255" s="203"/>
      <c r="G255" s="16">
        <f>SUM(G256:G264)</f>
        <v>98.55</v>
      </c>
      <c r="K255" s="656"/>
      <c r="L255" s="784" t="str">
        <f>'Obrazac kalkulacije'!$B$15</f>
        <v>Materijali:</v>
      </c>
      <c r="M255" s="784"/>
      <c r="N255" s="656"/>
      <c r="O255" s="656"/>
      <c r="P255" s="203"/>
      <c r="Q255" s="16">
        <f>SUM(Q256:Q264)</f>
        <v>31.684799999999996</v>
      </c>
    </row>
    <row r="256" spans="1:17" ht="25.15" customHeight="1">
      <c r="A256" s="44"/>
      <c r="B256" s="781" t="s">
        <v>1004</v>
      </c>
      <c r="C256" s="782"/>
      <c r="D256" s="678" t="str">
        <f>INDEX('Cjenik M'!$C$11:$C$500, MATCH(1,INDEX(('Cjenik M'!$B$11:$B$500=kalkulacija!B256)*('Cjenik M'!$D$11:$D$500=kalkulacija!F256),,),0))</f>
        <v>kg</v>
      </c>
      <c r="E256" s="675">
        <v>0.3</v>
      </c>
      <c r="F256" s="676">
        <f>SUMIF('Cjenik M'!$B$11:$B$350,kalkulacija!B256,'Cjenik M'!$D$11:$D$350)</f>
        <v>4.82</v>
      </c>
      <c r="G256" s="677">
        <f>E256*F256</f>
        <v>1.446</v>
      </c>
      <c r="K256" s="44"/>
      <c r="L256" s="773" t="str">
        <f>'Cjenik M'!$B$16</f>
        <v xml:space="preserve">Cement 25 kg </v>
      </c>
      <c r="M256" s="773"/>
      <c r="N256" s="666" t="str">
        <f>'Cjenik M'!$C$16</f>
        <v>vreća</v>
      </c>
      <c r="O256" s="46">
        <v>0.5</v>
      </c>
      <c r="P256" s="200">
        <f>'Cjenik M'!$D$16</f>
        <v>18.36</v>
      </c>
      <c r="Q256" s="48">
        <f>O256*P256</f>
        <v>9.18</v>
      </c>
    </row>
    <row r="257" spans="1:17" ht="25.15" customHeight="1">
      <c r="A257" s="49"/>
      <c r="B257" s="783" t="s">
        <v>1007</v>
      </c>
      <c r="C257" s="772"/>
      <c r="D257" s="678" t="str">
        <f>INDEX('Cjenik M'!$C$11:$C$500, MATCH(1,INDEX(('Cjenik M'!$B$11:$B$500=kalkulacija!B257)*('Cjenik M'!$D$11:$D$500=kalkulacija!F257),,),0))</f>
        <v>m2</v>
      </c>
      <c r="E257" s="679">
        <v>1.02</v>
      </c>
      <c r="F257" s="680">
        <f>SUMIF('Cjenik M'!$B$11:$B$350,kalkulacija!B257,'Cjenik M'!$D$11:$D$350)</f>
        <v>95.2</v>
      </c>
      <c r="G257" s="681">
        <f>E257*F257</f>
        <v>97.103999999999999</v>
      </c>
      <c r="K257" s="49"/>
      <c r="L257" s="774" t="str">
        <f>'Cjenik M'!$B$14</f>
        <v>Zaštitna folija PVC 6*4 m</v>
      </c>
      <c r="M257" s="774"/>
      <c r="N257" s="665" t="str">
        <f>'Cjenik M'!$C$14</f>
        <v>kom.</v>
      </c>
      <c r="O257" s="51">
        <v>0.5</v>
      </c>
      <c r="P257" s="201">
        <f>'Cjenik M'!$D$14</f>
        <v>4.8</v>
      </c>
      <c r="Q257" s="53">
        <f>O257*P257</f>
        <v>2.4</v>
      </c>
    </row>
    <row r="258" spans="1:17" ht="25.15" customHeight="1">
      <c r="A258" s="686"/>
      <c r="B258" s="772"/>
      <c r="C258" s="772"/>
      <c r="D258" s="678">
        <f>INDEX('Cjenik M'!$C$11:$C$500, MATCH(1,INDEX(('Cjenik M'!$B$11:$B$500=kalkulacija!B258)*('Cjenik M'!$D$11:$D$500=kalkulacija!F258),,),0))</f>
        <v>0</v>
      </c>
      <c r="E258" s="679"/>
      <c r="F258" s="680">
        <f>SUMIF('Cjenik M'!$B$11:$B$350,kalkulacija!B258,'Cjenik M'!$D$11:$D$350)</f>
        <v>0</v>
      </c>
      <c r="G258" s="681">
        <f>E258*F258</f>
        <v>0</v>
      </c>
      <c r="K258" s="76"/>
      <c r="L258" s="654"/>
      <c r="M258" s="654"/>
      <c r="N258" s="71"/>
      <c r="O258" s="77"/>
      <c r="P258" s="213"/>
      <c r="Q258" s="73"/>
    </row>
    <row r="259" spans="1:17" ht="25.15" customHeight="1">
      <c r="A259" s="686"/>
      <c r="B259" s="772"/>
      <c r="C259" s="772"/>
      <c r="D259" s="678">
        <f>INDEX('Cjenik M'!$C$11:$C$500, MATCH(1,INDEX(('Cjenik M'!$B$11:$B$500=kalkulacija!B259)*('Cjenik M'!$D$11:$D$500=kalkulacija!F259),,),0))</f>
        <v>0</v>
      </c>
      <c r="E259" s="679"/>
      <c r="F259" s="680">
        <f>SUMIF('Cjenik M'!$B$11:$B$350,kalkulacija!B259,'Cjenik M'!$D$11:$D$350)</f>
        <v>0</v>
      </c>
      <c r="G259" s="681">
        <f>E259*F259</f>
        <v>0</v>
      </c>
      <c r="K259" s="44"/>
      <c r="L259" s="773" t="str">
        <f>'Cjenik M'!$B$16</f>
        <v xml:space="preserve">Cement 25 kg </v>
      </c>
      <c r="M259" s="773"/>
      <c r="N259" s="666" t="str">
        <f>'Cjenik M'!$C$16</f>
        <v>vreća</v>
      </c>
      <c r="O259" s="46">
        <v>0.5</v>
      </c>
      <c r="P259" s="200">
        <f>'Cjenik M'!$D$16</f>
        <v>18.36</v>
      </c>
      <c r="Q259" s="48">
        <f>O259*P259</f>
        <v>9.18</v>
      </c>
    </row>
    <row r="260" spans="1:17" ht="25.15" customHeight="1">
      <c r="A260" s="686"/>
      <c r="B260" s="772"/>
      <c r="C260" s="772"/>
      <c r="D260" s="678">
        <f>INDEX('Cjenik M'!$C$11:$C$500, MATCH(1,INDEX(('Cjenik M'!$B$11:$B$500=kalkulacija!B260)*('Cjenik M'!$D$11:$D$500=kalkulacija!F260),,),0))</f>
        <v>0</v>
      </c>
      <c r="E260" s="679"/>
      <c r="F260" s="680"/>
      <c r="G260" s="681">
        <f>E260*F260</f>
        <v>0</v>
      </c>
      <c r="K260" s="49"/>
      <c r="L260" s="774" t="str">
        <f>'Cjenik M'!$B$14</f>
        <v>Zaštitna folija PVC 6*4 m</v>
      </c>
      <c r="M260" s="774"/>
      <c r="N260" s="665" t="str">
        <f>'Cjenik M'!$C$14</f>
        <v>kom.</v>
      </c>
      <c r="O260" s="51">
        <v>0.5</v>
      </c>
      <c r="P260" s="201">
        <f>'Cjenik M'!$D$14</f>
        <v>4.8</v>
      </c>
      <c r="Q260" s="53">
        <f>O260*P260</f>
        <v>2.4</v>
      </c>
    </row>
    <row r="261" spans="1:17" ht="25.15" customHeight="1">
      <c r="A261" s="686"/>
      <c r="B261" s="772"/>
      <c r="C261" s="772"/>
      <c r="D261" s="678"/>
      <c r="E261" s="679"/>
      <c r="F261" s="680"/>
      <c r="G261" s="681"/>
      <c r="K261" s="76"/>
      <c r="L261" s="654"/>
      <c r="M261" s="654"/>
      <c r="N261" s="71"/>
      <c r="O261" s="77"/>
      <c r="P261" s="213"/>
      <c r="Q261" s="73"/>
    </row>
    <row r="262" spans="1:17" ht="25.15" customHeight="1">
      <c r="A262" s="686"/>
      <c r="B262" s="772"/>
      <c r="C262" s="772"/>
      <c r="D262" s="678"/>
      <c r="E262" s="679"/>
      <c r="F262" s="680">
        <f>SUMIF('Cjenik M'!$B$11:$B$350,kalkulacija!B262,'Cjenik M'!$D$11:$D$350)</f>
        <v>0</v>
      </c>
      <c r="G262" s="681">
        <f>E262*F262</f>
        <v>0</v>
      </c>
      <c r="K262" s="76"/>
      <c r="L262" s="654"/>
      <c r="M262" s="654"/>
      <c r="N262" s="71"/>
      <c r="O262" s="77"/>
      <c r="P262" s="213"/>
      <c r="Q262" s="73"/>
    </row>
    <row r="263" spans="1:17" ht="25.15" customHeight="1">
      <c r="A263" s="686"/>
      <c r="B263" s="772"/>
      <c r="C263" s="772"/>
      <c r="D263" s="678"/>
      <c r="E263" s="679"/>
      <c r="F263" s="680">
        <f>SUMIF('Cjenik M'!$B$11:$B$350,kalkulacija!B263,'Cjenik M'!$D$11:$D$350)</f>
        <v>0</v>
      </c>
      <c r="G263" s="681">
        <f>E263*F263</f>
        <v>0</v>
      </c>
      <c r="K263" s="76"/>
      <c r="L263" s="654"/>
      <c r="M263" s="654"/>
      <c r="N263" s="71"/>
      <c r="O263" s="77"/>
      <c r="P263" s="213"/>
      <c r="Q263" s="73"/>
    </row>
    <row r="264" spans="1:17" ht="25.15" customHeight="1" thickBot="1">
      <c r="A264" s="59"/>
      <c r="B264" s="775"/>
      <c r="C264" s="776"/>
      <c r="D264" s="688"/>
      <c r="E264" s="689"/>
      <c r="F264" s="691">
        <f>SUMIF('Cjenik M'!$B$11:$B$350,kalkulacija!B264,'Cjenik M'!$D$11:$D$350)</f>
        <v>0</v>
      </c>
      <c r="G264" s="690"/>
      <c r="K264" s="59"/>
      <c r="L264" s="777" t="str">
        <f>'Cjenik M'!$B$21</f>
        <v>PVC koljeno 40x90</v>
      </c>
      <c r="M264" s="777"/>
      <c r="N264" s="667" t="str">
        <f>'Cjenik M'!$C$21</f>
        <v>kom.</v>
      </c>
      <c r="O264" s="61">
        <v>3.33</v>
      </c>
      <c r="P264" s="208">
        <f>'Cjenik M'!$D$21</f>
        <v>2.56</v>
      </c>
      <c r="Q264" s="63">
        <f>O264*P264</f>
        <v>8.5248000000000008</v>
      </c>
    </row>
    <row r="265" spans="1:17" ht="25.15" customHeight="1" thickTop="1" thickBot="1">
      <c r="E265" s="778" t="str">
        <f>'Obrazac kalkulacije'!$E$18</f>
        <v>Ukupno (kn):</v>
      </c>
      <c r="F265" s="778"/>
      <c r="G265" s="64">
        <f>ROUND(SUM(G247+G251+G255),2)</f>
        <v>208.87</v>
      </c>
      <c r="H265" s="217"/>
      <c r="I265" s="602"/>
      <c r="J265" s="602"/>
      <c r="O265" s="778" t="str">
        <f>'Obrazac kalkulacije'!$E$18</f>
        <v>Ukupno (kn):</v>
      </c>
      <c r="P265" s="778"/>
      <c r="Q265" s="64">
        <f>ROUND(SUM(Q247+Q251+Q255),2)</f>
        <v>601.49</v>
      </c>
    </row>
    <row r="266" spans="1:17" ht="25.15" customHeight="1" thickTop="1" thickBot="1">
      <c r="E266" s="23" t="str">
        <f>'Obrazac kalkulacije'!$E$19</f>
        <v>PDV:</v>
      </c>
      <c r="F266" s="207">
        <f>'Obrazac kalkulacije'!$F$19</f>
        <v>0.25</v>
      </c>
      <c r="G266" s="24">
        <f>G265*F266</f>
        <v>52.217500000000001</v>
      </c>
      <c r="H266" s="446"/>
      <c r="I266" s="446"/>
      <c r="J266" s="446"/>
      <c r="O266" s="23" t="str">
        <f>'Obrazac kalkulacije'!$E$19</f>
        <v>PDV:</v>
      </c>
      <c r="P266" s="207">
        <f>'Obrazac kalkulacije'!$F$19</f>
        <v>0.25</v>
      </c>
      <c r="Q266" s="24">
        <f>Q265*P266</f>
        <v>150.3725</v>
      </c>
    </row>
    <row r="267" spans="1:17" ht="25.15" customHeight="1" thickTop="1" thickBot="1">
      <c r="E267" s="779" t="str">
        <f>'Obrazac kalkulacije'!$E$20</f>
        <v>Sveukupno (kn):</v>
      </c>
      <c r="F267" s="779"/>
      <c r="G267" s="24">
        <f>ROUND(SUM(G265:G266),2)</f>
        <v>261.08999999999997</v>
      </c>
      <c r="H267" s="447"/>
      <c r="I267" s="447"/>
      <c r="J267" s="447"/>
      <c r="O267" s="779" t="str">
        <f>'Obrazac kalkulacije'!$E$20</f>
        <v>Sveukupno (kn):</v>
      </c>
      <c r="P267" s="779"/>
      <c r="Q267" s="24">
        <f>ROUND(SUM(Q265:Q266),2)</f>
        <v>751.86</v>
      </c>
    </row>
    <row r="268" spans="1:17" ht="15" customHeight="1" thickTop="1"/>
    <row r="269" spans="1:17" ht="15" customHeight="1"/>
    <row r="270" spans="1:17" ht="15" customHeight="1">
      <c r="C270" s="3" t="str">
        <f>'Obrazac kalkulacije'!$C$24</f>
        <v>IZVODITELJ:</v>
      </c>
      <c r="F270" s="780" t="str">
        <f>'Obrazac kalkulacije'!$F$24</f>
        <v>NARUČITELJ:</v>
      </c>
      <c r="G270" s="780"/>
      <c r="M270" s="3" t="str">
        <f>'Obrazac kalkulacije'!$C$24</f>
        <v>IZVODITELJ:</v>
      </c>
      <c r="P270" s="780" t="str">
        <f>'Obrazac kalkulacije'!$F$24</f>
        <v>NARUČITELJ:</v>
      </c>
      <c r="Q270" s="780"/>
    </row>
    <row r="271" spans="1:17" ht="25.15" customHeight="1">
      <c r="C271" s="3" t="str">
        <f>'Obrazac kalkulacije'!$C$25</f>
        <v>__________________</v>
      </c>
      <c r="F271" s="780" t="str">
        <f>'Obrazac kalkulacije'!$F$25</f>
        <v>___________________</v>
      </c>
      <c r="G271" s="780"/>
      <c r="M271" s="3" t="str">
        <f>'Obrazac kalkulacije'!$C$25</f>
        <v>__________________</v>
      </c>
      <c r="P271" s="780" t="str">
        <f>'Obrazac kalkulacije'!$F$25</f>
        <v>___________________</v>
      </c>
      <c r="Q271" s="780"/>
    </row>
    <row r="272" spans="1:17" ht="15" customHeight="1">
      <c r="F272" s="780"/>
      <c r="G272" s="780"/>
      <c r="P272" s="780"/>
      <c r="Q272" s="780"/>
    </row>
    <row r="273" spans="1:17" ht="87" customHeight="1">
      <c r="A273" s="33"/>
      <c r="B273" s="443" t="s">
        <v>33</v>
      </c>
      <c r="C273" s="792"/>
      <c r="D273" s="792"/>
      <c r="E273" s="792"/>
      <c r="F273" s="792"/>
      <c r="G273" s="792"/>
      <c r="K273" s="33"/>
      <c r="L273" s="34" t="s">
        <v>33</v>
      </c>
      <c r="M273" s="795" t="s">
        <v>159</v>
      </c>
      <c r="N273" s="795"/>
      <c r="O273" s="795"/>
      <c r="P273" s="795"/>
      <c r="Q273" s="795"/>
    </row>
    <row r="274" spans="1:17" ht="15" customHeight="1"/>
    <row r="275" spans="1:17" ht="15" customHeight="1">
      <c r="A275" s="115"/>
      <c r="B275" s="116"/>
      <c r="C275" s="796"/>
      <c r="D275" s="796"/>
      <c r="E275" s="796"/>
      <c r="F275" s="796"/>
      <c r="G275" s="796"/>
      <c r="K275" s="115"/>
      <c r="L275" s="116" t="s">
        <v>17</v>
      </c>
      <c r="M275" s="796" t="s">
        <v>18</v>
      </c>
      <c r="N275" s="796"/>
      <c r="O275" s="796"/>
      <c r="P275" s="796"/>
      <c r="Q275" s="796"/>
    </row>
    <row r="276" spans="1:17" ht="15" customHeight="1">
      <c r="A276" s="31"/>
      <c r="B276" s="32"/>
      <c r="C276" s="794"/>
      <c r="D276" s="794"/>
      <c r="E276" s="794"/>
      <c r="F276" s="794"/>
      <c r="G276" s="794"/>
      <c r="K276" s="31"/>
      <c r="L276" s="32" t="s">
        <v>22</v>
      </c>
      <c r="M276" s="794" t="s">
        <v>23</v>
      </c>
      <c r="N276" s="794"/>
      <c r="O276" s="794"/>
      <c r="P276" s="794"/>
      <c r="Q276" s="794"/>
    </row>
    <row r="277" spans="1:17" ht="15" customHeight="1">
      <c r="A277" s="41"/>
      <c r="B277" s="42"/>
      <c r="C277" s="668"/>
      <c r="D277" s="668"/>
      <c r="E277" s="668"/>
      <c r="F277" s="209"/>
      <c r="G277" s="668"/>
      <c r="K277" s="41"/>
      <c r="L277" s="42" t="s">
        <v>24</v>
      </c>
      <c r="M277" s="668" t="s">
        <v>25</v>
      </c>
      <c r="N277" s="668"/>
      <c r="O277" s="668"/>
      <c r="P277" s="209"/>
      <c r="Q277" s="668"/>
    </row>
    <row r="278" spans="1:17" ht="150" customHeight="1">
      <c r="A278" s="33"/>
      <c r="B278" s="443"/>
      <c r="C278" s="792" t="s">
        <v>1008</v>
      </c>
      <c r="D278" s="792"/>
      <c r="E278" s="792"/>
      <c r="F278" s="792"/>
      <c r="G278" s="792"/>
      <c r="K278" s="33"/>
      <c r="L278" s="34" t="s">
        <v>34</v>
      </c>
      <c r="M278" s="795" t="s">
        <v>162</v>
      </c>
      <c r="N278" s="795"/>
      <c r="O278" s="795"/>
      <c r="P278" s="795"/>
      <c r="Q278" s="795"/>
    </row>
    <row r="279" spans="1:17" ht="15" customHeight="1" thickBot="1"/>
    <row r="280" spans="1:17" ht="30" customHeight="1" thickTop="1" thickBot="1">
      <c r="A280" s="8"/>
      <c r="B280" s="797" t="str">
        <f>'Obrazac kalkulacije'!$B$6:$C$6</f>
        <v>Opis</v>
      </c>
      <c r="C280" s="797"/>
      <c r="D280" s="8" t="str">
        <f>'Obrazac kalkulacije'!$D$6</f>
        <v>Jed.
mjere</v>
      </c>
      <c r="E280" s="8" t="str">
        <f>'Obrazac kalkulacije'!$E$6</f>
        <v>Normativ</v>
      </c>
      <c r="F280" s="8" t="str">
        <f>'Obrazac kalkulacije'!$F$6</f>
        <v>Jed.
cijena</v>
      </c>
      <c r="G280" s="8" t="str">
        <f>'Obrazac kalkulacije'!$G$6</f>
        <v>Iznos</v>
      </c>
      <c r="H280" s="3">
        <v>90</v>
      </c>
      <c r="K280" s="8"/>
      <c r="L280" s="793"/>
      <c r="M280" s="793"/>
      <c r="N280" s="8" t="str">
        <f>'Obrazac kalkulacije'!$D$6</f>
        <v>Jed.
mjere</v>
      </c>
      <c r="O280" s="8" t="str">
        <f>'Obrazac kalkulacije'!$E$6</f>
        <v>Normativ</v>
      </c>
      <c r="P280" s="8" t="str">
        <f>'Obrazac kalkulacije'!$F$6</f>
        <v>Jed.
cijena</v>
      </c>
      <c r="Q280" s="8" t="str">
        <f>'Obrazac kalkulacije'!$G$6</f>
        <v>Iznos</v>
      </c>
    </row>
    <row r="281" spans="1:17" ht="4.5" customHeight="1" thickTop="1">
      <c r="B281" s="35"/>
      <c r="C281" s="1"/>
      <c r="D281" s="9"/>
      <c r="E281" s="11"/>
      <c r="F281" s="205"/>
      <c r="G281" s="13"/>
      <c r="L281" s="35"/>
      <c r="M281" s="1"/>
      <c r="N281" s="9"/>
      <c r="O281" s="11"/>
      <c r="P281" s="205"/>
      <c r="Q281" s="13"/>
    </row>
    <row r="282" spans="1:17" ht="25.15" customHeight="1">
      <c r="A282" s="656"/>
      <c r="B282" s="784" t="str">
        <f>'Obrazac kalkulacije'!$B$8</f>
        <v>Radna snaga:</v>
      </c>
      <c r="C282" s="784"/>
      <c r="D282" s="656"/>
      <c r="E282" s="656"/>
      <c r="F282" s="206"/>
      <c r="G282" s="16">
        <f>SUM(G283:G285)</f>
        <v>104.92719999999998</v>
      </c>
      <c r="K282" s="656"/>
      <c r="L282" s="784" t="str">
        <f>'Obrazac kalkulacije'!$B$8</f>
        <v>Radna snaga:</v>
      </c>
      <c r="M282" s="784"/>
      <c r="N282" s="656"/>
      <c r="O282" s="656"/>
      <c r="P282" s="206"/>
      <c r="Q282" s="16">
        <f>SUM(Q285:Q285)</f>
        <v>225.42870253000001</v>
      </c>
    </row>
    <row r="283" spans="1:17" ht="25.15" customHeight="1">
      <c r="A283" s="692"/>
      <c r="B283" s="788" t="s">
        <v>819</v>
      </c>
      <c r="C283" s="788"/>
      <c r="D283" s="693" t="s">
        <v>15</v>
      </c>
      <c r="E283" s="694">
        <v>0.7</v>
      </c>
      <c r="F283" s="676">
        <f>SUMIF('Cjenik RS'!$C$11:$C$26,kalkulacija!B283,'Cjenik RS'!$D$11:$D$26)</f>
        <v>128.44999999999999</v>
      </c>
      <c r="G283" s="677">
        <f>+F283*E283</f>
        <v>89.914999999999992</v>
      </c>
      <c r="I283" s="3">
        <v>2.5999999999999999E-2</v>
      </c>
      <c r="K283" s="656"/>
      <c r="L283" s="661"/>
      <c r="M283" s="661"/>
      <c r="N283" s="84"/>
      <c r="O283" s="84"/>
      <c r="P283" s="206"/>
      <c r="Q283" s="75"/>
    </row>
    <row r="284" spans="1:17" ht="25.15" customHeight="1">
      <c r="A284" s="686"/>
      <c r="B284" s="789" t="s">
        <v>821</v>
      </c>
      <c r="C284" s="789"/>
      <c r="D284" s="678" t="s">
        <v>15</v>
      </c>
      <c r="E284" s="695">
        <v>0.1</v>
      </c>
      <c r="F284" s="680">
        <f>SUMIF('Cjenik RS'!$C$11:$C$26,kalkulacija!B284,'Cjenik RS'!$D$11:$D$26)</f>
        <v>140.26</v>
      </c>
      <c r="G284" s="681">
        <f>+F284*E284</f>
        <v>14.026</v>
      </c>
      <c r="I284" s="3">
        <v>3.5000000000000003E-2</v>
      </c>
      <c r="K284" s="656"/>
      <c r="L284" s="661"/>
      <c r="M284" s="661"/>
      <c r="N284" s="84"/>
      <c r="O284" s="84"/>
      <c r="P284" s="206"/>
      <c r="Q284" s="75"/>
    </row>
    <row r="285" spans="1:17" ht="25.15" customHeight="1">
      <c r="A285" s="696"/>
      <c r="B285" s="790" t="s">
        <v>822</v>
      </c>
      <c r="C285" s="790"/>
      <c r="D285" s="697" t="s">
        <v>15</v>
      </c>
      <c r="E285" s="695">
        <v>0.02</v>
      </c>
      <c r="F285" s="680">
        <f>SUMIF('Cjenik RS'!$C$11:$C$26,kalkulacija!B285,'Cjenik RS'!$D$11:$D$26)</f>
        <v>49.31</v>
      </c>
      <c r="G285" s="681">
        <f>+F285*E285</f>
        <v>0.98620000000000008</v>
      </c>
      <c r="I285" s="3">
        <v>2.9000000000000001E-2</v>
      </c>
      <c r="K285" s="26"/>
      <c r="L285" s="791" t="s">
        <v>130</v>
      </c>
      <c r="M285" s="791"/>
      <c r="N285" s="27" t="s">
        <v>15</v>
      </c>
      <c r="O285" s="28">
        <v>4.571663</v>
      </c>
      <c r="P285" s="203">
        <f>SUMIF('Cjenik RS'!$C$11:$C$26,$B285,'Cjenik RS'!$D$11:$D$88)</f>
        <v>49.31</v>
      </c>
      <c r="Q285" s="29">
        <f>+P285*O285</f>
        <v>225.42870253000001</v>
      </c>
    </row>
    <row r="286" spans="1:17" ht="25.15" customHeight="1">
      <c r="A286" s="656"/>
      <c r="B286" s="784" t="str">
        <f>'Obrazac kalkulacije'!$B$11</f>
        <v>Vozila, strojevi i oprema:</v>
      </c>
      <c r="C286" s="784"/>
      <c r="D286" s="656"/>
      <c r="E286" s="656"/>
      <c r="F286" s="203"/>
      <c r="G286" s="16">
        <f>SUM(G287:G289)</f>
        <v>2.0978400000000001</v>
      </c>
      <c r="I286" s="3">
        <f>SUM(I283:I285)</f>
        <v>0.09</v>
      </c>
      <c r="K286" s="656"/>
      <c r="L286" s="784" t="str">
        <f>'Obrazac kalkulacije'!$B$11</f>
        <v>Vozila, strojevi i oprema:</v>
      </c>
      <c r="M286" s="784"/>
      <c r="N286" s="656"/>
      <c r="O286" s="656"/>
      <c r="P286" s="203"/>
      <c r="Q286" s="16">
        <f>SUM(Q287:Q289)</f>
        <v>344.37690809999998</v>
      </c>
    </row>
    <row r="287" spans="1:17" ht="25.15" customHeight="1">
      <c r="A287" s="44"/>
      <c r="B287" s="781" t="s">
        <v>477</v>
      </c>
      <c r="C287" s="782"/>
      <c r="D287" s="693" t="s">
        <v>15</v>
      </c>
      <c r="E287" s="675">
        <v>8.0000000000000002E-3</v>
      </c>
      <c r="F287" s="676">
        <f>SUMIF('Cjenik VSO (pomoćna) (2)'!$B$9:$B$26,kalkulacija!B287,'Cjenik VSO (pomoćna) (2)'!$C$9:$C$26)</f>
        <v>262.23</v>
      </c>
      <c r="G287" s="677">
        <f>E287*F287</f>
        <v>2.0978400000000001</v>
      </c>
      <c r="K287" s="44"/>
      <c r="L287" s="773" t="s">
        <v>138</v>
      </c>
      <c r="M287" s="773"/>
      <c r="N287" s="666" t="s">
        <v>15</v>
      </c>
      <c r="O287" s="46">
        <v>2.1183299999999998</v>
      </c>
      <c r="P287" s="200">
        <f>SUMIF('Cjenik VSO'!$B$9:$B$85,$B287,'Cjenik VSO'!$C$9:$C$85)</f>
        <v>162.57</v>
      </c>
      <c r="Q287" s="48">
        <f>O287*P287</f>
        <v>344.37690809999998</v>
      </c>
    </row>
    <row r="288" spans="1:17" ht="25.15" customHeight="1">
      <c r="A288" s="49"/>
      <c r="B288" s="783"/>
      <c r="C288" s="772"/>
      <c r="D288" s="678" t="s">
        <v>15</v>
      </c>
      <c r="E288" s="679"/>
      <c r="F288" s="680">
        <f>SUMIF('Cjenik VSO (pomoćna) (2)'!$B$9:$B$26,kalkulacija!B288,'Cjenik VSO (pomoćna) (2)'!$C$9:$C$26)</f>
        <v>0</v>
      </c>
      <c r="G288" s="681">
        <f>E288*F288</f>
        <v>0</v>
      </c>
      <c r="K288" s="49"/>
      <c r="L288" s="774" t="s">
        <v>139</v>
      </c>
      <c r="M288" s="774"/>
      <c r="N288" s="665" t="s">
        <v>15</v>
      </c>
      <c r="O288" s="51">
        <v>0.15</v>
      </c>
      <c r="P288" s="201">
        <f>SUMIF('Cjenik VSO'!$B$9:$B$85,$B288,'Cjenik VSO'!$C$9:$C$85)</f>
        <v>0</v>
      </c>
      <c r="Q288" s="53">
        <f>O288*P288</f>
        <v>0</v>
      </c>
    </row>
    <row r="289" spans="1:17" ht="25.15" customHeight="1">
      <c r="A289" s="54"/>
      <c r="B289" s="785"/>
      <c r="C289" s="786"/>
      <c r="D289" s="682" t="s">
        <v>15</v>
      </c>
      <c r="E289" s="683"/>
      <c r="F289" s="684">
        <f>SUMIF('Cjenik VSO (pomoćna) (2)'!$B$9:$B$26,kalkulacija!B289,'Cjenik VSO (pomoćna) (2)'!$C$9:$C$26)</f>
        <v>0</v>
      </c>
      <c r="G289" s="685">
        <f>E289*F289</f>
        <v>0</v>
      </c>
      <c r="K289" s="54"/>
      <c r="L289" s="787" t="s">
        <v>140</v>
      </c>
      <c r="M289" s="787"/>
      <c r="N289" s="664" t="s">
        <v>15</v>
      </c>
      <c r="O289" s="56">
        <v>0.2</v>
      </c>
      <c r="P289" s="202">
        <f>SUMIF('Cjenik VSO'!$B$9:$B$85,$B289,'Cjenik VSO'!$C$9:$C$85)</f>
        <v>0</v>
      </c>
      <c r="Q289" s="58">
        <f>O289*P289</f>
        <v>0</v>
      </c>
    </row>
    <row r="290" spans="1:17" ht="25.15" customHeight="1">
      <c r="A290" s="656"/>
      <c r="B290" s="784" t="str">
        <f>'Obrazac kalkulacije'!$B$15</f>
        <v>Materijali:</v>
      </c>
      <c r="C290" s="784"/>
      <c r="D290" s="656"/>
      <c r="E290" s="656"/>
      <c r="F290" s="203"/>
      <c r="G290" s="16">
        <f>SUM(G291:G299)</f>
        <v>32.697301600000003</v>
      </c>
      <c r="K290" s="656"/>
      <c r="L290" s="784" t="str">
        <f>'Obrazac kalkulacije'!$B$15</f>
        <v>Materijali:</v>
      </c>
      <c r="M290" s="784"/>
      <c r="N290" s="656"/>
      <c r="O290" s="656"/>
      <c r="P290" s="203"/>
      <c r="Q290" s="16">
        <f>SUM(Q291:Q299)</f>
        <v>31.684799999999996</v>
      </c>
    </row>
    <row r="291" spans="1:17" ht="25.15" customHeight="1">
      <c r="A291" s="44"/>
      <c r="B291" s="781" t="s">
        <v>1004</v>
      </c>
      <c r="C291" s="782"/>
      <c r="D291" s="678" t="str">
        <f>INDEX('Cjenik M'!$C$11:$C$500, MATCH(1,INDEX(('Cjenik M'!$B$11:$B$500=kalkulacija!B291)*('Cjenik M'!$D$11:$D$500=kalkulacija!F291),,),0))</f>
        <v>kg</v>
      </c>
      <c r="E291" s="675">
        <v>0.2</v>
      </c>
      <c r="F291" s="676">
        <f>SUMIF('Cjenik M'!$B$11:$B$350,kalkulacija!B291,'Cjenik M'!$D$11:$D$350)</f>
        <v>4.82</v>
      </c>
      <c r="G291" s="677">
        <f>E291*F291</f>
        <v>0.96400000000000008</v>
      </c>
      <c r="K291" s="44"/>
      <c r="L291" s="773" t="str">
        <f>'Cjenik M'!$B$16</f>
        <v xml:space="preserve">Cement 25 kg </v>
      </c>
      <c r="M291" s="773"/>
      <c r="N291" s="666" t="str">
        <f>'Cjenik M'!$C$16</f>
        <v>vreća</v>
      </c>
      <c r="O291" s="46">
        <v>0.5</v>
      </c>
      <c r="P291" s="200">
        <f>'Cjenik M'!$D$16</f>
        <v>18.36</v>
      </c>
      <c r="Q291" s="48">
        <f>O291*P291</f>
        <v>9.18</v>
      </c>
    </row>
    <row r="292" spans="1:17" ht="25.15" customHeight="1">
      <c r="A292" s="49"/>
      <c r="B292" s="783" t="s">
        <v>1007</v>
      </c>
      <c r="C292" s="772"/>
      <c r="D292" s="678" t="str">
        <f>INDEX('Cjenik M'!$C$11:$C$500, MATCH(1,INDEX(('Cjenik M'!$B$11:$B$500=kalkulacija!B292)*('Cjenik M'!$D$11:$D$500=kalkulacija!F292),,),0))</f>
        <v>m2</v>
      </c>
      <c r="E292" s="679">
        <v>0.33333299999999999</v>
      </c>
      <c r="F292" s="680">
        <f>SUMIF('Cjenik M'!$B$11:$B$350,kalkulacija!B292,'Cjenik M'!$D$11:$D$350)</f>
        <v>95.2</v>
      </c>
      <c r="G292" s="681">
        <f>E292*F292</f>
        <v>31.733301600000001</v>
      </c>
      <c r="K292" s="49"/>
      <c r="L292" s="774" t="str">
        <f>'Cjenik M'!$B$14</f>
        <v>Zaštitna folija PVC 6*4 m</v>
      </c>
      <c r="M292" s="774"/>
      <c r="N292" s="665" t="str">
        <f>'Cjenik M'!$C$14</f>
        <v>kom.</v>
      </c>
      <c r="O292" s="51">
        <v>0.5</v>
      </c>
      <c r="P292" s="201">
        <f>'Cjenik M'!$D$14</f>
        <v>4.8</v>
      </c>
      <c r="Q292" s="53">
        <f>O292*P292</f>
        <v>2.4</v>
      </c>
    </row>
    <row r="293" spans="1:17" ht="25.15" customHeight="1">
      <c r="A293" s="686"/>
      <c r="B293" s="772"/>
      <c r="C293" s="772"/>
      <c r="D293" s="678">
        <f>INDEX('Cjenik M'!$C$11:$C$500, MATCH(1,INDEX(('Cjenik M'!$B$11:$B$500=kalkulacija!B293)*('Cjenik M'!$D$11:$D$500=kalkulacija!F293),,),0))</f>
        <v>0</v>
      </c>
      <c r="E293" s="679"/>
      <c r="F293" s="680">
        <f>SUMIF('Cjenik M'!$B$11:$B$350,kalkulacija!B293,'Cjenik M'!$D$11:$D$350)</f>
        <v>0</v>
      </c>
      <c r="G293" s="681">
        <f>E293*F293</f>
        <v>0</v>
      </c>
      <c r="K293" s="76"/>
      <c r="L293" s="654"/>
      <c r="M293" s="654"/>
      <c r="N293" s="71"/>
      <c r="O293" s="77"/>
      <c r="P293" s="213"/>
      <c r="Q293" s="73"/>
    </row>
    <row r="294" spans="1:17" ht="25.15" customHeight="1">
      <c r="A294" s="686"/>
      <c r="B294" s="772"/>
      <c r="C294" s="772"/>
      <c r="D294" s="678">
        <f>INDEX('Cjenik M'!$C$11:$C$500, MATCH(1,INDEX(('Cjenik M'!$B$11:$B$500=kalkulacija!B294)*('Cjenik M'!$D$11:$D$500=kalkulacija!F294),,),0))</f>
        <v>0</v>
      </c>
      <c r="E294" s="679"/>
      <c r="F294" s="680">
        <f>SUMIF('Cjenik M'!$B$11:$B$350,kalkulacija!B294,'Cjenik M'!$D$11:$D$350)</f>
        <v>0</v>
      </c>
      <c r="G294" s="681">
        <f>E294*F294</f>
        <v>0</v>
      </c>
      <c r="K294" s="44"/>
      <c r="L294" s="773" t="str">
        <f>'Cjenik M'!$B$16</f>
        <v xml:space="preserve">Cement 25 kg </v>
      </c>
      <c r="M294" s="773"/>
      <c r="N294" s="666" t="str">
        <f>'Cjenik M'!$C$16</f>
        <v>vreća</v>
      </c>
      <c r="O294" s="46">
        <v>0.5</v>
      </c>
      <c r="P294" s="200">
        <f>'Cjenik M'!$D$16</f>
        <v>18.36</v>
      </c>
      <c r="Q294" s="48">
        <f>O294*P294</f>
        <v>9.18</v>
      </c>
    </row>
    <row r="295" spans="1:17" ht="25.15" customHeight="1">
      <c r="A295" s="686"/>
      <c r="B295" s="772"/>
      <c r="C295" s="772"/>
      <c r="D295" s="678">
        <f>INDEX('Cjenik M'!$C$11:$C$500, MATCH(1,INDEX(('Cjenik M'!$B$11:$B$500=kalkulacija!B295)*('Cjenik M'!$D$11:$D$500=kalkulacija!F295),,),0))</f>
        <v>0</v>
      </c>
      <c r="E295" s="679"/>
      <c r="F295" s="680"/>
      <c r="G295" s="681">
        <f>E295*F295</f>
        <v>0</v>
      </c>
      <c r="K295" s="49"/>
      <c r="L295" s="774" t="str">
        <f>'Cjenik M'!$B$14</f>
        <v>Zaštitna folija PVC 6*4 m</v>
      </c>
      <c r="M295" s="774"/>
      <c r="N295" s="665" t="str">
        <f>'Cjenik M'!$C$14</f>
        <v>kom.</v>
      </c>
      <c r="O295" s="51">
        <v>0.5</v>
      </c>
      <c r="P295" s="201">
        <f>'Cjenik M'!$D$14</f>
        <v>4.8</v>
      </c>
      <c r="Q295" s="53">
        <f>O295*P295</f>
        <v>2.4</v>
      </c>
    </row>
    <row r="296" spans="1:17" ht="25.15" customHeight="1">
      <c r="A296" s="686"/>
      <c r="B296" s="772"/>
      <c r="C296" s="772"/>
      <c r="D296" s="678"/>
      <c r="E296" s="679"/>
      <c r="F296" s="680"/>
      <c r="G296" s="681"/>
      <c r="K296" s="76"/>
      <c r="L296" s="654"/>
      <c r="M296" s="654"/>
      <c r="N296" s="71"/>
      <c r="O296" s="77"/>
      <c r="P296" s="213"/>
      <c r="Q296" s="73"/>
    </row>
    <row r="297" spans="1:17" ht="25.15" customHeight="1">
      <c r="A297" s="686"/>
      <c r="B297" s="772"/>
      <c r="C297" s="772"/>
      <c r="D297" s="678"/>
      <c r="E297" s="679"/>
      <c r="F297" s="680">
        <f>SUMIF('Cjenik M'!$B$11:$B$350,kalkulacija!B297,'Cjenik M'!$D$11:$D$350)</f>
        <v>0</v>
      </c>
      <c r="G297" s="681">
        <f>E297*F297</f>
        <v>0</v>
      </c>
      <c r="K297" s="76"/>
      <c r="L297" s="654"/>
      <c r="M297" s="654"/>
      <c r="N297" s="71"/>
      <c r="O297" s="77"/>
      <c r="P297" s="213"/>
      <c r="Q297" s="73"/>
    </row>
    <row r="298" spans="1:17" ht="25.15" customHeight="1">
      <c r="A298" s="686"/>
      <c r="B298" s="772"/>
      <c r="C298" s="772"/>
      <c r="D298" s="678"/>
      <c r="E298" s="679"/>
      <c r="F298" s="680">
        <f>SUMIF('Cjenik M'!$B$11:$B$350,kalkulacija!B298,'Cjenik M'!$D$11:$D$350)</f>
        <v>0</v>
      </c>
      <c r="G298" s="681">
        <f>E298*F298</f>
        <v>0</v>
      </c>
      <c r="K298" s="76"/>
      <c r="L298" s="654"/>
      <c r="M298" s="654"/>
      <c r="N298" s="71"/>
      <c r="O298" s="77"/>
      <c r="P298" s="213"/>
      <c r="Q298" s="73"/>
    </row>
    <row r="299" spans="1:17" ht="25.15" customHeight="1" thickBot="1">
      <c r="A299" s="59"/>
      <c r="B299" s="775"/>
      <c r="C299" s="776"/>
      <c r="D299" s="688"/>
      <c r="E299" s="689"/>
      <c r="F299" s="691">
        <f>SUMIF('Cjenik M'!$B$11:$B$350,kalkulacija!B299,'Cjenik M'!$D$11:$D$350)</f>
        <v>0</v>
      </c>
      <c r="G299" s="690"/>
      <c r="K299" s="59"/>
      <c r="L299" s="777" t="str">
        <f>'Cjenik M'!$B$21</f>
        <v>PVC koljeno 40x90</v>
      </c>
      <c r="M299" s="777"/>
      <c r="N299" s="667" t="str">
        <f>'Cjenik M'!$C$21</f>
        <v>kom.</v>
      </c>
      <c r="O299" s="61">
        <v>3.33</v>
      </c>
      <c r="P299" s="208">
        <f>'Cjenik M'!$D$21</f>
        <v>2.56</v>
      </c>
      <c r="Q299" s="63">
        <f>O299*P299</f>
        <v>8.5248000000000008</v>
      </c>
    </row>
    <row r="300" spans="1:17" ht="25.15" customHeight="1" thickTop="1" thickBot="1">
      <c r="E300" s="778" t="str">
        <f>'Obrazac kalkulacije'!$E$18</f>
        <v>Ukupno (kn):</v>
      </c>
      <c r="F300" s="778"/>
      <c r="G300" s="64">
        <f>ROUND(SUM(G282+G286+G290),2)</f>
        <v>139.72</v>
      </c>
      <c r="H300" s="217"/>
      <c r="I300" s="602"/>
      <c r="J300" s="602"/>
      <c r="O300" s="778" t="str">
        <f>'Obrazac kalkulacije'!$E$18</f>
        <v>Ukupno (kn):</v>
      </c>
      <c r="P300" s="778"/>
      <c r="Q300" s="64">
        <f>ROUND(SUM(Q282+Q286+Q290),2)</f>
        <v>601.49</v>
      </c>
    </row>
    <row r="301" spans="1:17" ht="25.15" customHeight="1" thickTop="1" thickBot="1">
      <c r="E301" s="23" t="str">
        <f>'Obrazac kalkulacije'!$E$19</f>
        <v>PDV:</v>
      </c>
      <c r="F301" s="207">
        <f>'Obrazac kalkulacije'!$F$19</f>
        <v>0.25</v>
      </c>
      <c r="G301" s="24">
        <f>G300*F301</f>
        <v>34.93</v>
      </c>
      <c r="H301" s="446"/>
      <c r="I301" s="446"/>
      <c r="J301" s="446"/>
      <c r="O301" s="23" t="str">
        <f>'Obrazac kalkulacije'!$E$19</f>
        <v>PDV:</v>
      </c>
      <c r="P301" s="207">
        <f>'Obrazac kalkulacije'!$F$19</f>
        <v>0.25</v>
      </c>
      <c r="Q301" s="24">
        <f>Q300*P301</f>
        <v>150.3725</v>
      </c>
    </row>
    <row r="302" spans="1:17" ht="25.15" customHeight="1" thickTop="1" thickBot="1">
      <c r="E302" s="779" t="str">
        <f>'Obrazac kalkulacije'!$E$20</f>
        <v>Sveukupno (kn):</v>
      </c>
      <c r="F302" s="779"/>
      <c r="G302" s="24">
        <f>ROUND(SUM(G300:G301),2)</f>
        <v>174.65</v>
      </c>
      <c r="H302" s="447"/>
      <c r="I302" s="447"/>
      <c r="J302" s="447"/>
      <c r="O302" s="779" t="str">
        <f>'Obrazac kalkulacije'!$E$20</f>
        <v>Sveukupno (kn):</v>
      </c>
      <c r="P302" s="779"/>
      <c r="Q302" s="24">
        <f>ROUND(SUM(Q300:Q301),2)</f>
        <v>751.86</v>
      </c>
    </row>
    <row r="303" spans="1:17" ht="15" customHeight="1" thickTop="1"/>
    <row r="304" spans="1:17" ht="15" customHeight="1"/>
    <row r="305" spans="1:29" ht="15" customHeight="1">
      <c r="C305" s="3" t="str">
        <f>'Obrazac kalkulacije'!$C$24</f>
        <v>IZVODITELJ:</v>
      </c>
      <c r="F305" s="780" t="str">
        <f>'Obrazac kalkulacije'!$F$24</f>
        <v>NARUČITELJ:</v>
      </c>
      <c r="G305" s="780"/>
      <c r="M305" s="3" t="str">
        <f>'Obrazac kalkulacije'!$C$24</f>
        <v>IZVODITELJ:</v>
      </c>
      <c r="P305" s="780" t="str">
        <f>'Obrazac kalkulacije'!$F$24</f>
        <v>NARUČITELJ:</v>
      </c>
      <c r="Q305" s="780"/>
    </row>
    <row r="306" spans="1:29" ht="25.15" customHeight="1">
      <c r="C306" s="3" t="str">
        <f>'Obrazac kalkulacije'!$C$25</f>
        <v>__________________</v>
      </c>
      <c r="F306" s="780" t="str">
        <f>'Obrazac kalkulacije'!$F$25</f>
        <v>___________________</v>
      </c>
      <c r="G306" s="780"/>
      <c r="M306" s="3" t="str">
        <f>'Obrazac kalkulacije'!$C$25</f>
        <v>__________________</v>
      </c>
      <c r="P306" s="780" t="str">
        <f>'Obrazac kalkulacije'!$F$25</f>
        <v>___________________</v>
      </c>
      <c r="Q306" s="780"/>
    </row>
    <row r="307" spans="1:29" ht="15" customHeight="1">
      <c r="F307" s="780"/>
      <c r="G307" s="780"/>
      <c r="P307" s="780"/>
      <c r="Q307" s="780"/>
    </row>
    <row r="308" spans="1:29" ht="15" customHeight="1">
      <c r="F308" s="780"/>
      <c r="G308" s="780"/>
      <c r="P308" s="780"/>
      <c r="Q308" s="780"/>
    </row>
    <row r="309" spans="1:29" ht="15" customHeight="1">
      <c r="G309" s="25"/>
      <c r="Q309" s="25"/>
    </row>
    <row r="310" spans="1:29" ht="15" customHeight="1">
      <c r="A310" s="115"/>
      <c r="B310" s="116"/>
      <c r="C310" s="796"/>
      <c r="D310" s="796"/>
      <c r="E310" s="796"/>
      <c r="F310" s="796"/>
      <c r="G310" s="796"/>
      <c r="K310" s="115"/>
      <c r="L310" s="116"/>
      <c r="M310" s="796" t="s">
        <v>18</v>
      </c>
      <c r="N310" s="796"/>
      <c r="O310" s="796"/>
      <c r="P310" s="796"/>
      <c r="Q310" s="796"/>
    </row>
    <row r="311" spans="1:29" ht="15" customHeight="1">
      <c r="A311" s="31"/>
      <c r="B311" s="32"/>
      <c r="C311" s="794"/>
      <c r="D311" s="794"/>
      <c r="E311" s="794"/>
      <c r="F311" s="794"/>
      <c r="G311" s="794"/>
      <c r="K311" s="31"/>
      <c r="L311" s="32" t="s">
        <v>22</v>
      </c>
      <c r="M311" s="794" t="s">
        <v>23</v>
      </c>
      <c r="N311" s="794"/>
      <c r="O311" s="794"/>
      <c r="P311" s="794"/>
      <c r="Q311" s="794"/>
    </row>
    <row r="312" spans="1:29" ht="15" customHeight="1">
      <c r="A312" s="41"/>
      <c r="B312" s="42"/>
      <c r="C312" s="43"/>
      <c r="D312" s="43"/>
      <c r="E312" s="43"/>
      <c r="F312" s="209"/>
      <c r="G312" s="43"/>
      <c r="K312" s="41"/>
      <c r="L312" s="42" t="s">
        <v>35</v>
      </c>
      <c r="M312" s="43" t="s">
        <v>36</v>
      </c>
      <c r="N312" s="43"/>
      <c r="O312" s="43"/>
      <c r="P312" s="209"/>
      <c r="Q312" s="43"/>
    </row>
    <row r="313" spans="1:29" ht="102.6" customHeight="1">
      <c r="A313" s="33"/>
      <c r="B313" s="443"/>
      <c r="C313" s="792" t="s">
        <v>1049</v>
      </c>
      <c r="D313" s="792"/>
      <c r="E313" s="792"/>
      <c r="F313" s="792"/>
      <c r="G313" s="792"/>
      <c r="K313" s="33"/>
      <c r="L313" s="34" t="s">
        <v>37</v>
      </c>
      <c r="M313" s="795" t="s">
        <v>164</v>
      </c>
      <c r="N313" s="795"/>
      <c r="O313" s="795"/>
      <c r="P313" s="795"/>
      <c r="Q313" s="795"/>
    </row>
    <row r="314" spans="1:29" ht="15" customHeight="1" thickBot="1"/>
    <row r="315" spans="1:29" ht="30" customHeight="1" thickTop="1" thickBot="1">
      <c r="A315" s="8"/>
      <c r="B315" s="797" t="str">
        <f>'Obrazac kalkulacije'!$B$6:$C$6</f>
        <v>Opis</v>
      </c>
      <c r="C315" s="797"/>
      <c r="D315" s="8" t="str">
        <f>'Obrazac kalkulacije'!$D$6</f>
        <v>Jed.
mjere</v>
      </c>
      <c r="E315" s="8" t="str">
        <f>'Obrazac kalkulacije'!$E$6</f>
        <v>Normativ</v>
      </c>
      <c r="F315" s="8" t="str">
        <f>'Obrazac kalkulacije'!$F$6</f>
        <v>Jed.
cijena</v>
      </c>
      <c r="G315" s="8" t="str">
        <f>'Obrazac kalkulacije'!$G$6</f>
        <v>Iznos</v>
      </c>
      <c r="H315" s="3">
        <v>240</v>
      </c>
      <c r="K315" s="8"/>
      <c r="L315" s="797" t="e">
        <f>'Obrazac kalkulacije'!$B$6:$C$6</f>
        <v>#VALUE!</v>
      </c>
      <c r="M315" s="797"/>
      <c r="N315" s="8" t="str">
        <f>'Obrazac kalkulacije'!$D$6</f>
        <v>Jed.
mjere</v>
      </c>
      <c r="O315" s="8" t="str">
        <f>'Obrazac kalkulacije'!$E$6</f>
        <v>Normativ</v>
      </c>
      <c r="P315" s="8" t="str">
        <f>'Obrazac kalkulacije'!$F$6</f>
        <v>Jed.
cijena</v>
      </c>
      <c r="Q315" s="8" t="str">
        <f>'Obrazac kalkulacije'!$G$6</f>
        <v>Iznos</v>
      </c>
      <c r="V315" s="448"/>
      <c r="W315" s="813" t="e">
        <f>'Obrazac kalkulacije'!$B$6:$C$6</f>
        <v>#VALUE!</v>
      </c>
      <c r="X315" s="813"/>
      <c r="Y315" s="448" t="str">
        <f>'Obrazac kalkulacije'!$D$6</f>
        <v>Jed.
mjere</v>
      </c>
      <c r="Z315" s="448" t="str">
        <f>'Obrazac kalkulacije'!$E$6</f>
        <v>Normativ</v>
      </c>
      <c r="AA315" s="448" t="str">
        <f>'Obrazac kalkulacije'!$F$6</f>
        <v>Jed.
cijena</v>
      </c>
      <c r="AB315" s="448" t="str">
        <f>'Obrazac kalkulacije'!$G$6</f>
        <v>Iznos</v>
      </c>
      <c r="AC315" s="456">
        <v>250</v>
      </c>
    </row>
    <row r="316" spans="1:29" ht="4.5" customHeight="1" thickTop="1">
      <c r="B316" s="35"/>
      <c r="C316" s="1"/>
      <c r="D316" s="9"/>
      <c r="E316" s="11"/>
      <c r="F316" s="205"/>
      <c r="G316" s="13"/>
      <c r="L316" s="35"/>
      <c r="M316" s="1"/>
      <c r="N316" s="9"/>
      <c r="O316" s="11"/>
      <c r="P316" s="205"/>
      <c r="Q316" s="13"/>
      <c r="V316" s="450"/>
      <c r="W316" s="451"/>
      <c r="X316" s="450"/>
      <c r="Y316" s="452"/>
      <c r="Z316" s="453"/>
      <c r="AA316" s="454"/>
      <c r="AB316" s="455"/>
      <c r="AC316" s="449"/>
    </row>
    <row r="317" spans="1:29" ht="25.15" customHeight="1">
      <c r="A317" s="656"/>
      <c r="B317" s="784" t="str">
        <f>'Obrazac kalkulacije'!$B$8</f>
        <v>Radna snaga:</v>
      </c>
      <c r="C317" s="784"/>
      <c r="D317" s="656"/>
      <c r="E317" s="656"/>
      <c r="F317" s="206"/>
      <c r="G317" s="16">
        <f>SUM(G318:G320)</f>
        <v>125.33</v>
      </c>
      <c r="K317" s="656"/>
      <c r="L317" s="784" t="str">
        <f>'Obrazac kalkulacije'!$B$8</f>
        <v>Radna snaga:</v>
      </c>
      <c r="M317" s="784"/>
      <c r="N317" s="656"/>
      <c r="O317" s="656"/>
      <c r="P317" s="206"/>
      <c r="Q317" s="16">
        <f>SUM(Q320:Q320)</f>
        <v>0</v>
      </c>
    </row>
    <row r="318" spans="1:29" ht="25.15" customHeight="1">
      <c r="A318" s="692"/>
      <c r="B318" s="788" t="s">
        <v>818</v>
      </c>
      <c r="C318" s="788"/>
      <c r="D318" s="693" t="s">
        <v>15</v>
      </c>
      <c r="E318" s="694">
        <v>0.75</v>
      </c>
      <c r="F318" s="676">
        <f>SUMIF('Cjenik RS'!$C$11:$C$26,kalkulacija!B318,'Cjenik RS'!$D$11:$D$26)</f>
        <v>132.62</v>
      </c>
      <c r="G318" s="677">
        <f>+F318*E318</f>
        <v>99.465000000000003</v>
      </c>
      <c r="I318" s="3">
        <v>2.5999999999999999E-2</v>
      </c>
      <c r="K318" s="656"/>
      <c r="L318" s="702"/>
      <c r="M318" s="702"/>
      <c r="N318" s="84"/>
      <c r="O318" s="84"/>
      <c r="P318" s="206"/>
      <c r="Q318" s="75"/>
    </row>
    <row r="319" spans="1:29" ht="25.15" customHeight="1">
      <c r="A319" s="686"/>
      <c r="B319" s="789" t="s">
        <v>874</v>
      </c>
      <c r="C319" s="789"/>
      <c r="D319" s="678" t="s">
        <v>15</v>
      </c>
      <c r="E319" s="695">
        <v>0.25</v>
      </c>
      <c r="F319" s="680">
        <f>SUMIF('Cjenik RS'!$C$11:$C$26,kalkulacija!B319,'Cjenik RS'!$D$11:$D$26)</f>
        <v>103.46</v>
      </c>
      <c r="G319" s="681">
        <f>+F319*E319</f>
        <v>25.864999999999998</v>
      </c>
      <c r="I319" s="3">
        <v>3.5000000000000003E-2</v>
      </c>
      <c r="K319" s="656"/>
      <c r="L319" s="702"/>
      <c r="M319" s="702"/>
      <c r="N319" s="84"/>
      <c r="O319" s="84"/>
      <c r="P319" s="206"/>
      <c r="Q319" s="75"/>
    </row>
    <row r="320" spans="1:29" ht="25.15" customHeight="1">
      <c r="A320" s="696"/>
      <c r="B320" s="790"/>
      <c r="C320" s="790"/>
      <c r="D320" s="697" t="s">
        <v>15</v>
      </c>
      <c r="E320" s="695"/>
      <c r="F320" s="680">
        <f>SUMIF('Cjenik RS'!$C$11:$C$26,kalkulacija!B320,'Cjenik RS'!$D$11:$D$26)</f>
        <v>0</v>
      </c>
      <c r="G320" s="681">
        <f>+F320*E320</f>
        <v>0</v>
      </c>
      <c r="I320" s="3">
        <v>2.9000000000000001E-2</v>
      </c>
      <c r="K320" s="26"/>
      <c r="L320" s="791" t="s">
        <v>130</v>
      </c>
      <c r="M320" s="791"/>
      <c r="N320" s="27" t="s">
        <v>15</v>
      </c>
      <c r="O320" s="28">
        <v>4.571663</v>
      </c>
      <c r="P320" s="203">
        <f>SUMIF('Cjenik RS'!$C$11:$C$26,$B320,'Cjenik RS'!$D$11:$D$88)</f>
        <v>0</v>
      </c>
      <c r="Q320" s="29">
        <f>+P320*O320</f>
        <v>0</v>
      </c>
    </row>
    <row r="321" spans="1:17" ht="25.15" customHeight="1">
      <c r="A321" s="656"/>
      <c r="B321" s="784" t="str">
        <f>'Obrazac kalkulacije'!$B$11</f>
        <v>Vozila, strojevi i oprema:</v>
      </c>
      <c r="C321" s="784"/>
      <c r="D321" s="656"/>
      <c r="E321" s="656"/>
      <c r="F321" s="203"/>
      <c r="G321" s="16">
        <f>SUM(G322:G324)</f>
        <v>2.0978400000000001</v>
      </c>
      <c r="I321" s="3">
        <f>SUM(I318:I320)</f>
        <v>0.09</v>
      </c>
      <c r="K321" s="656"/>
      <c r="L321" s="784" t="str">
        <f>'Obrazac kalkulacije'!$B$11</f>
        <v>Vozila, strojevi i oprema:</v>
      </c>
      <c r="M321" s="784"/>
      <c r="N321" s="656"/>
      <c r="O321" s="656"/>
      <c r="P321" s="203"/>
      <c r="Q321" s="16">
        <f>SUM(Q322:Q324)</f>
        <v>344.37690809999998</v>
      </c>
    </row>
    <row r="322" spans="1:17" ht="25.15" customHeight="1">
      <c r="A322" s="44"/>
      <c r="B322" s="781" t="s">
        <v>477</v>
      </c>
      <c r="C322" s="782"/>
      <c r="D322" s="693" t="s">
        <v>15</v>
      </c>
      <c r="E322" s="675">
        <v>8.0000000000000002E-3</v>
      </c>
      <c r="F322" s="676">
        <f>SUMIF('Cjenik VSO (pomoćna) (2)'!$B$9:$B$26,kalkulacija!B322,'Cjenik VSO (pomoćna) (2)'!$C$9:$C$26)</f>
        <v>262.23</v>
      </c>
      <c r="G322" s="677">
        <f>E322*F322</f>
        <v>2.0978400000000001</v>
      </c>
      <c r="K322" s="44"/>
      <c r="L322" s="773" t="s">
        <v>138</v>
      </c>
      <c r="M322" s="773"/>
      <c r="N322" s="671" t="s">
        <v>15</v>
      </c>
      <c r="O322" s="46">
        <v>2.1183299999999998</v>
      </c>
      <c r="P322" s="200">
        <f>SUMIF('Cjenik VSO'!$B$9:$B$85,$B322,'Cjenik VSO'!$C$9:$C$85)</f>
        <v>162.57</v>
      </c>
      <c r="Q322" s="48">
        <f>O322*P322</f>
        <v>344.37690809999998</v>
      </c>
    </row>
    <row r="323" spans="1:17" ht="25.15" customHeight="1">
      <c r="A323" s="49"/>
      <c r="B323" s="783"/>
      <c r="C323" s="772"/>
      <c r="D323" s="678" t="s">
        <v>15</v>
      </c>
      <c r="E323" s="679"/>
      <c r="F323" s="680">
        <f>SUMIF('Cjenik VSO (pomoćna) (2)'!$B$9:$B$26,kalkulacija!B323,'Cjenik VSO (pomoćna) (2)'!$C$9:$C$26)</f>
        <v>0</v>
      </c>
      <c r="G323" s="681">
        <f>E323*F323</f>
        <v>0</v>
      </c>
      <c r="K323" s="49"/>
      <c r="L323" s="774" t="s">
        <v>139</v>
      </c>
      <c r="M323" s="774"/>
      <c r="N323" s="674" t="s">
        <v>15</v>
      </c>
      <c r="O323" s="51">
        <v>0.15</v>
      </c>
      <c r="P323" s="201">
        <f>SUMIF('Cjenik VSO'!$B$9:$B$85,$B323,'Cjenik VSO'!$C$9:$C$85)</f>
        <v>0</v>
      </c>
      <c r="Q323" s="53">
        <f>O323*P323</f>
        <v>0</v>
      </c>
    </row>
    <row r="324" spans="1:17" ht="25.15" customHeight="1">
      <c r="A324" s="54"/>
      <c r="B324" s="785"/>
      <c r="C324" s="786"/>
      <c r="D324" s="682" t="s">
        <v>15</v>
      </c>
      <c r="E324" s="683"/>
      <c r="F324" s="684">
        <f>SUMIF('Cjenik VSO (pomoćna) (2)'!$B$9:$B$26,kalkulacija!B324,'Cjenik VSO (pomoćna) (2)'!$C$9:$C$26)</f>
        <v>0</v>
      </c>
      <c r="G324" s="685">
        <f>E324*F324</f>
        <v>0</v>
      </c>
      <c r="K324" s="54"/>
      <c r="L324" s="787" t="s">
        <v>140</v>
      </c>
      <c r="M324" s="787"/>
      <c r="N324" s="673" t="s">
        <v>15</v>
      </c>
      <c r="O324" s="56">
        <v>0.2</v>
      </c>
      <c r="P324" s="202">
        <f>SUMIF('Cjenik VSO'!$B$9:$B$85,$B324,'Cjenik VSO'!$C$9:$C$85)</f>
        <v>0</v>
      </c>
      <c r="Q324" s="58">
        <f>O324*P324</f>
        <v>0</v>
      </c>
    </row>
    <row r="325" spans="1:17" ht="25.15" customHeight="1">
      <c r="A325" s="656"/>
      <c r="B325" s="784" t="str">
        <f>'Obrazac kalkulacije'!$B$15</f>
        <v>Materijali:</v>
      </c>
      <c r="C325" s="784"/>
      <c r="D325" s="656"/>
      <c r="E325" s="656"/>
      <c r="F325" s="203"/>
      <c r="G325" s="16">
        <f>SUM(G326:G335)</f>
        <v>336.19953613999996</v>
      </c>
      <c r="K325" s="656"/>
      <c r="L325" s="784" t="str">
        <f>'Obrazac kalkulacije'!$B$15</f>
        <v>Materijali:</v>
      </c>
      <c r="M325" s="784"/>
      <c r="N325" s="656"/>
      <c r="O325" s="656"/>
      <c r="P325" s="203"/>
      <c r="Q325" s="16">
        <f>SUM(Q326:Q335)</f>
        <v>40.864799999999995</v>
      </c>
    </row>
    <row r="326" spans="1:17" ht="25.15" customHeight="1">
      <c r="A326" s="44"/>
      <c r="B326" s="781" t="s">
        <v>1013</v>
      </c>
      <c r="C326" s="782"/>
      <c r="D326" s="678" t="str">
        <f>INDEX('Cjenik M'!$C$11:$C$500, MATCH(1,INDEX(('Cjenik M'!$B$11:$B$500=kalkulacija!B326)*('Cjenik M'!$D$11:$D$500=kalkulacija!F326),,),0))</f>
        <v>m2</v>
      </c>
      <c r="E326" s="675">
        <v>0.6</v>
      </c>
      <c r="F326" s="676">
        <f>SUMIF('Cjenik M'!$B$11:$B$350,kalkulacija!B326,'Cjenik M'!$D$11:$D$350)</f>
        <v>65.19</v>
      </c>
      <c r="G326" s="677">
        <f t="shared" ref="G326:G331" si="4">E326*F326</f>
        <v>39.113999999999997</v>
      </c>
      <c r="K326" s="44"/>
      <c r="L326" s="773" t="str">
        <f>'Cjenik M'!$B$16</f>
        <v xml:space="preserve">Cement 25 kg </v>
      </c>
      <c r="M326" s="773"/>
      <c r="N326" s="671" t="str">
        <f>'Cjenik M'!$C$16</f>
        <v>vreća</v>
      </c>
      <c r="O326" s="46">
        <v>0.5</v>
      </c>
      <c r="P326" s="200">
        <f>'Cjenik M'!$D$16</f>
        <v>18.36</v>
      </c>
      <c r="Q326" s="48">
        <f>O326*P326</f>
        <v>9.18</v>
      </c>
    </row>
    <row r="327" spans="1:17" ht="25.15" customHeight="1">
      <c r="A327" s="49"/>
      <c r="B327" s="783" t="s">
        <v>1018</v>
      </c>
      <c r="C327" s="772"/>
      <c r="D327" s="678" t="s">
        <v>1048</v>
      </c>
      <c r="E327" s="679">
        <v>0.6</v>
      </c>
      <c r="F327" s="680">
        <f>SUMIF('Cjenik M'!$B$11:$B$350,kalkulacija!B327,'Cjenik M'!$D$11:$D$350)</f>
        <v>78.03</v>
      </c>
      <c r="G327" s="681">
        <f t="shared" si="4"/>
        <v>46.817999999999998</v>
      </c>
      <c r="K327" s="49"/>
      <c r="L327" s="774" t="str">
        <f>'Cjenik M'!$B$14</f>
        <v>Zaštitna folija PVC 6*4 m</v>
      </c>
      <c r="M327" s="774"/>
      <c r="N327" s="674" t="str">
        <f>'Cjenik M'!$C$14</f>
        <v>kom.</v>
      </c>
      <c r="O327" s="51">
        <v>0.5</v>
      </c>
      <c r="P327" s="201">
        <f>'Cjenik M'!$D$14</f>
        <v>4.8</v>
      </c>
      <c r="Q327" s="53">
        <f>O327*P327</f>
        <v>2.4</v>
      </c>
    </row>
    <row r="328" spans="1:17" ht="25.15" customHeight="1">
      <c r="A328" s="686"/>
      <c r="B328" s="772" t="s">
        <v>1029</v>
      </c>
      <c r="C328" s="772"/>
      <c r="D328" s="678" t="s">
        <v>32</v>
      </c>
      <c r="E328" s="679">
        <v>0.33333299999999999</v>
      </c>
      <c r="F328" s="680">
        <f>SUMIF('Cjenik M'!$B$11:$B$350,kalkulacija!B328,'Cjenik M'!$D$11:$D$350)</f>
        <v>631.58000000000004</v>
      </c>
      <c r="G328" s="681">
        <f t="shared" si="4"/>
        <v>210.52645613999999</v>
      </c>
      <c r="K328" s="76"/>
      <c r="L328" s="654"/>
      <c r="M328" s="654"/>
      <c r="N328" s="71"/>
      <c r="O328" s="77"/>
      <c r="P328" s="213"/>
      <c r="Q328" s="73"/>
    </row>
    <row r="329" spans="1:17" ht="25.15" customHeight="1">
      <c r="A329" s="686"/>
      <c r="B329" s="772" t="s">
        <v>1031</v>
      </c>
      <c r="C329" s="772"/>
      <c r="D329" s="678" t="s">
        <v>32</v>
      </c>
      <c r="E329" s="679">
        <v>3.5999999999999997E-2</v>
      </c>
      <c r="F329" s="680">
        <f>SUMIF('Cjenik M'!$B$11:$B$350,kalkulacija!B329,'Cjenik M'!$D$11:$D$350)</f>
        <v>312.52999999999997</v>
      </c>
      <c r="G329" s="681">
        <f t="shared" si="4"/>
        <v>11.251079999999998</v>
      </c>
      <c r="K329" s="44"/>
      <c r="L329" s="773" t="str">
        <f>'Cjenik M'!$B$16</f>
        <v xml:space="preserve">Cement 25 kg </v>
      </c>
      <c r="M329" s="773"/>
      <c r="N329" s="671" t="str">
        <f>'Cjenik M'!$C$16</f>
        <v>vreća</v>
      </c>
      <c r="O329" s="46">
        <v>0.5</v>
      </c>
      <c r="P329" s="200">
        <f>'Cjenik M'!$D$16</f>
        <v>18.36</v>
      </c>
      <c r="Q329" s="48">
        <f>O329*P329</f>
        <v>9.18</v>
      </c>
    </row>
    <row r="330" spans="1:17" ht="25.15" customHeight="1">
      <c r="A330" s="686"/>
      <c r="B330" s="772" t="s">
        <v>1027</v>
      </c>
      <c r="C330" s="772"/>
      <c r="D330" s="678" t="s">
        <v>106</v>
      </c>
      <c r="E330" s="679">
        <v>5</v>
      </c>
      <c r="F330" s="680">
        <f>SUMIF('Cjenik M'!$B$11:$B$350,kalkulacija!B330,'Cjenik M'!$D$11:$D$350)</f>
        <v>3.61</v>
      </c>
      <c r="G330" s="681">
        <f t="shared" si="4"/>
        <v>18.05</v>
      </c>
      <c r="K330" s="44"/>
      <c r="L330" s="773" t="str">
        <f>'Cjenik M'!$B$16</f>
        <v xml:space="preserve">Cement 25 kg </v>
      </c>
      <c r="M330" s="773"/>
      <c r="N330" s="707" t="str">
        <f>'Cjenik M'!$C$16</f>
        <v>vreća</v>
      </c>
      <c r="O330" s="46">
        <v>0.5</v>
      </c>
      <c r="P330" s="200">
        <f>'Cjenik M'!$D$16</f>
        <v>18.36</v>
      </c>
      <c r="Q330" s="48">
        <f>O330*P330</f>
        <v>9.18</v>
      </c>
    </row>
    <row r="331" spans="1:17" ht="25.15" customHeight="1">
      <c r="A331" s="686"/>
      <c r="B331" s="812" t="s">
        <v>1039</v>
      </c>
      <c r="C331" s="783"/>
      <c r="D331" s="678" t="s">
        <v>90</v>
      </c>
      <c r="E331" s="679">
        <v>4</v>
      </c>
      <c r="F331" s="680">
        <f>SUMIF('Cjenik M'!$B$11:$B$350,kalkulacija!B331,'Cjenik M'!$D$11:$D$350)</f>
        <v>2.61</v>
      </c>
      <c r="G331" s="681">
        <f t="shared" si="4"/>
        <v>10.44</v>
      </c>
      <c r="K331" s="49"/>
      <c r="L331" s="774" t="str">
        <f>'Cjenik M'!$B$14</f>
        <v>Zaštitna folija PVC 6*4 m</v>
      </c>
      <c r="M331" s="774"/>
      <c r="N331" s="674" t="str">
        <f>'Cjenik M'!$C$14</f>
        <v>kom.</v>
      </c>
      <c r="O331" s="51">
        <v>0.5</v>
      </c>
      <c r="P331" s="201">
        <f>'Cjenik M'!$D$14</f>
        <v>4.8</v>
      </c>
      <c r="Q331" s="53">
        <f>O331*P331</f>
        <v>2.4</v>
      </c>
    </row>
    <row r="332" spans="1:17" ht="25.15" customHeight="1">
      <c r="A332" s="686"/>
      <c r="B332" s="812"/>
      <c r="C332" s="783"/>
      <c r="D332" s="678"/>
      <c r="E332" s="679"/>
      <c r="F332" s="680"/>
      <c r="G332" s="681"/>
      <c r="K332" s="76"/>
      <c r="L332" s="654"/>
      <c r="M332" s="654"/>
      <c r="N332" s="71"/>
      <c r="O332" s="77"/>
      <c r="P332" s="213"/>
      <c r="Q332" s="73"/>
    </row>
    <row r="333" spans="1:17" ht="25.15" customHeight="1">
      <c r="A333" s="686"/>
      <c r="B333" s="772"/>
      <c r="C333" s="772"/>
      <c r="D333" s="678"/>
      <c r="E333" s="679"/>
      <c r="F333" s="680">
        <f>SUMIF('Cjenik M'!$B$11:$B$350,kalkulacija!B333,'Cjenik M'!$D$11:$D$350)</f>
        <v>0</v>
      </c>
      <c r="G333" s="681">
        <f>E333*F333</f>
        <v>0</v>
      </c>
      <c r="K333" s="76"/>
      <c r="L333" s="654"/>
      <c r="M333" s="654"/>
      <c r="N333" s="71"/>
      <c r="O333" s="77"/>
      <c r="P333" s="213"/>
      <c r="Q333" s="73"/>
    </row>
    <row r="334" spans="1:17" ht="25.15" customHeight="1">
      <c r="A334" s="686"/>
      <c r="B334" s="772"/>
      <c r="C334" s="772"/>
      <c r="D334" s="678"/>
      <c r="E334" s="679"/>
      <c r="F334" s="684">
        <f>SUMIF('Cjenik M'!$B$11:$B$350,kalkulacija!B334,'Cjenik M'!$D$11:$D$350)</f>
        <v>0</v>
      </c>
      <c r="G334" s="681">
        <f>E334*F334</f>
        <v>0</v>
      </c>
      <c r="K334" s="76"/>
      <c r="L334" s="654"/>
      <c r="M334" s="654"/>
      <c r="N334" s="71"/>
      <c r="O334" s="77"/>
      <c r="P334" s="213"/>
      <c r="Q334" s="73"/>
    </row>
    <row r="335" spans="1:17" ht="25.15" customHeight="1" thickBot="1">
      <c r="A335" s="59"/>
      <c r="B335" s="775"/>
      <c r="C335" s="776"/>
      <c r="D335" s="688"/>
      <c r="E335" s="689"/>
      <c r="F335" s="736">
        <f>SUMIF('Cjenik M'!$B$11:$B$350,kalkulacija!B335,'Cjenik M'!$D$11:$D$350)</f>
        <v>0</v>
      </c>
      <c r="G335" s="690"/>
      <c r="K335" s="59"/>
      <c r="L335" s="777" t="str">
        <f>'Cjenik M'!$B$21</f>
        <v>PVC koljeno 40x90</v>
      </c>
      <c r="M335" s="777"/>
      <c r="N335" s="672" t="str">
        <f>'Cjenik M'!$C$21</f>
        <v>kom.</v>
      </c>
      <c r="O335" s="61">
        <v>3.33</v>
      </c>
      <c r="P335" s="208">
        <f>'Cjenik M'!$D$21</f>
        <v>2.56</v>
      </c>
      <c r="Q335" s="63">
        <f>O335*P335</f>
        <v>8.5248000000000008</v>
      </c>
    </row>
    <row r="336" spans="1:17" ht="25.15" customHeight="1" thickTop="1" thickBot="1">
      <c r="E336" s="778" t="str">
        <f>'Obrazac kalkulacije'!$E$18</f>
        <v>Ukupno (kn):</v>
      </c>
      <c r="F336" s="778"/>
      <c r="G336" s="64">
        <f>ROUND(SUM(G317+G321+G325),2)</f>
        <v>463.63</v>
      </c>
      <c r="H336" s="217"/>
      <c r="I336" s="602"/>
      <c r="J336" s="602"/>
      <c r="O336" s="778" t="str">
        <f>'Obrazac kalkulacije'!$E$18</f>
        <v>Ukupno (kn):</v>
      </c>
      <c r="P336" s="778"/>
      <c r="Q336" s="64">
        <f>ROUND(SUM(Q317+Q321+Q325),2)</f>
        <v>385.24</v>
      </c>
    </row>
    <row r="337" spans="1:17" ht="25.15" customHeight="1" thickTop="1" thickBot="1">
      <c r="E337" s="23" t="str">
        <f>'Obrazac kalkulacije'!$E$19</f>
        <v>PDV:</v>
      </c>
      <c r="F337" s="207">
        <f>'Obrazac kalkulacije'!$F$19</f>
        <v>0.25</v>
      </c>
      <c r="G337" s="24">
        <f>G336*F337</f>
        <v>115.9075</v>
      </c>
      <c r="H337" s="446"/>
      <c r="I337" s="446"/>
      <c r="J337" s="446"/>
      <c r="O337" s="23" t="str">
        <f>'Obrazac kalkulacije'!$E$19</f>
        <v>PDV:</v>
      </c>
      <c r="P337" s="207">
        <f>'Obrazac kalkulacije'!$F$19</f>
        <v>0.25</v>
      </c>
      <c r="Q337" s="24">
        <f>Q336*P337</f>
        <v>96.31</v>
      </c>
    </row>
    <row r="338" spans="1:17" ht="25.15" customHeight="1" thickTop="1" thickBot="1">
      <c r="E338" s="779" t="str">
        <f>'Obrazac kalkulacije'!$E$20</f>
        <v>Sveukupno (kn):</v>
      </c>
      <c r="F338" s="779"/>
      <c r="G338" s="24">
        <f>ROUND(SUM(G336:G337),2)</f>
        <v>579.54</v>
      </c>
      <c r="H338" s="447"/>
      <c r="I338" s="447"/>
      <c r="J338" s="447"/>
      <c r="O338" s="779" t="str">
        <f>'Obrazac kalkulacije'!$E$20</f>
        <v>Sveukupno (kn):</v>
      </c>
      <c r="P338" s="779"/>
      <c r="Q338" s="24">
        <f>ROUND(SUM(Q336:Q337),2)</f>
        <v>481.55</v>
      </c>
    </row>
    <row r="339" spans="1:17" ht="15" customHeight="1" thickTop="1"/>
    <row r="340" spans="1:17" ht="15" customHeight="1"/>
    <row r="341" spans="1:17" ht="15" customHeight="1">
      <c r="C341" s="3" t="str">
        <f>'Obrazac kalkulacije'!$C$24</f>
        <v>IZVODITELJ:</v>
      </c>
      <c r="F341" s="780" t="str">
        <f>'Obrazac kalkulacije'!$F$24</f>
        <v>NARUČITELJ:</v>
      </c>
      <c r="G341" s="780"/>
      <c r="M341" s="3" t="str">
        <f>'Obrazac kalkulacije'!$C$24</f>
        <v>IZVODITELJ:</v>
      </c>
      <c r="P341" s="780" t="str">
        <f>'Obrazac kalkulacije'!$F$24</f>
        <v>NARUČITELJ:</v>
      </c>
      <c r="Q341" s="780"/>
    </row>
    <row r="342" spans="1:17" ht="25.15" customHeight="1">
      <c r="C342" s="3" t="str">
        <f>'Obrazac kalkulacije'!$C$25</f>
        <v>__________________</v>
      </c>
      <c r="F342" s="780" t="str">
        <f>'Obrazac kalkulacije'!$F$25</f>
        <v>___________________</v>
      </c>
      <c r="G342" s="780"/>
      <c r="M342" s="3" t="str">
        <f>'Obrazac kalkulacije'!$C$25</f>
        <v>__________________</v>
      </c>
      <c r="P342" s="780" t="str">
        <f>'Obrazac kalkulacije'!$F$25</f>
        <v>___________________</v>
      </c>
      <c r="Q342" s="780"/>
    </row>
    <row r="343" spans="1:17" ht="15" customHeight="1">
      <c r="F343" s="780"/>
      <c r="G343" s="780"/>
      <c r="P343" s="780"/>
      <c r="Q343" s="780"/>
    </row>
    <row r="344" spans="1:17" ht="15" customHeight="1">
      <c r="F344" s="780"/>
      <c r="G344" s="780"/>
      <c r="P344" s="780"/>
      <c r="Q344" s="780"/>
    </row>
    <row r="345" spans="1:17" ht="15" customHeight="1">
      <c r="A345" s="115"/>
      <c r="B345" s="116"/>
      <c r="C345" s="117"/>
      <c r="D345" s="117"/>
      <c r="E345" s="117"/>
      <c r="F345" s="211"/>
      <c r="G345" s="117"/>
      <c r="K345" s="115"/>
      <c r="L345" s="116" t="s">
        <v>17</v>
      </c>
      <c r="M345" s="117" t="s">
        <v>18</v>
      </c>
      <c r="N345" s="117"/>
      <c r="O345" s="117"/>
      <c r="P345" s="211"/>
      <c r="Q345" s="117"/>
    </row>
    <row r="346" spans="1:17" ht="15" customHeight="1">
      <c r="A346" s="31"/>
      <c r="B346" s="32"/>
      <c r="C346" s="7"/>
      <c r="D346" s="7"/>
      <c r="E346" s="7"/>
      <c r="F346" s="212"/>
      <c r="G346" s="7"/>
      <c r="K346" s="31"/>
      <c r="L346" s="32" t="s">
        <v>22</v>
      </c>
      <c r="M346" s="7" t="s">
        <v>23</v>
      </c>
      <c r="N346" s="7"/>
      <c r="O346" s="7"/>
      <c r="P346" s="212"/>
      <c r="Q346" s="7"/>
    </row>
    <row r="347" spans="1:17" ht="15" customHeight="1">
      <c r="A347" s="41"/>
      <c r="B347" s="42"/>
      <c r="C347" s="43"/>
      <c r="D347" s="43"/>
      <c r="E347" s="43"/>
      <c r="F347" s="209"/>
      <c r="G347" s="43"/>
      <c r="K347" s="41"/>
      <c r="L347" s="42" t="s">
        <v>35</v>
      </c>
      <c r="M347" s="43" t="s">
        <v>36</v>
      </c>
      <c r="N347" s="43"/>
      <c r="O347" s="43"/>
      <c r="P347" s="209"/>
      <c r="Q347" s="43"/>
    </row>
    <row r="348" spans="1:17" ht="111" customHeight="1">
      <c r="A348" s="33"/>
      <c r="B348" s="443"/>
      <c r="C348" s="792" t="s">
        <v>1050</v>
      </c>
      <c r="D348" s="792"/>
      <c r="E348" s="792"/>
      <c r="F348" s="792"/>
      <c r="G348" s="792"/>
      <c r="K348" s="33"/>
      <c r="L348" s="34" t="s">
        <v>38</v>
      </c>
      <c r="M348" s="795" t="s">
        <v>166</v>
      </c>
      <c r="N348" s="795"/>
      <c r="O348" s="795"/>
      <c r="P348" s="795"/>
      <c r="Q348" s="795"/>
    </row>
    <row r="349" spans="1:17" ht="15" customHeight="1" thickBot="1"/>
    <row r="350" spans="1:17" ht="30" customHeight="1" thickTop="1" thickBot="1">
      <c r="A350" s="8"/>
      <c r="B350" s="797" t="str">
        <f>'Obrazac kalkulacije'!$B$6:$C$6</f>
        <v>Opis</v>
      </c>
      <c r="C350" s="797"/>
      <c r="D350" s="8" t="str">
        <f>'Obrazac kalkulacije'!$D$6</f>
        <v>Jed.
mjere</v>
      </c>
      <c r="E350" s="8" t="str">
        <f>'Obrazac kalkulacije'!$E$6</f>
        <v>Normativ</v>
      </c>
      <c r="F350" s="8" t="str">
        <f>'Obrazac kalkulacije'!$F$6</f>
        <v>Jed.
cijena</v>
      </c>
      <c r="G350" s="8" t="str">
        <f>'Obrazac kalkulacije'!$G$6</f>
        <v>Iznos</v>
      </c>
      <c r="K350" s="8"/>
      <c r="L350" s="797" t="e">
        <f>'Obrazac kalkulacije'!$B$6:$C$6</f>
        <v>#VALUE!</v>
      </c>
      <c r="M350" s="797"/>
      <c r="N350" s="8" t="str">
        <f>'Obrazac kalkulacije'!$D$6</f>
        <v>Jed.
mjere</v>
      </c>
      <c r="O350" s="8" t="str">
        <f>'Obrazac kalkulacije'!$E$6</f>
        <v>Normativ</v>
      </c>
      <c r="P350" s="8" t="str">
        <f>'Obrazac kalkulacije'!$F$6</f>
        <v>Jed.
cijena</v>
      </c>
      <c r="Q350" s="8" t="str">
        <f>'Obrazac kalkulacije'!$G$6</f>
        <v>Iznos</v>
      </c>
    </row>
    <row r="351" spans="1:17" ht="4.5" customHeight="1" thickTop="1">
      <c r="B351" s="35"/>
      <c r="C351" s="1"/>
      <c r="D351" s="9"/>
      <c r="E351" s="11"/>
      <c r="F351" s="205"/>
      <c r="G351" s="13"/>
      <c r="L351" s="35"/>
      <c r="M351" s="1"/>
      <c r="N351" s="9"/>
      <c r="O351" s="11"/>
      <c r="P351" s="205"/>
      <c r="Q351" s="13"/>
    </row>
    <row r="352" spans="1:17" ht="25.15" customHeight="1">
      <c r="A352" s="656"/>
      <c r="B352" s="784" t="str">
        <f>'Obrazac kalkulacije'!$B$8</f>
        <v>Radna snaga:</v>
      </c>
      <c r="C352" s="784"/>
      <c r="D352" s="656"/>
      <c r="E352" s="656"/>
      <c r="F352" s="206"/>
      <c r="G352" s="16">
        <f>SUM(G353:G355)</f>
        <v>99.465000000000003</v>
      </c>
      <c r="K352" s="656"/>
      <c r="L352" s="784" t="str">
        <f>'Obrazac kalkulacije'!$B$8</f>
        <v>Radna snaga:</v>
      </c>
      <c r="M352" s="784"/>
      <c r="N352" s="656"/>
      <c r="O352" s="656"/>
      <c r="P352" s="206"/>
      <c r="Q352" s="16">
        <f>SUM(Q355:Q355)</f>
        <v>0</v>
      </c>
    </row>
    <row r="353" spans="1:17" ht="25.15" customHeight="1">
      <c r="A353" s="692"/>
      <c r="B353" s="788" t="s">
        <v>818</v>
      </c>
      <c r="C353" s="788"/>
      <c r="D353" s="693" t="s">
        <v>15</v>
      </c>
      <c r="E353" s="694">
        <v>0.75</v>
      </c>
      <c r="F353" s="676">
        <f>SUMIF('Cjenik RS'!$C$11:$C$26,kalkulacija!B353,'Cjenik RS'!$D$11:$D$26)</f>
        <v>132.62</v>
      </c>
      <c r="G353" s="677">
        <f>+F353*E353</f>
        <v>99.465000000000003</v>
      </c>
      <c r="I353" s="3">
        <v>2.5999999999999999E-2</v>
      </c>
      <c r="K353" s="656"/>
      <c r="L353" s="703"/>
      <c r="M353" s="703"/>
      <c r="N353" s="84"/>
      <c r="O353" s="84"/>
      <c r="P353" s="206"/>
      <c r="Q353" s="75"/>
    </row>
    <row r="354" spans="1:17" ht="25.15" customHeight="1">
      <c r="A354" s="686"/>
      <c r="B354" s="789"/>
      <c r="C354" s="789"/>
      <c r="D354" s="678" t="s">
        <v>15</v>
      </c>
      <c r="E354" s="695"/>
      <c r="F354" s="680">
        <f>SUMIF('Cjenik RS'!$C$11:$C$26,kalkulacija!B354,'Cjenik RS'!$D$11:$D$26)</f>
        <v>0</v>
      </c>
      <c r="G354" s="681">
        <f>+F354*E354</f>
        <v>0</v>
      </c>
      <c r="I354" s="3">
        <v>3.5000000000000003E-2</v>
      </c>
      <c r="K354" s="656"/>
      <c r="L354" s="703"/>
      <c r="M354" s="703"/>
      <c r="N354" s="84"/>
      <c r="O354" s="84"/>
      <c r="P354" s="206"/>
      <c r="Q354" s="75"/>
    </row>
    <row r="355" spans="1:17" ht="25.15" customHeight="1">
      <c r="A355" s="696"/>
      <c r="B355" s="790"/>
      <c r="C355" s="790"/>
      <c r="D355" s="697" t="s">
        <v>15</v>
      </c>
      <c r="E355" s="695"/>
      <c r="F355" s="680">
        <f>SUMIF('Cjenik RS'!$C$11:$C$26,kalkulacija!B355,'Cjenik RS'!$D$11:$D$26)</f>
        <v>0</v>
      </c>
      <c r="G355" s="681">
        <f>+F355*E355</f>
        <v>0</v>
      </c>
      <c r="I355" s="3">
        <v>2.9000000000000001E-2</v>
      </c>
      <c r="K355" s="26"/>
      <c r="L355" s="791" t="s">
        <v>130</v>
      </c>
      <c r="M355" s="791"/>
      <c r="N355" s="27" t="s">
        <v>15</v>
      </c>
      <c r="O355" s="28">
        <v>4.571663</v>
      </c>
      <c r="P355" s="203">
        <f>SUMIF('Cjenik RS'!$C$11:$C$26,$B355,'Cjenik RS'!$D$11:$D$88)</f>
        <v>0</v>
      </c>
      <c r="Q355" s="29">
        <f>+P355*O355</f>
        <v>0</v>
      </c>
    </row>
    <row r="356" spans="1:17" ht="25.15" customHeight="1">
      <c r="A356" s="656"/>
      <c r="B356" s="784" t="str">
        <f>'Obrazac kalkulacije'!$B$11</f>
        <v>Vozila, strojevi i oprema:</v>
      </c>
      <c r="C356" s="784"/>
      <c r="D356" s="656"/>
      <c r="E356" s="656"/>
      <c r="F356" s="203"/>
      <c r="G356" s="16">
        <f>SUM(G357:G359)</f>
        <v>2.0978400000000001</v>
      </c>
      <c r="I356" s="3">
        <f>SUM(I353:I355)</f>
        <v>0.09</v>
      </c>
      <c r="K356" s="656"/>
      <c r="L356" s="784" t="str">
        <f>'Obrazac kalkulacije'!$B$11</f>
        <v>Vozila, strojevi i oprema:</v>
      </c>
      <c r="M356" s="784"/>
      <c r="N356" s="656"/>
      <c r="O356" s="656"/>
      <c r="P356" s="203"/>
      <c r="Q356" s="16">
        <f>SUM(Q357:Q359)</f>
        <v>344.37690809999998</v>
      </c>
    </row>
    <row r="357" spans="1:17" ht="25.15" customHeight="1">
      <c r="A357" s="44"/>
      <c r="B357" s="781" t="s">
        <v>477</v>
      </c>
      <c r="C357" s="782"/>
      <c r="D357" s="693" t="s">
        <v>15</v>
      </c>
      <c r="E357" s="675">
        <v>8.0000000000000002E-3</v>
      </c>
      <c r="F357" s="676">
        <f>SUMIF('Cjenik VSO (pomoćna) (2)'!$B$9:$B$26,kalkulacija!B357,'Cjenik VSO (pomoćna) (2)'!$C$9:$C$26)</f>
        <v>262.23</v>
      </c>
      <c r="G357" s="677">
        <f>E357*F357</f>
        <v>2.0978400000000001</v>
      </c>
      <c r="K357" s="44"/>
      <c r="L357" s="773" t="s">
        <v>138</v>
      </c>
      <c r="M357" s="773"/>
      <c r="N357" s="707" t="s">
        <v>15</v>
      </c>
      <c r="O357" s="46">
        <v>2.1183299999999998</v>
      </c>
      <c r="P357" s="200">
        <f>SUMIF('Cjenik VSO'!$B$9:$B$85,$B357,'Cjenik VSO'!$C$9:$C$85)</f>
        <v>162.57</v>
      </c>
      <c r="Q357" s="48">
        <f>O357*P357</f>
        <v>344.37690809999998</v>
      </c>
    </row>
    <row r="358" spans="1:17" ht="25.15" customHeight="1">
      <c r="A358" s="49"/>
      <c r="B358" s="783"/>
      <c r="C358" s="772"/>
      <c r="D358" s="678" t="s">
        <v>15</v>
      </c>
      <c r="E358" s="679"/>
      <c r="F358" s="680">
        <f>SUMIF('Cjenik VSO (pomoćna) (2)'!$B$9:$B$26,kalkulacija!B358,'Cjenik VSO (pomoćna) (2)'!$C$9:$C$26)</f>
        <v>0</v>
      </c>
      <c r="G358" s="681">
        <f>E358*F358</f>
        <v>0</v>
      </c>
      <c r="K358" s="49"/>
      <c r="L358" s="774" t="s">
        <v>139</v>
      </c>
      <c r="M358" s="774"/>
      <c r="N358" s="706" t="s">
        <v>15</v>
      </c>
      <c r="O358" s="51">
        <v>0.15</v>
      </c>
      <c r="P358" s="201">
        <f>SUMIF('Cjenik VSO'!$B$9:$B$85,$B358,'Cjenik VSO'!$C$9:$C$85)</f>
        <v>0</v>
      </c>
      <c r="Q358" s="53">
        <f>O358*P358</f>
        <v>0</v>
      </c>
    </row>
    <row r="359" spans="1:17" ht="25.15" customHeight="1">
      <c r="A359" s="54"/>
      <c r="B359" s="785"/>
      <c r="C359" s="786"/>
      <c r="D359" s="682" t="s">
        <v>15</v>
      </c>
      <c r="E359" s="683"/>
      <c r="F359" s="684">
        <f>SUMIF('Cjenik VSO (pomoćna) (2)'!$B$9:$B$26,kalkulacija!B359,'Cjenik VSO (pomoćna) (2)'!$C$9:$C$26)</f>
        <v>0</v>
      </c>
      <c r="G359" s="685">
        <f>E359*F359</f>
        <v>0</v>
      </c>
      <c r="K359" s="54"/>
      <c r="L359" s="787" t="s">
        <v>140</v>
      </c>
      <c r="M359" s="787"/>
      <c r="N359" s="705" t="s">
        <v>15</v>
      </c>
      <c r="O359" s="56">
        <v>0.2</v>
      </c>
      <c r="P359" s="202">
        <f>SUMIF('Cjenik VSO'!$B$9:$B$85,$B359,'Cjenik VSO'!$C$9:$C$85)</f>
        <v>0</v>
      </c>
      <c r="Q359" s="58">
        <f>O359*P359</f>
        <v>0</v>
      </c>
    </row>
    <row r="360" spans="1:17" ht="25.15" customHeight="1">
      <c r="A360" s="656"/>
      <c r="B360" s="784" t="str">
        <f>'Obrazac kalkulacije'!$B$15</f>
        <v>Materijali:</v>
      </c>
      <c r="C360" s="784"/>
      <c r="D360" s="656"/>
      <c r="E360" s="656"/>
      <c r="F360" s="203"/>
      <c r="G360" s="16">
        <f>SUM(G361:G370)</f>
        <v>7.9399999999999995</v>
      </c>
      <c r="K360" s="656"/>
      <c r="L360" s="784" t="str">
        <f>'Obrazac kalkulacije'!$B$15</f>
        <v>Materijali:</v>
      </c>
      <c r="M360" s="784"/>
      <c r="N360" s="656"/>
      <c r="O360" s="656"/>
      <c r="P360" s="203"/>
      <c r="Q360" s="16">
        <f>SUM(Q361:Q370)</f>
        <v>40.864799999999995</v>
      </c>
    </row>
    <row r="361" spans="1:17" ht="25.15" customHeight="1">
      <c r="A361" s="44"/>
      <c r="B361" s="781" t="s">
        <v>1042</v>
      </c>
      <c r="C361" s="782"/>
      <c r="D361" s="678" t="str">
        <f>INDEX('Cjenik M'!$C$11:$C$500, MATCH(1,INDEX(('Cjenik M'!$B$11:$B$500=kalkulacija!B361)*('Cjenik M'!$D$11:$D$500=kalkulacija!F361),,),0))</f>
        <v>kg</v>
      </c>
      <c r="E361" s="675">
        <v>2</v>
      </c>
      <c r="F361" s="676">
        <f>SUMIF('Cjenik M'!$B$11:$B$350,kalkulacija!B361,'Cjenik M'!$D$11:$D$350)</f>
        <v>2.36</v>
      </c>
      <c r="G361" s="677">
        <f t="shared" ref="G361:G366" si="5">E361*F361</f>
        <v>4.72</v>
      </c>
      <c r="K361" s="44"/>
      <c r="L361" s="773" t="str">
        <f>'Cjenik M'!$B$16</f>
        <v xml:space="preserve">Cement 25 kg </v>
      </c>
      <c r="M361" s="773"/>
      <c r="N361" s="707" t="str">
        <f>'Cjenik M'!$C$16</f>
        <v>vreća</v>
      </c>
      <c r="O361" s="46">
        <v>0.5</v>
      </c>
      <c r="P361" s="200">
        <f>'Cjenik M'!$D$16</f>
        <v>18.36</v>
      </c>
      <c r="Q361" s="48">
        <f>O361*P361</f>
        <v>9.18</v>
      </c>
    </row>
    <row r="362" spans="1:17" ht="25.15" customHeight="1">
      <c r="A362" s="49"/>
      <c r="B362" s="783" t="s">
        <v>1044</v>
      </c>
      <c r="C362" s="772"/>
      <c r="D362" s="678" t="s">
        <v>1048</v>
      </c>
      <c r="E362" s="679">
        <v>1</v>
      </c>
      <c r="F362" s="680">
        <f>SUMIF('Cjenik M'!$B$11:$B$350,kalkulacija!B362,'Cjenik M'!$D$11:$D$350)</f>
        <v>3.22</v>
      </c>
      <c r="G362" s="681">
        <f t="shared" si="5"/>
        <v>3.22</v>
      </c>
      <c r="K362" s="49"/>
      <c r="L362" s="774" t="str">
        <f>'Cjenik M'!$B$14</f>
        <v>Zaštitna folija PVC 6*4 m</v>
      </c>
      <c r="M362" s="774"/>
      <c r="N362" s="706" t="str">
        <f>'Cjenik M'!$C$14</f>
        <v>kom.</v>
      </c>
      <c r="O362" s="51">
        <v>0.5</v>
      </c>
      <c r="P362" s="201">
        <f>'Cjenik M'!$D$14</f>
        <v>4.8</v>
      </c>
      <c r="Q362" s="53">
        <f>O362*P362</f>
        <v>2.4</v>
      </c>
    </row>
    <row r="363" spans="1:17" ht="25.15" customHeight="1">
      <c r="A363" s="686"/>
      <c r="B363" s="772"/>
      <c r="C363" s="772"/>
      <c r="D363" s="678" t="s">
        <v>32</v>
      </c>
      <c r="E363" s="679">
        <v>0.33333299999999999</v>
      </c>
      <c r="F363" s="680">
        <f>SUMIF('Cjenik M'!$B$11:$B$350,kalkulacija!B363,'Cjenik M'!$D$11:$D$350)</f>
        <v>0</v>
      </c>
      <c r="G363" s="681">
        <f t="shared" si="5"/>
        <v>0</v>
      </c>
      <c r="K363" s="76"/>
      <c r="L363" s="654"/>
      <c r="M363" s="654"/>
      <c r="N363" s="71"/>
      <c r="O363" s="77"/>
      <c r="P363" s="213"/>
      <c r="Q363" s="73"/>
    </row>
    <row r="364" spans="1:17" ht="25.15" customHeight="1">
      <c r="A364" s="686"/>
      <c r="B364" s="772"/>
      <c r="C364" s="772"/>
      <c r="D364" s="678" t="s">
        <v>32</v>
      </c>
      <c r="E364" s="679">
        <v>3.5999999999999997E-2</v>
      </c>
      <c r="F364" s="680">
        <f>SUMIF('Cjenik M'!$B$11:$B$350,kalkulacija!B364,'Cjenik M'!$D$11:$D$350)</f>
        <v>0</v>
      </c>
      <c r="G364" s="681">
        <f t="shared" si="5"/>
        <v>0</v>
      </c>
      <c r="K364" s="44"/>
      <c r="L364" s="773" t="str">
        <f>'Cjenik M'!$B$16</f>
        <v xml:space="preserve">Cement 25 kg </v>
      </c>
      <c r="M364" s="773"/>
      <c r="N364" s="707" t="str">
        <f>'Cjenik M'!$C$16</f>
        <v>vreća</v>
      </c>
      <c r="O364" s="46">
        <v>0.5</v>
      </c>
      <c r="P364" s="200">
        <f>'Cjenik M'!$D$16</f>
        <v>18.36</v>
      </c>
      <c r="Q364" s="48">
        <f>O364*P364</f>
        <v>9.18</v>
      </c>
    </row>
    <row r="365" spans="1:17" ht="25.15" customHeight="1">
      <c r="A365" s="686"/>
      <c r="B365" s="772"/>
      <c r="C365" s="772"/>
      <c r="D365" s="678" t="s">
        <v>106</v>
      </c>
      <c r="E365" s="679">
        <v>4</v>
      </c>
      <c r="F365" s="680">
        <f>SUMIF('Cjenik M'!$B$11:$B$350,kalkulacija!B365,'Cjenik M'!$D$11:$D$350)</f>
        <v>0</v>
      </c>
      <c r="G365" s="681">
        <f t="shared" si="5"/>
        <v>0</v>
      </c>
      <c r="K365" s="44"/>
      <c r="L365" s="773" t="str">
        <f>'Cjenik M'!$B$16</f>
        <v xml:space="preserve">Cement 25 kg </v>
      </c>
      <c r="M365" s="773"/>
      <c r="N365" s="707" t="str">
        <f>'Cjenik M'!$C$16</f>
        <v>vreća</v>
      </c>
      <c r="O365" s="46">
        <v>0.5</v>
      </c>
      <c r="P365" s="200">
        <f>'Cjenik M'!$D$16</f>
        <v>18.36</v>
      </c>
      <c r="Q365" s="48">
        <f>O365*P365</f>
        <v>9.18</v>
      </c>
    </row>
    <row r="366" spans="1:17" ht="25.15" customHeight="1">
      <c r="A366" s="686"/>
      <c r="B366" s="772"/>
      <c r="C366" s="772"/>
      <c r="D366" s="678"/>
      <c r="E366" s="679"/>
      <c r="F366" s="680"/>
      <c r="G366" s="681">
        <f t="shared" si="5"/>
        <v>0</v>
      </c>
      <c r="K366" s="49"/>
      <c r="L366" s="774" t="str">
        <f>'Cjenik M'!$B$14</f>
        <v>Zaštitna folija PVC 6*4 m</v>
      </c>
      <c r="M366" s="774"/>
      <c r="N366" s="706" t="str">
        <f>'Cjenik M'!$C$14</f>
        <v>kom.</v>
      </c>
      <c r="O366" s="51">
        <v>0.5</v>
      </c>
      <c r="P366" s="201">
        <f>'Cjenik M'!$D$14</f>
        <v>4.8</v>
      </c>
      <c r="Q366" s="53">
        <f>O366*P366</f>
        <v>2.4</v>
      </c>
    </row>
    <row r="367" spans="1:17" ht="25.15" customHeight="1">
      <c r="A367" s="686"/>
      <c r="B367" s="772"/>
      <c r="C367" s="772"/>
      <c r="D367" s="678"/>
      <c r="E367" s="679"/>
      <c r="F367" s="680"/>
      <c r="G367" s="681"/>
      <c r="K367" s="76"/>
      <c r="L367" s="654"/>
      <c r="M367" s="654"/>
      <c r="N367" s="71"/>
      <c r="O367" s="77"/>
      <c r="P367" s="213"/>
      <c r="Q367" s="73"/>
    </row>
    <row r="368" spans="1:17" ht="25.15" customHeight="1">
      <c r="A368" s="686"/>
      <c r="B368" s="772"/>
      <c r="C368" s="772"/>
      <c r="D368" s="678"/>
      <c r="E368" s="679"/>
      <c r="F368" s="680">
        <f>SUMIF('Cjenik M'!$B$11:$B$350,kalkulacija!B368,'Cjenik M'!$D$11:$D$350)</f>
        <v>0</v>
      </c>
      <c r="G368" s="681">
        <f>E368*F368</f>
        <v>0</v>
      </c>
      <c r="K368" s="76"/>
      <c r="L368" s="654"/>
      <c r="M368" s="654"/>
      <c r="N368" s="71"/>
      <c r="O368" s="77"/>
      <c r="P368" s="213"/>
      <c r="Q368" s="73"/>
    </row>
    <row r="369" spans="1:17" ht="25.15" customHeight="1">
      <c r="A369" s="686"/>
      <c r="B369" s="772"/>
      <c r="C369" s="772"/>
      <c r="D369" s="678"/>
      <c r="E369" s="679"/>
      <c r="F369" s="680">
        <f>SUMIF('Cjenik M'!$B$11:$B$350,kalkulacija!B369,'Cjenik M'!$D$11:$D$350)</f>
        <v>0</v>
      </c>
      <c r="G369" s="681">
        <f>E369*F369</f>
        <v>0</v>
      </c>
      <c r="K369" s="76"/>
      <c r="L369" s="654"/>
      <c r="M369" s="654"/>
      <c r="N369" s="71"/>
      <c r="O369" s="77"/>
      <c r="P369" s="213"/>
      <c r="Q369" s="73"/>
    </row>
    <row r="370" spans="1:17" ht="25.15" customHeight="1" thickBot="1">
      <c r="A370" s="59"/>
      <c r="B370" s="775"/>
      <c r="C370" s="776"/>
      <c r="D370" s="688"/>
      <c r="E370" s="689"/>
      <c r="F370" s="691">
        <f>SUMIF('Cjenik M'!$B$11:$B$350,kalkulacija!B370,'Cjenik M'!$D$11:$D$350)</f>
        <v>0</v>
      </c>
      <c r="G370" s="690"/>
      <c r="K370" s="59"/>
      <c r="L370" s="777" t="str">
        <f>'Cjenik M'!$B$21</f>
        <v>PVC koljeno 40x90</v>
      </c>
      <c r="M370" s="777"/>
      <c r="N370" s="708" t="str">
        <f>'Cjenik M'!$C$21</f>
        <v>kom.</v>
      </c>
      <c r="O370" s="61">
        <v>3.33</v>
      </c>
      <c r="P370" s="208">
        <f>'Cjenik M'!$D$21</f>
        <v>2.56</v>
      </c>
      <c r="Q370" s="63">
        <f>O370*P370</f>
        <v>8.5248000000000008</v>
      </c>
    </row>
    <row r="371" spans="1:17" ht="25.15" customHeight="1" thickTop="1" thickBot="1">
      <c r="E371" s="778" t="str">
        <f>'Obrazac kalkulacije'!$E$18</f>
        <v>Ukupno (kn):</v>
      </c>
      <c r="F371" s="778"/>
      <c r="G371" s="64">
        <f>ROUND(SUM(G352+G356+G360),2)</f>
        <v>109.5</v>
      </c>
      <c r="H371" s="217"/>
      <c r="I371" s="602"/>
      <c r="J371" s="602"/>
      <c r="O371" s="778" t="str">
        <f>'Obrazac kalkulacije'!$E$18</f>
        <v>Ukupno (kn):</v>
      </c>
      <c r="P371" s="778"/>
      <c r="Q371" s="64">
        <f>ROUND(SUM(Q352+Q356+Q360),2)</f>
        <v>385.24</v>
      </c>
    </row>
    <row r="372" spans="1:17" ht="25.15" customHeight="1" thickTop="1" thickBot="1">
      <c r="E372" s="23" t="str">
        <f>'Obrazac kalkulacije'!$E$19</f>
        <v>PDV:</v>
      </c>
      <c r="F372" s="207">
        <f>'Obrazac kalkulacije'!$F$19</f>
        <v>0.25</v>
      </c>
      <c r="G372" s="24">
        <f>G371*F372</f>
        <v>27.375</v>
      </c>
      <c r="H372" s="446"/>
      <c r="I372" s="446"/>
      <c r="J372" s="446"/>
      <c r="O372" s="23" t="str">
        <f>'Obrazac kalkulacije'!$E$19</f>
        <v>PDV:</v>
      </c>
      <c r="P372" s="207">
        <f>'Obrazac kalkulacije'!$F$19</f>
        <v>0.25</v>
      </c>
      <c r="Q372" s="24">
        <f>Q371*P372</f>
        <v>96.31</v>
      </c>
    </row>
    <row r="373" spans="1:17" ht="25.15" customHeight="1" thickTop="1" thickBot="1">
      <c r="E373" s="779" t="str">
        <f>'Obrazac kalkulacije'!$E$20</f>
        <v>Sveukupno (kn):</v>
      </c>
      <c r="F373" s="779"/>
      <c r="G373" s="24">
        <f>ROUND(SUM(G371:G372),2)</f>
        <v>136.88</v>
      </c>
      <c r="H373" s="447"/>
      <c r="I373" s="447"/>
      <c r="J373" s="447"/>
      <c r="O373" s="779" t="str">
        <f>'Obrazac kalkulacije'!$E$20</f>
        <v>Sveukupno (kn):</v>
      </c>
      <c r="P373" s="779"/>
      <c r="Q373" s="24">
        <f>ROUND(SUM(Q371:Q372),2)</f>
        <v>481.55</v>
      </c>
    </row>
    <row r="374" spans="1:17" ht="15" customHeight="1" thickTop="1"/>
    <row r="375" spans="1:17" ht="15" customHeight="1"/>
    <row r="376" spans="1:17" ht="15" customHeight="1">
      <c r="C376" s="3" t="str">
        <f>'Obrazac kalkulacije'!$C$24</f>
        <v>IZVODITELJ:</v>
      </c>
      <c r="F376" s="780" t="str">
        <f>'Obrazac kalkulacije'!$F$24</f>
        <v>NARUČITELJ:</v>
      </c>
      <c r="G376" s="780"/>
      <c r="M376" s="3" t="str">
        <f>'Obrazac kalkulacije'!$C$24</f>
        <v>IZVODITELJ:</v>
      </c>
      <c r="P376" s="780" t="str">
        <f>'Obrazac kalkulacije'!$F$24</f>
        <v>NARUČITELJ:</v>
      </c>
      <c r="Q376" s="780"/>
    </row>
    <row r="377" spans="1:17" ht="25.15" customHeight="1">
      <c r="C377" s="3" t="str">
        <f>'Obrazac kalkulacije'!$C$25</f>
        <v>__________________</v>
      </c>
      <c r="F377" s="780" t="str">
        <f>'Obrazac kalkulacije'!$F$25</f>
        <v>___________________</v>
      </c>
      <c r="G377" s="780"/>
      <c r="M377" s="3" t="str">
        <f>'Obrazac kalkulacije'!$C$25</f>
        <v>__________________</v>
      </c>
      <c r="P377" s="780" t="str">
        <f>'Obrazac kalkulacije'!$F$25</f>
        <v>___________________</v>
      </c>
      <c r="Q377" s="780"/>
    </row>
    <row r="378" spans="1:17" ht="15" customHeight="1">
      <c r="F378" s="780"/>
      <c r="G378" s="780"/>
      <c r="P378" s="780"/>
      <c r="Q378" s="780"/>
    </row>
    <row r="379" spans="1:17" ht="15" customHeight="1"/>
    <row r="380" spans="1:17" ht="15" customHeight="1">
      <c r="A380" s="115"/>
      <c r="B380" s="116"/>
      <c r="C380" s="117"/>
      <c r="D380" s="117"/>
      <c r="E380" s="117"/>
      <c r="F380" s="211"/>
      <c r="G380" s="117"/>
      <c r="K380" s="115"/>
      <c r="L380" s="116" t="s">
        <v>17</v>
      </c>
      <c r="M380" s="117" t="s">
        <v>18</v>
      </c>
      <c r="N380" s="117"/>
      <c r="O380" s="117"/>
      <c r="P380" s="211"/>
      <c r="Q380" s="117"/>
    </row>
    <row r="381" spans="1:17" ht="15" customHeight="1">
      <c r="A381" s="31"/>
      <c r="B381" s="32"/>
      <c r="C381" s="7"/>
      <c r="D381" s="7"/>
      <c r="E381" s="7"/>
      <c r="F381" s="212"/>
      <c r="G381" s="7"/>
      <c r="K381" s="31"/>
      <c r="L381" s="32" t="s">
        <v>22</v>
      </c>
      <c r="M381" s="7" t="s">
        <v>23</v>
      </c>
      <c r="N381" s="7"/>
      <c r="O381" s="7"/>
      <c r="P381" s="212"/>
      <c r="Q381" s="7"/>
    </row>
    <row r="382" spans="1:17" ht="15" customHeight="1">
      <c r="A382" s="41"/>
      <c r="B382" s="42"/>
      <c r="C382" s="43"/>
      <c r="D382" s="43"/>
      <c r="E382" s="43"/>
      <c r="F382" s="209"/>
      <c r="G382" s="43"/>
      <c r="K382" s="41"/>
      <c r="L382" s="42" t="s">
        <v>35</v>
      </c>
      <c r="M382" s="43" t="s">
        <v>36</v>
      </c>
      <c r="N382" s="43"/>
      <c r="O382" s="43"/>
      <c r="P382" s="209"/>
      <c r="Q382" s="43"/>
    </row>
    <row r="383" spans="1:17" ht="107.25" customHeight="1">
      <c r="A383" s="33"/>
      <c r="B383" s="443"/>
      <c r="C383" s="792" t="s">
        <v>1051</v>
      </c>
      <c r="D383" s="792"/>
      <c r="E383" s="792"/>
      <c r="F383" s="792"/>
      <c r="G383" s="792"/>
      <c r="K383" s="33"/>
      <c r="L383" s="34" t="s">
        <v>39</v>
      </c>
      <c r="M383" s="795" t="s">
        <v>167</v>
      </c>
      <c r="N383" s="795"/>
      <c r="O383" s="795"/>
      <c r="P383" s="795"/>
      <c r="Q383" s="795"/>
    </row>
    <row r="384" spans="1:17" ht="15" customHeight="1" thickBot="1"/>
    <row r="385" spans="1:17" ht="30" customHeight="1" thickTop="1" thickBot="1">
      <c r="A385" s="8"/>
      <c r="B385" s="797" t="str">
        <f>'Obrazac kalkulacije'!$B$6:$C$6</f>
        <v>Opis</v>
      </c>
      <c r="C385" s="797"/>
      <c r="D385" s="8" t="str">
        <f>'Obrazac kalkulacije'!$D$6</f>
        <v>Jed.
mjere</v>
      </c>
      <c r="E385" s="8" t="str">
        <f>'Obrazac kalkulacije'!$E$6</f>
        <v>Normativ</v>
      </c>
      <c r="F385" s="8" t="str">
        <f>'Obrazac kalkulacije'!$F$6</f>
        <v>Jed.
cijena</v>
      </c>
      <c r="G385" s="8" t="str">
        <f>'Obrazac kalkulacije'!$G$6</f>
        <v>Iznos</v>
      </c>
      <c r="K385" s="8"/>
      <c r="L385" s="797" t="e">
        <f>'Obrazac kalkulacije'!$B$6:$C$6</f>
        <v>#VALUE!</v>
      </c>
      <c r="M385" s="797"/>
      <c r="N385" s="8" t="str">
        <f>'Obrazac kalkulacije'!$D$6</f>
        <v>Jed.
mjere</v>
      </c>
      <c r="O385" s="8" t="str">
        <f>'Obrazac kalkulacije'!$E$6</f>
        <v>Normativ</v>
      </c>
      <c r="P385" s="8" t="str">
        <f>'Obrazac kalkulacije'!$F$6</f>
        <v>Jed.
cijena</v>
      </c>
      <c r="Q385" s="8" t="str">
        <f>'Obrazac kalkulacije'!$G$6</f>
        <v>Iznos</v>
      </c>
    </row>
    <row r="386" spans="1:17" ht="4.5" customHeight="1" thickTop="1" thickBot="1">
      <c r="B386" s="35"/>
      <c r="C386" s="1"/>
      <c r="D386" s="9"/>
      <c r="E386" s="11"/>
      <c r="F386" s="205"/>
      <c r="G386" s="13"/>
      <c r="L386" s="35"/>
      <c r="M386" s="1"/>
      <c r="N386" s="9"/>
      <c r="O386" s="11"/>
      <c r="P386" s="205"/>
      <c r="Q386" s="13"/>
    </row>
    <row r="387" spans="1:17" ht="30" customHeight="1" thickTop="1" thickBot="1">
      <c r="A387" s="704"/>
      <c r="B387" s="797" t="str">
        <f>'Obrazac kalkulacije'!$B$6:$C$6</f>
        <v>Opis</v>
      </c>
      <c r="C387" s="797"/>
      <c r="D387" s="704" t="str">
        <f>'Obrazac kalkulacije'!$D$6</f>
        <v>Jed.
mjere</v>
      </c>
      <c r="E387" s="704" t="str">
        <f>'Obrazac kalkulacije'!$E$6</f>
        <v>Normativ</v>
      </c>
      <c r="F387" s="704" t="str">
        <f>'Obrazac kalkulacije'!$F$6</f>
        <v>Jed.
cijena</v>
      </c>
      <c r="G387" s="704" t="str">
        <f>'Obrazac kalkulacije'!$G$6</f>
        <v>Iznos</v>
      </c>
      <c r="K387" s="704"/>
      <c r="L387" s="797" t="e">
        <f>'Obrazac kalkulacije'!$B$6:$C$6</f>
        <v>#VALUE!</v>
      </c>
      <c r="M387" s="797"/>
      <c r="N387" s="704" t="str">
        <f>'Obrazac kalkulacije'!$D$6</f>
        <v>Jed.
mjere</v>
      </c>
      <c r="O387" s="704" t="str">
        <f>'Obrazac kalkulacije'!$E$6</f>
        <v>Normativ</v>
      </c>
      <c r="P387" s="704" t="str">
        <f>'Obrazac kalkulacije'!$F$6</f>
        <v>Jed.
cijena</v>
      </c>
      <c r="Q387" s="704" t="str">
        <f>'Obrazac kalkulacije'!$G$6</f>
        <v>Iznos</v>
      </c>
    </row>
    <row r="388" spans="1:17" ht="4.5" customHeight="1" thickTop="1">
      <c r="B388" s="35"/>
      <c r="C388" s="1"/>
      <c r="D388" s="9"/>
      <c r="E388" s="11"/>
      <c r="F388" s="205"/>
      <c r="G388" s="13"/>
      <c r="L388" s="35"/>
      <c r="M388" s="1"/>
      <c r="N388" s="9"/>
      <c r="O388" s="11"/>
      <c r="P388" s="205"/>
      <c r="Q388" s="13"/>
    </row>
    <row r="389" spans="1:17" ht="25.15" customHeight="1">
      <c r="A389" s="656"/>
      <c r="B389" s="784" t="str">
        <f>'Obrazac kalkulacije'!$B$8</f>
        <v>Radna snaga:</v>
      </c>
      <c r="C389" s="784"/>
      <c r="D389" s="656"/>
      <c r="E389" s="656"/>
      <c r="F389" s="206"/>
      <c r="G389" s="16">
        <f>SUM(G390:G392)</f>
        <v>57.8598</v>
      </c>
      <c r="K389" s="656"/>
      <c r="L389" s="784" t="str">
        <f>'Obrazac kalkulacije'!$B$8</f>
        <v>Radna snaga:</v>
      </c>
      <c r="M389" s="784"/>
      <c r="N389" s="656"/>
      <c r="O389" s="656"/>
      <c r="P389" s="206"/>
      <c r="Q389" s="16">
        <f>SUM(Q392:Q392)</f>
        <v>0</v>
      </c>
    </row>
    <row r="390" spans="1:17" ht="25.15" customHeight="1">
      <c r="A390" s="692"/>
      <c r="B390" s="788" t="s">
        <v>875</v>
      </c>
      <c r="C390" s="788"/>
      <c r="D390" s="693" t="s">
        <v>15</v>
      </c>
      <c r="E390" s="694">
        <v>0.23</v>
      </c>
      <c r="F390" s="676">
        <f>SUMIF('Cjenik RS'!$C$11:$C$26,kalkulacija!B390,'Cjenik RS'!$D$11:$D$26)</f>
        <v>107.62</v>
      </c>
      <c r="G390" s="677">
        <f>+F390*E390</f>
        <v>24.752600000000001</v>
      </c>
      <c r="I390" s="737">
        <f>SUM(8/0.23)</f>
        <v>34.782608695652172</v>
      </c>
      <c r="K390" s="656"/>
      <c r="L390" s="703"/>
      <c r="M390" s="703"/>
      <c r="N390" s="84"/>
      <c r="O390" s="84"/>
      <c r="P390" s="206"/>
      <c r="Q390" s="75"/>
    </row>
    <row r="391" spans="1:17" ht="25.15" customHeight="1">
      <c r="A391" s="686"/>
      <c r="B391" s="789" t="s">
        <v>874</v>
      </c>
      <c r="C391" s="789"/>
      <c r="D391" s="678" t="s">
        <v>15</v>
      </c>
      <c r="E391" s="695">
        <v>0.32</v>
      </c>
      <c r="F391" s="680">
        <f>SUMIF('Cjenik RS'!$C$11:$C$26,kalkulacija!B391,'Cjenik RS'!$D$11:$D$26)</f>
        <v>103.46</v>
      </c>
      <c r="G391" s="681">
        <f>+F391*E391</f>
        <v>33.107199999999999</v>
      </c>
      <c r="I391" s="3">
        <f>SUM(8/E391)</f>
        <v>25</v>
      </c>
      <c r="K391" s="656"/>
      <c r="L391" s="703"/>
      <c r="M391" s="703"/>
      <c r="N391" s="84"/>
      <c r="O391" s="84"/>
      <c r="P391" s="206"/>
      <c r="Q391" s="75"/>
    </row>
    <row r="392" spans="1:17" ht="25.15" customHeight="1">
      <c r="A392" s="696"/>
      <c r="B392" s="790"/>
      <c r="C392" s="790"/>
      <c r="D392" s="697" t="s">
        <v>15</v>
      </c>
      <c r="E392" s="695"/>
      <c r="F392" s="680">
        <f>SUMIF('Cjenik RS'!$C$11:$C$26,kalkulacija!B392,'Cjenik RS'!$D$11:$D$26)</f>
        <v>0</v>
      </c>
      <c r="G392" s="681">
        <f>+F392*E392</f>
        <v>0</v>
      </c>
      <c r="K392" s="26"/>
      <c r="L392" s="791" t="s">
        <v>130</v>
      </c>
      <c r="M392" s="791"/>
      <c r="N392" s="27" t="s">
        <v>15</v>
      </c>
      <c r="O392" s="28">
        <v>4.571663</v>
      </c>
      <c r="P392" s="203">
        <f>SUMIF('Cjenik RS'!$C$11:$C$26,$B392,'Cjenik RS'!$D$11:$D$88)</f>
        <v>0</v>
      </c>
      <c r="Q392" s="29">
        <f>+P392*O392</f>
        <v>0</v>
      </c>
    </row>
    <row r="393" spans="1:17" ht="25.15" customHeight="1">
      <c r="A393" s="656"/>
      <c r="B393" s="784" t="str">
        <f>'Obrazac kalkulacije'!$B$11</f>
        <v>Vozila, strojevi i oprema:</v>
      </c>
      <c r="C393" s="784"/>
      <c r="D393" s="656"/>
      <c r="E393" s="656"/>
      <c r="F393" s="203"/>
      <c r="G393" s="16">
        <f>SUM(G394:G396)</f>
        <v>2.0978400000000001</v>
      </c>
      <c r="K393" s="656"/>
      <c r="L393" s="784" t="str">
        <f>'Obrazac kalkulacije'!$B$11</f>
        <v>Vozila, strojevi i oprema:</v>
      </c>
      <c r="M393" s="784"/>
      <c r="N393" s="656"/>
      <c r="O393" s="656"/>
      <c r="P393" s="203"/>
      <c r="Q393" s="16">
        <f>SUM(Q394:Q396)</f>
        <v>344.37690809999998</v>
      </c>
    </row>
    <row r="394" spans="1:17" ht="25.15" customHeight="1">
      <c r="A394" s="44"/>
      <c r="B394" s="781" t="s">
        <v>477</v>
      </c>
      <c r="C394" s="782"/>
      <c r="D394" s="693" t="s">
        <v>15</v>
      </c>
      <c r="E394" s="675">
        <v>8.0000000000000002E-3</v>
      </c>
      <c r="F394" s="676">
        <f>SUMIF('Cjenik VSO (pomoćna) (2)'!$B$9:$B$26,kalkulacija!B394,'Cjenik VSO (pomoćna) (2)'!$C$9:$C$26)</f>
        <v>262.23</v>
      </c>
      <c r="G394" s="677">
        <f>E394*F394</f>
        <v>2.0978400000000001</v>
      </c>
      <c r="I394" s="3">
        <f>SUM(8/E394)</f>
        <v>1000</v>
      </c>
      <c r="K394" s="44"/>
      <c r="L394" s="773" t="s">
        <v>138</v>
      </c>
      <c r="M394" s="773"/>
      <c r="N394" s="707" t="s">
        <v>15</v>
      </c>
      <c r="O394" s="46">
        <v>2.1183299999999998</v>
      </c>
      <c r="P394" s="200">
        <f>SUMIF('Cjenik VSO'!$B$9:$B$85,$B394,'Cjenik VSO'!$C$9:$C$85)</f>
        <v>162.57</v>
      </c>
      <c r="Q394" s="48">
        <f>O394*P394</f>
        <v>344.37690809999998</v>
      </c>
    </row>
    <row r="395" spans="1:17" ht="25.15" customHeight="1">
      <c r="A395" s="49"/>
      <c r="B395" s="783"/>
      <c r="C395" s="772"/>
      <c r="D395" s="678" t="s">
        <v>15</v>
      </c>
      <c r="E395" s="679"/>
      <c r="F395" s="680">
        <f>SUMIF('Cjenik VSO (pomoćna) (2)'!$B$9:$B$26,kalkulacija!B395,'Cjenik VSO (pomoćna) (2)'!$C$9:$C$26)</f>
        <v>0</v>
      </c>
      <c r="G395" s="681">
        <f>E395*F395</f>
        <v>0</v>
      </c>
      <c r="K395" s="49"/>
      <c r="L395" s="774" t="s">
        <v>139</v>
      </c>
      <c r="M395" s="774"/>
      <c r="N395" s="706" t="s">
        <v>15</v>
      </c>
      <c r="O395" s="51">
        <v>0.15</v>
      </c>
      <c r="P395" s="201">
        <f>SUMIF('Cjenik VSO'!$B$9:$B$85,$B395,'Cjenik VSO'!$C$9:$C$85)</f>
        <v>0</v>
      </c>
      <c r="Q395" s="53">
        <f>O395*P395</f>
        <v>0</v>
      </c>
    </row>
    <row r="396" spans="1:17" ht="25.15" customHeight="1">
      <c r="A396" s="54"/>
      <c r="B396" s="785"/>
      <c r="C396" s="786"/>
      <c r="D396" s="682" t="s">
        <v>15</v>
      </c>
      <c r="E396" s="683"/>
      <c r="F396" s="684">
        <f>SUMIF('Cjenik VSO (pomoćna) (2)'!$B$9:$B$26,kalkulacija!B396,'Cjenik VSO (pomoćna) (2)'!$C$9:$C$26)</f>
        <v>0</v>
      </c>
      <c r="G396" s="685">
        <f>E396*F396</f>
        <v>0</v>
      </c>
      <c r="K396" s="54"/>
      <c r="L396" s="787" t="s">
        <v>140</v>
      </c>
      <c r="M396" s="787"/>
      <c r="N396" s="705" t="s">
        <v>15</v>
      </c>
      <c r="O396" s="56">
        <v>0.2</v>
      </c>
      <c r="P396" s="202">
        <f>SUMIF('Cjenik VSO'!$B$9:$B$85,$B396,'Cjenik VSO'!$C$9:$C$85)</f>
        <v>0</v>
      </c>
      <c r="Q396" s="58">
        <f>O396*P396</f>
        <v>0</v>
      </c>
    </row>
    <row r="397" spans="1:17" ht="25.15" customHeight="1">
      <c r="A397" s="656"/>
      <c r="B397" s="784" t="str">
        <f>'Obrazac kalkulacije'!$B$15</f>
        <v>Materijali:</v>
      </c>
      <c r="C397" s="784"/>
      <c r="D397" s="656"/>
      <c r="E397" s="656"/>
      <c r="F397" s="203"/>
      <c r="G397" s="16">
        <f>SUM(G398:G407)</f>
        <v>217.01999999999998</v>
      </c>
      <c r="K397" s="656"/>
      <c r="L397" s="784" t="str">
        <f>'Obrazac kalkulacije'!$B$15</f>
        <v>Materijali:</v>
      </c>
      <c r="M397" s="784"/>
      <c r="N397" s="656"/>
      <c r="O397" s="656"/>
      <c r="P397" s="203"/>
      <c r="Q397" s="16">
        <f>SUM(Q398:Q407)</f>
        <v>40.864799999999995</v>
      </c>
    </row>
    <row r="398" spans="1:17" ht="25.15" customHeight="1">
      <c r="A398" s="44"/>
      <c r="B398" s="781" t="s">
        <v>891</v>
      </c>
      <c r="C398" s="782"/>
      <c r="D398" s="678" t="str">
        <f>INDEX('Cjenik M'!$C$11:$C$500, MATCH(1,INDEX(('Cjenik M'!$B$11:$B$500=kalkulacija!B398)*('Cjenik M'!$D$11:$D$500=kalkulacija!F398),,),0))</f>
        <v>m2</v>
      </c>
      <c r="E398" s="675">
        <v>1</v>
      </c>
      <c r="F398" s="676">
        <f>SUMIF('Cjenik M'!$B$11:$B$350,kalkulacija!B398,'Cjenik M'!$D$11:$D$350)</f>
        <v>121.22</v>
      </c>
      <c r="G398" s="677">
        <f t="shared" ref="G398:G403" si="6">E398*F398</f>
        <v>121.22</v>
      </c>
      <c r="K398" s="44"/>
      <c r="L398" s="773" t="str">
        <f>'Cjenik M'!$B$16</f>
        <v xml:space="preserve">Cement 25 kg </v>
      </c>
      <c r="M398" s="773"/>
      <c r="N398" s="707" t="str">
        <f>'Cjenik M'!$C$16</f>
        <v>vreća</v>
      </c>
      <c r="O398" s="46">
        <v>0.5</v>
      </c>
      <c r="P398" s="200">
        <f>'Cjenik M'!$D$16</f>
        <v>18.36</v>
      </c>
      <c r="Q398" s="48">
        <f>O398*P398</f>
        <v>9.18</v>
      </c>
    </row>
    <row r="399" spans="1:17" ht="25.15" customHeight="1">
      <c r="A399" s="49"/>
      <c r="B399" s="783" t="s">
        <v>892</v>
      </c>
      <c r="C399" s="772"/>
      <c r="D399" s="678" t="s">
        <v>20</v>
      </c>
      <c r="E399" s="679">
        <v>1</v>
      </c>
      <c r="F399" s="680">
        <f>SUMIF('Cjenik M'!$B$11:$B$350,kalkulacija!B399,'Cjenik M'!$D$11:$D$350)</f>
        <v>7.45</v>
      </c>
      <c r="G399" s="681">
        <f t="shared" si="6"/>
        <v>7.45</v>
      </c>
      <c r="K399" s="49"/>
      <c r="L399" s="774" t="str">
        <f>'Cjenik M'!$B$14</f>
        <v>Zaštitna folija PVC 6*4 m</v>
      </c>
      <c r="M399" s="774"/>
      <c r="N399" s="706" t="str">
        <f>'Cjenik M'!$C$14</f>
        <v>kom.</v>
      </c>
      <c r="O399" s="51">
        <v>0.5</v>
      </c>
      <c r="P399" s="201">
        <f>'Cjenik M'!$D$14</f>
        <v>4.8</v>
      </c>
      <c r="Q399" s="53">
        <f>O399*P399</f>
        <v>2.4</v>
      </c>
    </row>
    <row r="400" spans="1:17" ht="25.15" customHeight="1">
      <c r="A400" s="686"/>
      <c r="B400" s="772" t="s">
        <v>1047</v>
      </c>
      <c r="C400" s="772"/>
      <c r="D400" s="678" t="s">
        <v>32</v>
      </c>
      <c r="E400" s="679">
        <v>1.75</v>
      </c>
      <c r="F400" s="680">
        <f>SUMIF('Cjenik M'!$B$11:$B$350,kalkulacija!B400,'Cjenik M'!$D$11:$D$350)</f>
        <v>16.2</v>
      </c>
      <c r="G400" s="681">
        <f t="shared" si="6"/>
        <v>28.349999999999998</v>
      </c>
      <c r="K400" s="76"/>
      <c r="L400" s="654"/>
      <c r="M400" s="654"/>
      <c r="N400" s="71"/>
      <c r="O400" s="77"/>
      <c r="P400" s="213"/>
      <c r="Q400" s="73"/>
    </row>
    <row r="401" spans="1:17" ht="25.15" customHeight="1">
      <c r="A401" s="686"/>
      <c r="B401" s="772" t="s">
        <v>298</v>
      </c>
      <c r="C401" s="772"/>
      <c r="D401" s="678" t="s">
        <v>21</v>
      </c>
      <c r="E401" s="679">
        <v>0.03</v>
      </c>
      <c r="F401" s="680">
        <f>SUMIF('Cjenik M'!$B$11:$B$350,kalkulacija!B401,'Cjenik M'!$D$11:$D$350)</f>
        <v>2000</v>
      </c>
      <c r="G401" s="681">
        <f t="shared" si="6"/>
        <v>60</v>
      </c>
      <c r="K401" s="44"/>
      <c r="L401" s="773" t="str">
        <f>'Cjenik M'!$B$16</f>
        <v xml:space="preserve">Cement 25 kg </v>
      </c>
      <c r="M401" s="773"/>
      <c r="N401" s="707" t="str">
        <f>'Cjenik M'!$C$16</f>
        <v>vreća</v>
      </c>
      <c r="O401" s="46">
        <v>0.5</v>
      </c>
      <c r="P401" s="200">
        <f>'Cjenik M'!$D$16</f>
        <v>18.36</v>
      </c>
      <c r="Q401" s="48">
        <f>O401*P401</f>
        <v>9.18</v>
      </c>
    </row>
    <row r="402" spans="1:17" ht="25.15" customHeight="1">
      <c r="A402" s="686"/>
      <c r="B402" s="772"/>
      <c r="C402" s="772"/>
      <c r="D402" s="678"/>
      <c r="E402" s="679"/>
      <c r="F402" s="680">
        <f>SUMIF('Cjenik M'!$B$11:$B$350,kalkulacija!B402,'Cjenik M'!$D$11:$D$350)</f>
        <v>0</v>
      </c>
      <c r="G402" s="681">
        <f t="shared" si="6"/>
        <v>0</v>
      </c>
      <c r="K402" s="44"/>
      <c r="L402" s="773" t="str">
        <f>'Cjenik M'!$B$16</f>
        <v xml:space="preserve">Cement 25 kg </v>
      </c>
      <c r="M402" s="773"/>
      <c r="N402" s="707" t="str">
        <f>'Cjenik M'!$C$16</f>
        <v>vreća</v>
      </c>
      <c r="O402" s="46">
        <v>0.5</v>
      </c>
      <c r="P402" s="200">
        <f>'Cjenik M'!$D$16</f>
        <v>18.36</v>
      </c>
      <c r="Q402" s="48">
        <f>O402*P402</f>
        <v>9.18</v>
      </c>
    </row>
    <row r="403" spans="1:17" ht="25.15" customHeight="1">
      <c r="A403" s="686"/>
      <c r="B403" s="772"/>
      <c r="C403" s="772"/>
      <c r="D403" s="678"/>
      <c r="E403" s="679"/>
      <c r="F403" s="680"/>
      <c r="G403" s="681">
        <f t="shared" si="6"/>
        <v>0</v>
      </c>
      <c r="K403" s="49"/>
      <c r="L403" s="774" t="str">
        <f>'Cjenik M'!$B$14</f>
        <v>Zaštitna folija PVC 6*4 m</v>
      </c>
      <c r="M403" s="774"/>
      <c r="N403" s="706" t="str">
        <f>'Cjenik M'!$C$14</f>
        <v>kom.</v>
      </c>
      <c r="O403" s="51">
        <v>0.5</v>
      </c>
      <c r="P403" s="201">
        <f>'Cjenik M'!$D$14</f>
        <v>4.8</v>
      </c>
      <c r="Q403" s="53">
        <f>O403*P403</f>
        <v>2.4</v>
      </c>
    </row>
    <row r="404" spans="1:17" ht="25.15" customHeight="1">
      <c r="A404" s="686"/>
      <c r="B404" s="772"/>
      <c r="C404" s="772"/>
      <c r="D404" s="678"/>
      <c r="E404" s="679"/>
      <c r="F404" s="680"/>
      <c r="G404" s="681"/>
      <c r="K404" s="76"/>
      <c r="L404" s="654"/>
      <c r="M404" s="654"/>
      <c r="N404" s="71"/>
      <c r="O404" s="77"/>
      <c r="P404" s="213"/>
      <c r="Q404" s="73"/>
    </row>
    <row r="405" spans="1:17" ht="25.15" customHeight="1">
      <c r="A405" s="686"/>
      <c r="B405" s="772"/>
      <c r="C405" s="772"/>
      <c r="D405" s="678"/>
      <c r="E405" s="679"/>
      <c r="F405" s="680">
        <f>SUMIF('Cjenik M'!$B$11:$B$350,kalkulacija!B405,'Cjenik M'!$D$11:$D$350)</f>
        <v>0</v>
      </c>
      <c r="G405" s="681">
        <f>E405*F405</f>
        <v>0</v>
      </c>
      <c r="K405" s="76"/>
      <c r="L405" s="654"/>
      <c r="M405" s="654"/>
      <c r="N405" s="71"/>
      <c r="O405" s="77"/>
      <c r="P405" s="213"/>
      <c r="Q405" s="73"/>
    </row>
    <row r="406" spans="1:17" ht="25.15" customHeight="1">
      <c r="A406" s="686"/>
      <c r="B406" s="772"/>
      <c r="C406" s="772"/>
      <c r="D406" s="678"/>
      <c r="E406" s="679"/>
      <c r="F406" s="680">
        <f>SUMIF('Cjenik M'!$B$11:$B$350,kalkulacija!B406,'Cjenik M'!$D$11:$D$350)</f>
        <v>0</v>
      </c>
      <c r="G406" s="681">
        <f>E406*F406</f>
        <v>0</v>
      </c>
      <c r="K406" s="76"/>
      <c r="L406" s="654"/>
      <c r="M406" s="654"/>
      <c r="N406" s="71"/>
      <c r="O406" s="77"/>
      <c r="P406" s="213"/>
      <c r="Q406" s="73"/>
    </row>
    <row r="407" spans="1:17" ht="25.15" customHeight="1" thickBot="1">
      <c r="A407" s="59"/>
      <c r="B407" s="775"/>
      <c r="C407" s="776"/>
      <c r="D407" s="688"/>
      <c r="E407" s="689"/>
      <c r="F407" s="691">
        <f>SUMIF('Cjenik M'!$B$11:$B$350,kalkulacija!B407,'Cjenik M'!$D$11:$D$350)</f>
        <v>0</v>
      </c>
      <c r="G407" s="690"/>
      <c r="K407" s="59"/>
      <c r="L407" s="777" t="str">
        <f>'Cjenik M'!$B$21</f>
        <v>PVC koljeno 40x90</v>
      </c>
      <c r="M407" s="777"/>
      <c r="N407" s="708" t="str">
        <f>'Cjenik M'!$C$21</f>
        <v>kom.</v>
      </c>
      <c r="O407" s="61">
        <v>3.33</v>
      </c>
      <c r="P407" s="208">
        <f>'Cjenik M'!$D$21</f>
        <v>2.56</v>
      </c>
      <c r="Q407" s="63">
        <f>O407*P407</f>
        <v>8.5248000000000008</v>
      </c>
    </row>
    <row r="408" spans="1:17" ht="25.15" customHeight="1" thickTop="1" thickBot="1">
      <c r="E408" s="778" t="str">
        <f>'Obrazac kalkulacije'!$E$18</f>
        <v>Ukupno (kn):</v>
      </c>
      <c r="F408" s="778"/>
      <c r="G408" s="64">
        <f>ROUND(SUM(G389+G393+G397),2)</f>
        <v>276.98</v>
      </c>
      <c r="H408" s="217"/>
      <c r="I408" s="602"/>
      <c r="J408" s="602"/>
      <c r="O408" s="778" t="str">
        <f>'Obrazac kalkulacije'!$E$18</f>
        <v>Ukupno (kn):</v>
      </c>
      <c r="P408" s="778"/>
      <c r="Q408" s="64">
        <f>ROUND(SUM(Q389+Q393+Q397),2)</f>
        <v>385.24</v>
      </c>
    </row>
    <row r="409" spans="1:17" ht="25.15" customHeight="1" thickTop="1" thickBot="1">
      <c r="E409" s="23" t="str">
        <f>'Obrazac kalkulacije'!$E$19</f>
        <v>PDV:</v>
      </c>
      <c r="F409" s="207">
        <f>'Obrazac kalkulacije'!$F$19</f>
        <v>0.25</v>
      </c>
      <c r="G409" s="24">
        <f>G408*F409</f>
        <v>69.245000000000005</v>
      </c>
      <c r="H409" s="446"/>
      <c r="I409" s="446"/>
      <c r="J409" s="446"/>
      <c r="O409" s="23" t="str">
        <f>'Obrazac kalkulacije'!$E$19</f>
        <v>PDV:</v>
      </c>
      <c r="P409" s="207">
        <f>'Obrazac kalkulacije'!$F$19</f>
        <v>0.25</v>
      </c>
      <c r="Q409" s="24">
        <f>Q408*P409</f>
        <v>96.31</v>
      </c>
    </row>
    <row r="410" spans="1:17" ht="25.15" customHeight="1" thickTop="1" thickBot="1">
      <c r="E410" s="779" t="str">
        <f>'Obrazac kalkulacije'!$E$20</f>
        <v>Sveukupno (kn):</v>
      </c>
      <c r="F410" s="779"/>
      <c r="G410" s="24">
        <f>ROUND(SUM(G408:G409),2)</f>
        <v>346.23</v>
      </c>
      <c r="H410" s="447"/>
      <c r="I410" s="447"/>
      <c r="J410" s="447"/>
      <c r="O410" s="779" t="str">
        <f>'Obrazac kalkulacije'!$E$20</f>
        <v>Sveukupno (kn):</v>
      </c>
      <c r="P410" s="779"/>
      <c r="Q410" s="24">
        <f>ROUND(SUM(Q408:Q409),2)</f>
        <v>481.55</v>
      </c>
    </row>
    <row r="411" spans="1:17" ht="15" customHeight="1" thickTop="1"/>
    <row r="412" spans="1:17" ht="15" customHeight="1"/>
    <row r="413" spans="1:17" ht="15" customHeight="1">
      <c r="C413" s="3" t="str">
        <f>'Obrazac kalkulacije'!$C$24</f>
        <v>IZVODITELJ:</v>
      </c>
      <c r="F413" s="780" t="str">
        <f>'Obrazac kalkulacije'!$F$24</f>
        <v>NARUČITELJ:</v>
      </c>
      <c r="G413" s="780"/>
      <c r="M413" s="3" t="str">
        <f>'Obrazac kalkulacije'!$C$24</f>
        <v>IZVODITELJ:</v>
      </c>
      <c r="P413" s="780" t="str">
        <f>'Obrazac kalkulacije'!$F$24</f>
        <v>NARUČITELJ:</v>
      </c>
      <c r="Q413" s="780"/>
    </row>
    <row r="414" spans="1:17" ht="25.15" customHeight="1">
      <c r="C414" s="3" t="str">
        <f>'Obrazac kalkulacije'!$C$25</f>
        <v>__________________</v>
      </c>
      <c r="F414" s="780" t="str">
        <f>'Obrazac kalkulacije'!$F$25</f>
        <v>___________________</v>
      </c>
      <c r="G414" s="780"/>
      <c r="M414" s="3" t="str">
        <f>'Obrazac kalkulacije'!$C$25</f>
        <v>__________________</v>
      </c>
      <c r="P414" s="780" t="str">
        <f>'Obrazac kalkulacije'!$F$25</f>
        <v>___________________</v>
      </c>
      <c r="Q414" s="780"/>
    </row>
    <row r="415" spans="1:17" ht="15" customHeight="1"/>
    <row r="416" spans="1:17" ht="15" customHeight="1">
      <c r="A416" s="115"/>
      <c r="B416" s="116"/>
      <c r="C416" s="117"/>
      <c r="D416" s="117"/>
      <c r="E416" s="117"/>
      <c r="F416" s="211"/>
      <c r="G416" s="117"/>
      <c r="K416" s="115"/>
      <c r="L416" s="116" t="s">
        <v>17</v>
      </c>
      <c r="M416" s="117" t="s">
        <v>18</v>
      </c>
      <c r="N416" s="117"/>
      <c r="O416" s="117"/>
      <c r="P416" s="211"/>
      <c r="Q416" s="117"/>
    </row>
    <row r="417" spans="1:17" ht="15" customHeight="1">
      <c r="A417" s="31"/>
      <c r="B417" s="32"/>
      <c r="C417" s="7"/>
      <c r="D417" s="7"/>
      <c r="E417" s="7"/>
      <c r="F417" s="212"/>
      <c r="G417" s="7"/>
      <c r="K417" s="31"/>
      <c r="L417" s="32" t="s">
        <v>22</v>
      </c>
      <c r="M417" s="7" t="s">
        <v>23</v>
      </c>
      <c r="N417" s="7"/>
      <c r="O417" s="7"/>
      <c r="P417" s="212"/>
      <c r="Q417" s="7"/>
    </row>
    <row r="418" spans="1:17" ht="15" customHeight="1">
      <c r="A418" s="41"/>
      <c r="B418" s="42"/>
      <c r="C418" s="43"/>
      <c r="D418" s="43"/>
      <c r="E418" s="43"/>
      <c r="F418" s="209"/>
      <c r="G418" s="43"/>
      <c r="K418" s="41"/>
      <c r="L418" s="42" t="s">
        <v>35</v>
      </c>
      <c r="M418" s="43" t="s">
        <v>36</v>
      </c>
      <c r="N418" s="43"/>
      <c r="O418" s="43"/>
      <c r="P418" s="209"/>
      <c r="Q418" s="43"/>
    </row>
    <row r="419" spans="1:17" ht="150" customHeight="1">
      <c r="A419" s="33"/>
      <c r="B419" s="443"/>
      <c r="C419" s="792" t="s">
        <v>1052</v>
      </c>
      <c r="D419" s="792"/>
      <c r="E419" s="792"/>
      <c r="F419" s="792"/>
      <c r="G419" s="792"/>
      <c r="K419" s="33"/>
      <c r="L419" s="34" t="s">
        <v>40</v>
      </c>
      <c r="M419" s="795" t="s">
        <v>168</v>
      </c>
      <c r="N419" s="795"/>
      <c r="O419" s="795"/>
      <c r="P419" s="795"/>
      <c r="Q419" s="795"/>
    </row>
    <row r="420" spans="1:17" ht="15" customHeight="1" thickBot="1"/>
    <row r="421" spans="1:17" ht="30" customHeight="1" thickTop="1" thickBot="1">
      <c r="A421" s="8"/>
      <c r="B421" s="797" t="str">
        <f>'Obrazac kalkulacije'!$B$6:$C$6</f>
        <v>Opis</v>
      </c>
      <c r="C421" s="797"/>
      <c r="D421" s="8" t="str">
        <f>'Obrazac kalkulacije'!$D$6</f>
        <v>Jed.
mjere</v>
      </c>
      <c r="E421" s="8" t="str">
        <f>'Obrazac kalkulacije'!$E$6</f>
        <v>Normativ</v>
      </c>
      <c r="F421" s="8" t="str">
        <f>'Obrazac kalkulacije'!$F$6</f>
        <v>Jed.
cijena</v>
      </c>
      <c r="G421" s="8" t="str">
        <f>'Obrazac kalkulacije'!$G$6</f>
        <v>Iznos</v>
      </c>
      <c r="K421" s="8"/>
      <c r="L421" s="797" t="e">
        <f>'Obrazac kalkulacije'!$B$6:$C$6</f>
        <v>#VALUE!</v>
      </c>
      <c r="M421" s="797"/>
      <c r="N421" s="8" t="str">
        <f>'Obrazac kalkulacije'!$D$6</f>
        <v>Jed.
mjere</v>
      </c>
      <c r="O421" s="8" t="str">
        <f>'Obrazac kalkulacije'!$E$6</f>
        <v>Normativ</v>
      </c>
      <c r="P421" s="8" t="str">
        <f>'Obrazac kalkulacije'!$F$6</f>
        <v>Jed.
cijena</v>
      </c>
      <c r="Q421" s="8" t="str">
        <f>'Obrazac kalkulacije'!$G$6</f>
        <v>Iznos</v>
      </c>
    </row>
    <row r="422" spans="1:17" ht="25.5" customHeight="1" thickTop="1">
      <c r="B422" s="883" t="str">
        <f>'Obrazac kalkulacije'!$B$8</f>
        <v>Radna snaga:</v>
      </c>
      <c r="C422" s="883"/>
      <c r="D422" s="9"/>
      <c r="E422" s="11"/>
      <c r="F422" s="205"/>
      <c r="G422" s="13"/>
      <c r="L422" s="35"/>
      <c r="M422" s="1"/>
      <c r="N422" s="9"/>
      <c r="O422" s="11"/>
      <c r="P422" s="205"/>
      <c r="Q422" s="13"/>
    </row>
    <row r="423" spans="1:17" ht="25.15" customHeight="1">
      <c r="A423" s="692"/>
      <c r="B423" s="788" t="s">
        <v>875</v>
      </c>
      <c r="C423" s="788"/>
      <c r="D423" s="693" t="s">
        <v>15</v>
      </c>
      <c r="E423" s="694">
        <v>1.33</v>
      </c>
      <c r="F423" s="676">
        <f>SUMIF('Cjenik RS'!$C$11:$C$26,kalkulacija!B423,'Cjenik RS'!$D$11:$D$26)</f>
        <v>107.62</v>
      </c>
      <c r="G423" s="677">
        <f>+F423*E423</f>
        <v>143.13460000000001</v>
      </c>
      <c r="I423" s="737">
        <f>SUM(8/6)</f>
        <v>1.3333333333333333</v>
      </c>
      <c r="K423" s="656"/>
      <c r="L423" s="703"/>
      <c r="M423" s="703"/>
      <c r="N423" s="84"/>
      <c r="O423" s="84"/>
      <c r="P423" s="206"/>
      <c r="Q423" s="75"/>
    </row>
    <row r="424" spans="1:17" ht="25.15" customHeight="1">
      <c r="A424" s="686"/>
      <c r="B424" s="789" t="s">
        <v>874</v>
      </c>
      <c r="C424" s="789"/>
      <c r="D424" s="678" t="s">
        <v>15</v>
      </c>
      <c r="E424" s="695">
        <v>0.66666599999999998</v>
      </c>
      <c r="F424" s="680">
        <f>SUMIF('Cjenik RS'!$C$11:$C$26,kalkulacija!B424,'Cjenik RS'!$D$11:$D$26)</f>
        <v>103.46</v>
      </c>
      <c r="G424" s="681">
        <f>+F424*E424</f>
        <v>68.973264359999988</v>
      </c>
      <c r="I424" s="3">
        <f>SUM(8/E424)</f>
        <v>12.000012000012001</v>
      </c>
      <c r="K424" s="656"/>
      <c r="L424" s="703"/>
      <c r="M424" s="703"/>
      <c r="N424" s="84"/>
      <c r="O424" s="84"/>
      <c r="P424" s="206"/>
      <c r="Q424" s="75"/>
    </row>
    <row r="425" spans="1:17" ht="25.15" customHeight="1">
      <c r="A425" s="696"/>
      <c r="B425" s="790"/>
      <c r="C425" s="790"/>
      <c r="D425" s="697" t="s">
        <v>15</v>
      </c>
      <c r="E425" s="695"/>
      <c r="F425" s="680">
        <f>SUMIF('Cjenik RS'!$C$11:$C$26,kalkulacija!B425,'Cjenik RS'!$D$11:$D$26)</f>
        <v>0</v>
      </c>
      <c r="G425" s="681">
        <f>+F425*E425</f>
        <v>0</v>
      </c>
      <c r="K425" s="26"/>
      <c r="L425" s="791" t="s">
        <v>130</v>
      </c>
      <c r="M425" s="791"/>
      <c r="N425" s="27" t="s">
        <v>15</v>
      </c>
      <c r="O425" s="28">
        <v>4.571663</v>
      </c>
      <c r="P425" s="203">
        <f>SUMIF('Cjenik RS'!$C$11:$C$26,$B425,'Cjenik RS'!$D$11:$D$88)</f>
        <v>0</v>
      </c>
      <c r="Q425" s="29">
        <f>+P425*O425</f>
        <v>0</v>
      </c>
    </row>
    <row r="426" spans="1:17" ht="25.15" customHeight="1">
      <c r="A426" s="656"/>
      <c r="B426" s="784" t="str">
        <f>'Obrazac kalkulacije'!$B$11</f>
        <v>Vozila, strojevi i oprema:</v>
      </c>
      <c r="C426" s="784"/>
      <c r="D426" s="656"/>
      <c r="E426" s="656"/>
      <c r="F426" s="203"/>
      <c r="G426" s="16">
        <f>SUM(G427:G429)</f>
        <v>10.4892</v>
      </c>
      <c r="K426" s="656"/>
      <c r="L426" s="784" t="str">
        <f>'Obrazac kalkulacije'!$B$11</f>
        <v>Vozila, strojevi i oprema:</v>
      </c>
      <c r="M426" s="784"/>
      <c r="N426" s="656"/>
      <c r="O426" s="656"/>
      <c r="P426" s="203"/>
      <c r="Q426" s="16">
        <f>SUM(Q427:Q429)</f>
        <v>344.37690809999998</v>
      </c>
    </row>
    <row r="427" spans="1:17" ht="25.15" customHeight="1">
      <c r="A427" s="44"/>
      <c r="B427" s="781" t="s">
        <v>477</v>
      </c>
      <c r="C427" s="782"/>
      <c r="D427" s="693" t="s">
        <v>15</v>
      </c>
      <c r="E427" s="675">
        <v>0.04</v>
      </c>
      <c r="F427" s="676">
        <f>SUMIF('Cjenik VSO (pomoćna) (2)'!$B$9:$B$26,kalkulacija!B427,'Cjenik VSO (pomoćna) (2)'!$C$9:$C$26)</f>
        <v>262.23</v>
      </c>
      <c r="G427" s="677">
        <f>E427*F427</f>
        <v>10.4892</v>
      </c>
      <c r="I427" s="3">
        <f>SUM(8/E427)</f>
        <v>200</v>
      </c>
      <c r="K427" s="44"/>
      <c r="L427" s="773" t="s">
        <v>138</v>
      </c>
      <c r="M427" s="773"/>
      <c r="N427" s="707" t="s">
        <v>15</v>
      </c>
      <c r="O427" s="46">
        <v>2.1183299999999998</v>
      </c>
      <c r="P427" s="200">
        <f>SUMIF('Cjenik VSO'!$B$9:$B$85,$B427,'Cjenik VSO'!$C$9:$C$85)</f>
        <v>162.57</v>
      </c>
      <c r="Q427" s="48">
        <f>O427*P427</f>
        <v>344.37690809999998</v>
      </c>
    </row>
    <row r="428" spans="1:17" ht="25.15" customHeight="1">
      <c r="A428" s="49"/>
      <c r="B428" s="783"/>
      <c r="C428" s="772"/>
      <c r="D428" s="678" t="s">
        <v>15</v>
      </c>
      <c r="E428" s="679"/>
      <c r="F428" s="680">
        <f>SUMIF('Cjenik VSO (pomoćna) (2)'!$B$9:$B$26,kalkulacija!B428,'Cjenik VSO (pomoćna) (2)'!$C$9:$C$26)</f>
        <v>0</v>
      </c>
      <c r="G428" s="681">
        <f>E428*F428</f>
        <v>0</v>
      </c>
      <c r="K428" s="49"/>
      <c r="L428" s="774" t="s">
        <v>139</v>
      </c>
      <c r="M428" s="774"/>
      <c r="N428" s="706" t="s">
        <v>15</v>
      </c>
      <c r="O428" s="51">
        <v>0.15</v>
      </c>
      <c r="P428" s="201">
        <f>SUMIF('Cjenik VSO'!$B$9:$B$85,$B428,'Cjenik VSO'!$C$9:$C$85)</f>
        <v>0</v>
      </c>
      <c r="Q428" s="53">
        <f>O428*P428</f>
        <v>0</v>
      </c>
    </row>
    <row r="429" spans="1:17" ht="25.15" customHeight="1">
      <c r="A429" s="54"/>
      <c r="B429" s="785"/>
      <c r="C429" s="786"/>
      <c r="D429" s="682" t="s">
        <v>15</v>
      </c>
      <c r="E429" s="683"/>
      <c r="F429" s="684">
        <f>SUMIF('Cjenik VSO (pomoćna) (2)'!$B$9:$B$26,kalkulacija!B429,'Cjenik VSO (pomoćna) (2)'!$C$9:$C$26)</f>
        <v>0</v>
      </c>
      <c r="G429" s="685">
        <f>E429*F429</f>
        <v>0</v>
      </c>
      <c r="K429" s="54"/>
      <c r="L429" s="787" t="s">
        <v>140</v>
      </c>
      <c r="M429" s="787"/>
      <c r="N429" s="705" t="s">
        <v>15</v>
      </c>
      <c r="O429" s="56">
        <v>0.2</v>
      </c>
      <c r="P429" s="202">
        <f>SUMIF('Cjenik VSO'!$B$9:$B$85,$B429,'Cjenik VSO'!$C$9:$C$85)</f>
        <v>0</v>
      </c>
      <c r="Q429" s="58">
        <f>O429*P429</f>
        <v>0</v>
      </c>
    </row>
    <row r="430" spans="1:17" ht="25.15" customHeight="1">
      <c r="A430" s="656"/>
      <c r="B430" s="784" t="str">
        <f>'Obrazac kalkulacije'!$B$15</f>
        <v>Materijali:</v>
      </c>
      <c r="C430" s="784"/>
      <c r="D430" s="656"/>
      <c r="E430" s="656"/>
      <c r="F430" s="203"/>
      <c r="G430" s="16">
        <f>SUM(G431:G440)</f>
        <v>1515.95</v>
      </c>
      <c r="K430" s="656"/>
      <c r="L430" s="784" t="str">
        <f>'Obrazac kalkulacije'!$B$15</f>
        <v>Materijali:</v>
      </c>
      <c r="M430" s="784"/>
      <c r="N430" s="656"/>
      <c r="O430" s="656"/>
      <c r="P430" s="203"/>
      <c r="Q430" s="16">
        <f>SUM(Q431:Q440)</f>
        <v>40.864799999999995</v>
      </c>
    </row>
    <row r="431" spans="1:17" ht="25.15" customHeight="1">
      <c r="A431" s="44"/>
      <c r="B431" s="781" t="s">
        <v>702</v>
      </c>
      <c r="C431" s="782"/>
      <c r="D431" s="678" t="str">
        <f>INDEX('Cjenik M'!$C$11:$C$500, MATCH(1,INDEX(('Cjenik M'!$B$11:$B$500=kalkulacija!B431)*('Cjenik M'!$D$11:$D$500=kalkulacija!F431),,),0))</f>
        <v>m'</v>
      </c>
      <c r="E431" s="675">
        <v>1</v>
      </c>
      <c r="F431" s="676">
        <f>SUMIF('Cjenik M'!$B$11:$B$350,kalkulacija!B431,'Cjenik M'!$D$11:$D$350)</f>
        <v>72.25</v>
      </c>
      <c r="G431" s="677">
        <f t="shared" ref="G431:G436" si="7">E431*F431</f>
        <v>72.25</v>
      </c>
      <c r="K431" s="44"/>
      <c r="L431" s="773" t="str">
        <f>'Cjenik M'!$B$16</f>
        <v xml:space="preserve">Cement 25 kg </v>
      </c>
      <c r="M431" s="773"/>
      <c r="N431" s="707" t="str">
        <f>'Cjenik M'!$C$16</f>
        <v>vreća</v>
      </c>
      <c r="O431" s="46">
        <v>0.5</v>
      </c>
      <c r="P431" s="200">
        <f>'Cjenik M'!$D$16</f>
        <v>18.36</v>
      </c>
      <c r="Q431" s="48">
        <f>O431*P431</f>
        <v>9.18</v>
      </c>
    </row>
    <row r="432" spans="1:17" ht="25.15" customHeight="1">
      <c r="A432" s="49"/>
      <c r="B432" s="783" t="s">
        <v>1053</v>
      </c>
      <c r="C432" s="772"/>
      <c r="D432" s="678" t="str">
        <f>INDEX('Cjenik M'!$C$11:$C$500, MATCH(1,INDEX(('Cjenik M'!$B$11:$B$500=kalkulacija!B432)*('Cjenik M'!$D$11:$D$500=kalkulacija!F432),,),0))</f>
        <v>kom</v>
      </c>
      <c r="E432" s="679">
        <v>1</v>
      </c>
      <c r="F432" s="680">
        <f>SUMIF('Cjenik M'!$B$11:$B$350,kalkulacija!B432,'Cjenik M'!$D$11:$D$350)</f>
        <v>1429.9</v>
      </c>
      <c r="G432" s="681">
        <f t="shared" si="7"/>
        <v>1429.9</v>
      </c>
      <c r="K432" s="49"/>
      <c r="L432" s="774" t="str">
        <f>'Cjenik M'!$B$14</f>
        <v>Zaštitna folija PVC 6*4 m</v>
      </c>
      <c r="M432" s="774"/>
      <c r="N432" s="706" t="str">
        <f>'Cjenik M'!$C$14</f>
        <v>kom.</v>
      </c>
      <c r="O432" s="51">
        <v>0.5</v>
      </c>
      <c r="P432" s="201">
        <f>'Cjenik M'!$D$14</f>
        <v>4.8</v>
      </c>
      <c r="Q432" s="53">
        <f>O432*P432</f>
        <v>2.4</v>
      </c>
    </row>
    <row r="433" spans="1:17" ht="25.15" customHeight="1">
      <c r="A433" s="686"/>
      <c r="B433" s="772" t="s">
        <v>1055</v>
      </c>
      <c r="C433" s="772"/>
      <c r="D433" s="678" t="str">
        <f>INDEX('Cjenik M'!$C$11:$C$500, MATCH(1,INDEX(('Cjenik M'!$B$11:$B$500=kalkulacija!B433)*('Cjenik M'!$D$11:$D$500=kalkulacija!F433),,),0))</f>
        <v>kom.</v>
      </c>
      <c r="E433" s="679">
        <v>0.5</v>
      </c>
      <c r="F433" s="680">
        <f>SUMIF('Cjenik M'!$B$11:$B$350,kalkulacija!B433,'Cjenik M'!$D$11:$D$500)</f>
        <v>27.6</v>
      </c>
      <c r="G433" s="681">
        <f t="shared" si="7"/>
        <v>13.8</v>
      </c>
      <c r="K433" s="76"/>
      <c r="L433" s="654"/>
      <c r="M433" s="654"/>
      <c r="N433" s="71"/>
      <c r="O433" s="77"/>
      <c r="P433" s="213"/>
      <c r="Q433" s="73"/>
    </row>
    <row r="434" spans="1:17" ht="25.15" customHeight="1">
      <c r="A434" s="686"/>
      <c r="B434" s="772"/>
      <c r="C434" s="772"/>
      <c r="D434" s="678"/>
      <c r="E434" s="679"/>
      <c r="F434" s="680">
        <f>SUMIF('Cjenik M'!$B$11:$B$350,kalkulacija!B434,'Cjenik M'!$D$11:$D$350)</f>
        <v>0</v>
      </c>
      <c r="G434" s="681">
        <f t="shared" si="7"/>
        <v>0</v>
      </c>
      <c r="K434" s="44"/>
      <c r="L434" s="773" t="str">
        <f>'Cjenik M'!$B$16</f>
        <v xml:space="preserve">Cement 25 kg </v>
      </c>
      <c r="M434" s="773"/>
      <c r="N434" s="707" t="str">
        <f>'Cjenik M'!$C$16</f>
        <v>vreća</v>
      </c>
      <c r="O434" s="46">
        <v>0.5</v>
      </c>
      <c r="P434" s="200">
        <f>'Cjenik M'!$D$16</f>
        <v>18.36</v>
      </c>
      <c r="Q434" s="48">
        <f>O434*P434</f>
        <v>9.18</v>
      </c>
    </row>
    <row r="435" spans="1:17" ht="25.15" customHeight="1">
      <c r="A435" s="686"/>
      <c r="B435" s="772"/>
      <c r="C435" s="772"/>
      <c r="D435" s="678"/>
      <c r="E435" s="679"/>
      <c r="F435" s="680">
        <f>SUMIF('Cjenik M'!$B$11:$B$350,kalkulacija!B435,'Cjenik M'!$D$11:$D$350)</f>
        <v>0</v>
      </c>
      <c r="G435" s="681">
        <f t="shared" si="7"/>
        <v>0</v>
      </c>
      <c r="K435" s="44"/>
      <c r="L435" s="773" t="str">
        <f>'Cjenik M'!$B$16</f>
        <v xml:space="preserve">Cement 25 kg </v>
      </c>
      <c r="M435" s="773"/>
      <c r="N435" s="707" t="str">
        <f>'Cjenik M'!$C$16</f>
        <v>vreća</v>
      </c>
      <c r="O435" s="46">
        <v>0.5</v>
      </c>
      <c r="P435" s="200">
        <f>'Cjenik M'!$D$16</f>
        <v>18.36</v>
      </c>
      <c r="Q435" s="48">
        <f>O435*P435</f>
        <v>9.18</v>
      </c>
    </row>
    <row r="436" spans="1:17" ht="25.15" customHeight="1">
      <c r="A436" s="686"/>
      <c r="B436" s="772"/>
      <c r="C436" s="772"/>
      <c r="D436" s="678"/>
      <c r="E436" s="679"/>
      <c r="F436" s="680"/>
      <c r="G436" s="681">
        <f t="shared" si="7"/>
        <v>0</v>
      </c>
      <c r="K436" s="49"/>
      <c r="L436" s="774" t="str">
        <f>'Cjenik M'!$B$14</f>
        <v>Zaštitna folija PVC 6*4 m</v>
      </c>
      <c r="M436" s="774"/>
      <c r="N436" s="706" t="str">
        <f>'Cjenik M'!$C$14</f>
        <v>kom.</v>
      </c>
      <c r="O436" s="51">
        <v>0.5</v>
      </c>
      <c r="P436" s="201">
        <f>'Cjenik M'!$D$14</f>
        <v>4.8</v>
      </c>
      <c r="Q436" s="53">
        <f>O436*P436</f>
        <v>2.4</v>
      </c>
    </row>
    <row r="437" spans="1:17" ht="25.15" customHeight="1">
      <c r="A437" s="686"/>
      <c r="B437" s="772"/>
      <c r="C437" s="772"/>
      <c r="D437" s="678"/>
      <c r="E437" s="679"/>
      <c r="F437" s="680"/>
      <c r="G437" s="681"/>
      <c r="K437" s="76"/>
      <c r="L437" s="654"/>
      <c r="M437" s="654"/>
      <c r="N437" s="71"/>
      <c r="O437" s="77"/>
      <c r="P437" s="213"/>
      <c r="Q437" s="73"/>
    </row>
    <row r="438" spans="1:17" ht="25.15" customHeight="1">
      <c r="A438" s="686"/>
      <c r="B438" s="772"/>
      <c r="C438" s="772"/>
      <c r="D438" s="678"/>
      <c r="E438" s="679"/>
      <c r="F438" s="680">
        <f>SUMIF('Cjenik M'!$B$11:$B$350,kalkulacija!B438,'Cjenik M'!$D$11:$D$350)</f>
        <v>0</v>
      </c>
      <c r="G438" s="681">
        <f>E438*F438</f>
        <v>0</v>
      </c>
      <c r="K438" s="76"/>
      <c r="L438" s="654"/>
      <c r="M438" s="654"/>
      <c r="N438" s="71"/>
      <c r="O438" s="77"/>
      <c r="P438" s="213"/>
      <c r="Q438" s="73"/>
    </row>
    <row r="439" spans="1:17" ht="25.15" customHeight="1">
      <c r="A439" s="686"/>
      <c r="B439" s="772"/>
      <c r="C439" s="772"/>
      <c r="D439" s="678"/>
      <c r="E439" s="679"/>
      <c r="F439" s="680">
        <f>SUMIF('Cjenik M'!$B$11:$B$350,kalkulacija!B439,'Cjenik M'!$D$11:$D$350)</f>
        <v>0</v>
      </c>
      <c r="G439" s="681">
        <f>E439*F439</f>
        <v>0</v>
      </c>
      <c r="K439" s="76"/>
      <c r="L439" s="654"/>
      <c r="M439" s="654"/>
      <c r="N439" s="71"/>
      <c r="O439" s="77"/>
      <c r="P439" s="213"/>
      <c r="Q439" s="73"/>
    </row>
    <row r="440" spans="1:17" ht="25.15" customHeight="1" thickBot="1">
      <c r="A440" s="59"/>
      <c r="B440" s="775"/>
      <c r="C440" s="776"/>
      <c r="D440" s="688"/>
      <c r="E440" s="689"/>
      <c r="F440" s="691">
        <f>SUMIF('Cjenik M'!$B$11:$B$350,kalkulacija!B440,'Cjenik M'!$D$11:$D$350)</f>
        <v>0</v>
      </c>
      <c r="G440" s="690"/>
      <c r="K440" s="59"/>
      <c r="L440" s="777" t="str">
        <f>'Cjenik M'!$B$21</f>
        <v>PVC koljeno 40x90</v>
      </c>
      <c r="M440" s="777"/>
      <c r="N440" s="708" t="str">
        <f>'Cjenik M'!$C$21</f>
        <v>kom.</v>
      </c>
      <c r="O440" s="61">
        <v>3.33</v>
      </c>
      <c r="P440" s="208">
        <f>'Cjenik M'!$D$21</f>
        <v>2.56</v>
      </c>
      <c r="Q440" s="63">
        <f>O440*P440</f>
        <v>8.5248000000000008</v>
      </c>
    </row>
    <row r="441" spans="1:17" ht="25.15" customHeight="1" thickTop="1" thickBot="1">
      <c r="E441" s="778" t="str">
        <f>'Obrazac kalkulacije'!$E$18</f>
        <v>Ukupno (kn):</v>
      </c>
      <c r="F441" s="778"/>
      <c r="G441" s="64">
        <f>ROUND(SUM(G422+G426+G430),2)</f>
        <v>1526.44</v>
      </c>
      <c r="H441" s="217"/>
      <c r="I441" s="602"/>
      <c r="J441" s="602"/>
      <c r="O441" s="778" t="str">
        <f>'Obrazac kalkulacije'!$E$18</f>
        <v>Ukupno (kn):</v>
      </c>
      <c r="P441" s="778"/>
      <c r="Q441" s="64">
        <f>ROUND(SUM(Q422+Q426+Q430),2)</f>
        <v>385.24</v>
      </c>
    </row>
    <row r="442" spans="1:17" ht="25.15" customHeight="1" thickTop="1" thickBot="1">
      <c r="E442" s="23" t="str">
        <f>'Obrazac kalkulacije'!$E$19</f>
        <v>PDV:</v>
      </c>
      <c r="F442" s="207">
        <f>'Obrazac kalkulacije'!$F$19</f>
        <v>0.25</v>
      </c>
      <c r="G442" s="24">
        <f>G441*F442</f>
        <v>381.61</v>
      </c>
      <c r="H442" s="446"/>
      <c r="I442" s="446"/>
      <c r="J442" s="446"/>
      <c r="O442" s="23" t="str">
        <f>'Obrazac kalkulacije'!$E$19</f>
        <v>PDV:</v>
      </c>
      <c r="P442" s="207">
        <f>'Obrazac kalkulacije'!$F$19</f>
        <v>0.25</v>
      </c>
      <c r="Q442" s="24">
        <f>Q441*P442</f>
        <v>96.31</v>
      </c>
    </row>
    <row r="443" spans="1:17" ht="25.15" customHeight="1" thickTop="1" thickBot="1">
      <c r="E443" s="779" t="str">
        <f>'Obrazac kalkulacije'!$E$20</f>
        <v>Sveukupno (kn):</v>
      </c>
      <c r="F443" s="779"/>
      <c r="G443" s="24">
        <f>ROUND(SUM(G441:G442),2)</f>
        <v>1908.05</v>
      </c>
      <c r="H443" s="447"/>
      <c r="I443" s="447"/>
      <c r="J443" s="447"/>
      <c r="O443" s="779" t="str">
        <f>'Obrazac kalkulacije'!$E$20</f>
        <v>Sveukupno (kn):</v>
      </c>
      <c r="P443" s="779"/>
      <c r="Q443" s="24">
        <f>ROUND(SUM(Q441:Q442),2)</f>
        <v>481.55</v>
      </c>
    </row>
    <row r="444" spans="1:17" ht="15" customHeight="1" thickTop="1"/>
    <row r="445" spans="1:17" ht="15" customHeight="1"/>
    <row r="446" spans="1:17" ht="15" customHeight="1">
      <c r="C446" s="3" t="str">
        <f>'Obrazac kalkulacije'!$C$24</f>
        <v>IZVODITELJ:</v>
      </c>
      <c r="F446" s="780" t="str">
        <f>'Obrazac kalkulacije'!$F$24</f>
        <v>NARUČITELJ:</v>
      </c>
      <c r="G446" s="780"/>
      <c r="M446" s="3" t="str">
        <f>'Obrazac kalkulacije'!$C$24</f>
        <v>IZVODITELJ:</v>
      </c>
      <c r="P446" s="780" t="str">
        <f>'Obrazac kalkulacije'!$F$24</f>
        <v>NARUČITELJ:</v>
      </c>
      <c r="Q446" s="780"/>
    </row>
    <row r="447" spans="1:17" ht="25.15" customHeight="1">
      <c r="C447" s="3" t="str">
        <f>'Obrazac kalkulacije'!$C$25</f>
        <v>__________________</v>
      </c>
      <c r="F447" s="780" t="str">
        <f>'Obrazac kalkulacije'!$F$25</f>
        <v>___________________</v>
      </c>
      <c r="G447" s="780"/>
      <c r="M447" s="3" t="str">
        <f>'Obrazac kalkulacije'!$C$25</f>
        <v>__________________</v>
      </c>
      <c r="P447" s="780" t="str">
        <f>'Obrazac kalkulacije'!$F$25</f>
        <v>___________________</v>
      </c>
      <c r="Q447" s="780"/>
    </row>
    <row r="448" spans="1:17" ht="15" customHeight="1"/>
    <row r="449" spans="1:17" ht="15" customHeight="1">
      <c r="A449" s="115"/>
      <c r="B449" s="116"/>
      <c r="C449" s="117"/>
      <c r="D449" s="117"/>
      <c r="E449" s="117"/>
      <c r="F449" s="211"/>
      <c r="G449" s="117"/>
      <c r="K449" s="115"/>
      <c r="L449" s="116" t="s">
        <v>17</v>
      </c>
      <c r="M449" s="117" t="s">
        <v>18</v>
      </c>
      <c r="N449" s="117"/>
      <c r="O449" s="117"/>
      <c r="P449" s="211"/>
      <c r="Q449" s="117"/>
    </row>
    <row r="450" spans="1:17" ht="15" customHeight="1">
      <c r="A450" s="31"/>
      <c r="B450" s="32"/>
      <c r="C450" s="7"/>
      <c r="D450" s="7"/>
      <c r="E450" s="7"/>
      <c r="F450" s="212"/>
      <c r="G450" s="7"/>
      <c r="K450" s="31"/>
      <c r="L450" s="32" t="s">
        <v>22</v>
      </c>
      <c r="M450" s="7" t="s">
        <v>23</v>
      </c>
      <c r="N450" s="7"/>
      <c r="O450" s="7"/>
      <c r="P450" s="212"/>
      <c r="Q450" s="7"/>
    </row>
    <row r="451" spans="1:17" ht="15" customHeight="1">
      <c r="A451" s="41"/>
      <c r="B451" s="42"/>
      <c r="C451" s="43"/>
      <c r="D451" s="43"/>
      <c r="E451" s="43"/>
      <c r="F451" s="209"/>
      <c r="G451" s="43"/>
      <c r="K451" s="41"/>
      <c r="L451" s="42" t="s">
        <v>35</v>
      </c>
      <c r="M451" s="43" t="s">
        <v>36</v>
      </c>
      <c r="N451" s="43"/>
      <c r="O451" s="43"/>
      <c r="P451" s="209"/>
      <c r="Q451" s="43"/>
    </row>
    <row r="452" spans="1:17" ht="150" customHeight="1">
      <c r="A452" s="33"/>
      <c r="B452" s="443"/>
      <c r="C452" s="805" t="s">
        <v>1056</v>
      </c>
      <c r="D452" s="805"/>
      <c r="E452" s="805"/>
      <c r="F452" s="805"/>
      <c r="G452" s="805"/>
      <c r="K452" s="33"/>
      <c r="L452" s="34" t="s">
        <v>41</v>
      </c>
      <c r="M452" s="795" t="s">
        <v>169</v>
      </c>
      <c r="N452" s="795"/>
      <c r="O452" s="795"/>
      <c r="P452" s="795"/>
      <c r="Q452" s="795"/>
    </row>
    <row r="453" spans="1:17" ht="15" customHeight="1" thickBot="1"/>
    <row r="454" spans="1:17" ht="30" customHeight="1" thickTop="1" thickBot="1">
      <c r="A454" s="8"/>
      <c r="B454" s="797" t="str">
        <f>'Obrazac kalkulacije'!$B$6:$C$6</f>
        <v>Opis</v>
      </c>
      <c r="C454" s="797"/>
      <c r="D454" s="8" t="str">
        <f>'Obrazac kalkulacije'!$D$6</f>
        <v>Jed.
mjere</v>
      </c>
      <c r="E454" s="8" t="str">
        <f>'Obrazac kalkulacije'!$E$6</f>
        <v>Normativ</v>
      </c>
      <c r="F454" s="8" t="str">
        <f>'Obrazac kalkulacije'!$F$6</f>
        <v>Jed.
cijena</v>
      </c>
      <c r="G454" s="8" t="str">
        <f>'Obrazac kalkulacije'!$G$6</f>
        <v>Iznos</v>
      </c>
      <c r="K454" s="8"/>
      <c r="L454" s="797" t="e">
        <f>'Obrazac kalkulacije'!$B$6:$C$6</f>
        <v>#VALUE!</v>
      </c>
      <c r="M454" s="797"/>
      <c r="N454" s="8" t="str">
        <f>'Obrazac kalkulacije'!$D$6</f>
        <v>Jed.
mjere</v>
      </c>
      <c r="O454" s="8" t="str">
        <f>'Obrazac kalkulacije'!$E$6</f>
        <v>Normativ</v>
      </c>
      <c r="P454" s="8" t="str">
        <f>'Obrazac kalkulacije'!$F$6</f>
        <v>Jed.
cijena</v>
      </c>
      <c r="Q454" s="8" t="str">
        <f>'Obrazac kalkulacije'!$G$6</f>
        <v>Iznos</v>
      </c>
    </row>
    <row r="455" spans="1:17" ht="26.25" customHeight="1" thickTop="1">
      <c r="B455" s="883" t="str">
        <f>'Obrazac kalkulacije'!$B$8</f>
        <v>Radna snaga:</v>
      </c>
      <c r="C455" s="883"/>
      <c r="D455" s="9"/>
      <c r="E455" s="11"/>
      <c r="F455" s="205"/>
      <c r="G455" s="13"/>
      <c r="L455" s="35"/>
      <c r="M455" s="1"/>
      <c r="N455" s="9"/>
      <c r="O455" s="11"/>
      <c r="P455" s="205"/>
      <c r="Q455" s="13"/>
    </row>
    <row r="456" spans="1:17" ht="28.5" customHeight="1">
      <c r="A456" s="692"/>
      <c r="B456" s="788" t="s">
        <v>875</v>
      </c>
      <c r="C456" s="788"/>
      <c r="D456" s="693" t="s">
        <v>15</v>
      </c>
      <c r="E456" s="694">
        <v>0.28189999999999998</v>
      </c>
      <c r="F456" s="676">
        <f>SUMIF('Cjenik RS'!$C$11:$C$26,kalkulacija!B456,'Cjenik RS'!$D$11:$D$26)</f>
        <v>107.62</v>
      </c>
      <c r="G456" s="677">
        <f>+F456*E456</f>
        <v>30.338077999999999</v>
      </c>
      <c r="I456" s="737">
        <f>SUM(8/6)</f>
        <v>1.3333333333333333</v>
      </c>
      <c r="K456" s="656"/>
      <c r="L456" s="703"/>
      <c r="M456" s="703"/>
      <c r="N456" s="84"/>
      <c r="O456" s="84"/>
      <c r="P456" s="206"/>
      <c r="Q456" s="75"/>
    </row>
    <row r="457" spans="1:17" ht="25.15" customHeight="1">
      <c r="A457" s="686"/>
      <c r="B457" s="789" t="s">
        <v>874</v>
      </c>
      <c r="C457" s="789"/>
      <c r="D457" s="678" t="s">
        <v>15</v>
      </c>
      <c r="E457" s="695">
        <v>0.14099999999999999</v>
      </c>
      <c r="F457" s="680">
        <f>SUMIF('Cjenik RS'!$C$11:$C$26,kalkulacija!B457,'Cjenik RS'!$D$11:$D$26)</f>
        <v>103.46</v>
      </c>
      <c r="G457" s="681">
        <f>+F457*E457</f>
        <v>14.587859999999997</v>
      </c>
      <c r="I457" s="3">
        <f>SUM(8/E457)</f>
        <v>56.737588652482273</v>
      </c>
      <c r="K457" s="656"/>
      <c r="L457" s="703"/>
      <c r="M457" s="703"/>
      <c r="N457" s="84"/>
      <c r="O457" s="84"/>
      <c r="P457" s="206"/>
      <c r="Q457" s="75"/>
    </row>
    <row r="458" spans="1:17" ht="25.15" customHeight="1">
      <c r="A458" s="696"/>
      <c r="B458" s="790"/>
      <c r="C458" s="790"/>
      <c r="D458" s="697" t="s">
        <v>15</v>
      </c>
      <c r="E458" s="695"/>
      <c r="F458" s="680">
        <f>SUMIF('Cjenik RS'!$C$11:$C$26,kalkulacija!B458,'Cjenik RS'!$D$11:$D$26)</f>
        <v>0</v>
      </c>
      <c r="G458" s="681">
        <f>+F458*E458</f>
        <v>0</v>
      </c>
      <c r="K458" s="26"/>
      <c r="L458" s="791" t="s">
        <v>130</v>
      </c>
      <c r="M458" s="791"/>
      <c r="N458" s="27" t="s">
        <v>15</v>
      </c>
      <c r="O458" s="28">
        <v>4.571663</v>
      </c>
      <c r="P458" s="203">
        <f>SUMIF('Cjenik RS'!$C$11:$C$26,$B458,'Cjenik RS'!$D$11:$D$88)</f>
        <v>0</v>
      </c>
      <c r="Q458" s="29">
        <f>+P458*O458</f>
        <v>0</v>
      </c>
    </row>
    <row r="459" spans="1:17" ht="25.15" customHeight="1">
      <c r="A459" s="656"/>
      <c r="B459" s="784" t="str">
        <f>'Obrazac kalkulacije'!$B$11</f>
        <v>Vozila, strojevi i oprema:</v>
      </c>
      <c r="C459" s="784"/>
      <c r="D459" s="656"/>
      <c r="E459" s="656"/>
      <c r="F459" s="203"/>
      <c r="G459" s="16">
        <f>SUM(G460:G462)</f>
        <v>37.810380239999994</v>
      </c>
      <c r="K459" s="656"/>
      <c r="L459" s="784" t="str">
        <f>'Obrazac kalkulacije'!$B$11</f>
        <v>Vozila, strojevi i oprema:</v>
      </c>
      <c r="M459" s="784"/>
      <c r="N459" s="656"/>
      <c r="O459" s="656"/>
      <c r="P459" s="203"/>
      <c r="Q459" s="16">
        <f>SUM(Q460:Q462)</f>
        <v>493.46497349999993</v>
      </c>
    </row>
    <row r="460" spans="1:17" ht="25.15" customHeight="1">
      <c r="A460" s="44"/>
      <c r="B460" s="781" t="s">
        <v>504</v>
      </c>
      <c r="C460" s="782"/>
      <c r="D460" s="693" t="s">
        <v>15</v>
      </c>
      <c r="E460" s="675">
        <v>0.114286</v>
      </c>
      <c r="F460" s="676">
        <f>SUMIF('Cjenik VSO (pomoćna) (2)'!$B$9:$B$26,kalkulacija!B460,'Cjenik VSO (pomoćna) (2)'!$C$9:$C$26)</f>
        <v>330.84</v>
      </c>
      <c r="G460" s="677">
        <f>E460*F460</f>
        <v>37.810380239999994</v>
      </c>
      <c r="I460" s="3">
        <f>SUM(8/70)</f>
        <v>0.11428571428571428</v>
      </c>
      <c r="K460" s="44"/>
      <c r="L460" s="773" t="s">
        <v>138</v>
      </c>
      <c r="M460" s="773"/>
      <c r="N460" s="707" t="s">
        <v>15</v>
      </c>
      <c r="O460" s="46">
        <v>2.1183299999999998</v>
      </c>
      <c r="P460" s="200">
        <f>SUMIF('Cjenik VSO'!$B$9:$B$85,$B460,'Cjenik VSO'!$C$9:$C$85)</f>
        <v>232.95</v>
      </c>
      <c r="Q460" s="48">
        <f>O460*P460</f>
        <v>493.46497349999993</v>
      </c>
    </row>
    <row r="461" spans="1:17" ht="25.15" customHeight="1">
      <c r="A461" s="49"/>
      <c r="B461" s="783"/>
      <c r="C461" s="772"/>
      <c r="D461" s="678" t="s">
        <v>15</v>
      </c>
      <c r="E461" s="679"/>
      <c r="F461" s="680">
        <f>SUMIF('Cjenik VSO (pomoćna) (2)'!$B$9:$B$26,kalkulacija!B461,'Cjenik VSO (pomoćna) (2)'!$C$9:$C$26)</f>
        <v>0</v>
      </c>
      <c r="G461" s="681">
        <f>E461*F461</f>
        <v>0</v>
      </c>
      <c r="K461" s="49"/>
      <c r="L461" s="774" t="s">
        <v>139</v>
      </c>
      <c r="M461" s="774"/>
      <c r="N461" s="706" t="s">
        <v>15</v>
      </c>
      <c r="O461" s="51">
        <v>0.15</v>
      </c>
      <c r="P461" s="201">
        <f>SUMIF('Cjenik VSO'!$B$9:$B$85,$B461,'Cjenik VSO'!$C$9:$C$85)</f>
        <v>0</v>
      </c>
      <c r="Q461" s="53">
        <f>O461*P461</f>
        <v>0</v>
      </c>
    </row>
    <row r="462" spans="1:17" ht="25.15" customHeight="1">
      <c r="A462" s="54"/>
      <c r="B462" s="785"/>
      <c r="C462" s="786"/>
      <c r="D462" s="682" t="s">
        <v>15</v>
      </c>
      <c r="E462" s="683"/>
      <c r="F462" s="684">
        <f>SUMIF('Cjenik VSO (pomoćna) (2)'!$B$9:$B$26,kalkulacija!B462,'Cjenik VSO (pomoćna) (2)'!$C$9:$C$26)</f>
        <v>0</v>
      </c>
      <c r="G462" s="685">
        <f>E462*F462</f>
        <v>0</v>
      </c>
      <c r="K462" s="54"/>
      <c r="L462" s="787" t="s">
        <v>140</v>
      </c>
      <c r="M462" s="787"/>
      <c r="N462" s="705" t="s">
        <v>15</v>
      </c>
      <c r="O462" s="56">
        <v>0.2</v>
      </c>
      <c r="P462" s="202">
        <f>SUMIF('Cjenik VSO'!$B$9:$B$85,$B462,'Cjenik VSO'!$C$9:$C$85)</f>
        <v>0</v>
      </c>
      <c r="Q462" s="58">
        <f>O462*P462</f>
        <v>0</v>
      </c>
    </row>
    <row r="463" spans="1:17" ht="25.15" customHeight="1">
      <c r="A463" s="656"/>
      <c r="B463" s="784" t="str">
        <f>'Obrazac kalkulacije'!$B$15</f>
        <v>Materijali:</v>
      </c>
      <c r="C463" s="784"/>
      <c r="D463" s="656"/>
      <c r="E463" s="656"/>
      <c r="F463" s="203"/>
      <c r="G463" s="16">
        <f>SUM(G464:G473)</f>
        <v>0</v>
      </c>
      <c r="K463" s="656"/>
      <c r="L463" s="784" t="str">
        <f>'Obrazac kalkulacije'!$B$15</f>
        <v>Materijali:</v>
      </c>
      <c r="M463" s="784"/>
      <c r="N463" s="656"/>
      <c r="O463" s="656"/>
      <c r="P463" s="203"/>
      <c r="Q463" s="16">
        <f>SUM(Q464:Q473)</f>
        <v>40.864799999999995</v>
      </c>
    </row>
    <row r="464" spans="1:17" ht="25.15" customHeight="1">
      <c r="A464" s="44"/>
      <c r="B464" s="781"/>
      <c r="C464" s="782"/>
      <c r="D464" s="678">
        <f>INDEX('Cjenik M'!$C$11:$C$500, MATCH(1,INDEX(('Cjenik M'!$B$11:$B$500=kalkulacija!B464)*('Cjenik M'!$D$11:$D$500=kalkulacija!F464),,),0))</f>
        <v>0</v>
      </c>
      <c r="E464" s="675">
        <v>1</v>
      </c>
      <c r="F464" s="676">
        <f>SUMIF('Cjenik M'!$B$11:$B$350,kalkulacija!B464,'Cjenik M'!$D$11:$D$350)</f>
        <v>0</v>
      </c>
      <c r="G464" s="677">
        <f t="shared" ref="G464:G469" si="8">E464*F464</f>
        <v>0</v>
      </c>
      <c r="K464" s="44"/>
      <c r="L464" s="773" t="str">
        <f>'Cjenik M'!$B$16</f>
        <v xml:space="preserve">Cement 25 kg </v>
      </c>
      <c r="M464" s="773"/>
      <c r="N464" s="707" t="str">
        <f>'Cjenik M'!$C$16</f>
        <v>vreća</v>
      </c>
      <c r="O464" s="46">
        <v>0.5</v>
      </c>
      <c r="P464" s="200">
        <f>'Cjenik M'!$D$16</f>
        <v>18.36</v>
      </c>
      <c r="Q464" s="48">
        <f>O464*P464</f>
        <v>9.18</v>
      </c>
    </row>
    <row r="465" spans="1:17" ht="25.15" customHeight="1">
      <c r="A465" s="49"/>
      <c r="B465" s="783"/>
      <c r="C465" s="772"/>
      <c r="D465" s="678">
        <f>INDEX('Cjenik M'!$C$11:$C$500, MATCH(1,INDEX(('Cjenik M'!$B$11:$B$500=kalkulacija!B465)*('Cjenik M'!$D$11:$D$500=kalkulacija!F465),,),0))</f>
        <v>0</v>
      </c>
      <c r="E465" s="679">
        <v>1</v>
      </c>
      <c r="F465" s="680">
        <f>SUMIF('Cjenik M'!$B$11:$B$350,kalkulacija!B465,'Cjenik M'!$D$11:$D$350)</f>
        <v>0</v>
      </c>
      <c r="G465" s="681">
        <f t="shared" si="8"/>
        <v>0</v>
      </c>
      <c r="K465" s="49"/>
      <c r="L465" s="774" t="str">
        <f>'Cjenik M'!$B$14</f>
        <v>Zaštitna folija PVC 6*4 m</v>
      </c>
      <c r="M465" s="774"/>
      <c r="N465" s="706" t="str">
        <f>'Cjenik M'!$C$14</f>
        <v>kom.</v>
      </c>
      <c r="O465" s="51">
        <v>0.5</v>
      </c>
      <c r="P465" s="201">
        <f>'Cjenik M'!$D$14</f>
        <v>4.8</v>
      </c>
      <c r="Q465" s="53">
        <f>O465*P465</f>
        <v>2.4</v>
      </c>
    </row>
    <row r="466" spans="1:17" ht="25.15" customHeight="1">
      <c r="A466" s="686"/>
      <c r="B466" s="772"/>
      <c r="C466" s="772"/>
      <c r="D466" s="678">
        <f>INDEX('Cjenik M'!$C$11:$C$500, MATCH(1,INDEX(('Cjenik M'!$B$11:$B$500=kalkulacija!B466)*('Cjenik M'!$D$11:$D$500=kalkulacija!F466),,),0))</f>
        <v>0</v>
      </c>
      <c r="E466" s="679">
        <v>0.5</v>
      </c>
      <c r="F466" s="680">
        <f>SUMIF('Cjenik M'!$B$11:$B$350,kalkulacija!B466,'Cjenik M'!$D$11:$D$500)</f>
        <v>0</v>
      </c>
      <c r="G466" s="681">
        <f t="shared" si="8"/>
        <v>0</v>
      </c>
      <c r="K466" s="76"/>
      <c r="L466" s="654"/>
      <c r="M466" s="654"/>
      <c r="N466" s="71"/>
      <c r="O466" s="77"/>
      <c r="P466" s="213"/>
      <c r="Q466" s="73"/>
    </row>
    <row r="467" spans="1:17" ht="25.15" customHeight="1">
      <c r="A467" s="686"/>
      <c r="B467" s="772"/>
      <c r="C467" s="772"/>
      <c r="D467" s="678"/>
      <c r="E467" s="679"/>
      <c r="F467" s="680">
        <f>SUMIF('Cjenik M'!$B$11:$B$350,kalkulacija!B467,'Cjenik M'!$D$11:$D$350)</f>
        <v>0</v>
      </c>
      <c r="G467" s="681">
        <f t="shared" si="8"/>
        <v>0</v>
      </c>
      <c r="K467" s="44"/>
      <c r="L467" s="773" t="str">
        <f>'Cjenik M'!$B$16</f>
        <v xml:space="preserve">Cement 25 kg </v>
      </c>
      <c r="M467" s="773"/>
      <c r="N467" s="707" t="str">
        <f>'Cjenik M'!$C$16</f>
        <v>vreća</v>
      </c>
      <c r="O467" s="46">
        <v>0.5</v>
      </c>
      <c r="P467" s="200">
        <f>'Cjenik M'!$D$16</f>
        <v>18.36</v>
      </c>
      <c r="Q467" s="48">
        <f>O467*P467</f>
        <v>9.18</v>
      </c>
    </row>
    <row r="468" spans="1:17" ht="25.15" customHeight="1">
      <c r="A468" s="686"/>
      <c r="B468" s="772"/>
      <c r="C468" s="772"/>
      <c r="D468" s="678"/>
      <c r="E468" s="679"/>
      <c r="F468" s="680">
        <f>SUMIF('Cjenik M'!$B$11:$B$350,kalkulacija!B468,'Cjenik M'!$D$11:$D$350)</f>
        <v>0</v>
      </c>
      <c r="G468" s="681">
        <f t="shared" si="8"/>
        <v>0</v>
      </c>
      <c r="K468" s="44"/>
      <c r="L468" s="773" t="str">
        <f>'Cjenik M'!$B$16</f>
        <v xml:space="preserve">Cement 25 kg </v>
      </c>
      <c r="M468" s="773"/>
      <c r="N468" s="707" t="str">
        <f>'Cjenik M'!$C$16</f>
        <v>vreća</v>
      </c>
      <c r="O468" s="46">
        <v>0.5</v>
      </c>
      <c r="P468" s="200">
        <f>'Cjenik M'!$D$16</f>
        <v>18.36</v>
      </c>
      <c r="Q468" s="48">
        <f>O468*P468</f>
        <v>9.18</v>
      </c>
    </row>
    <row r="469" spans="1:17" ht="25.15" customHeight="1">
      <c r="A469" s="686"/>
      <c r="B469" s="772"/>
      <c r="C469" s="772"/>
      <c r="D469" s="678"/>
      <c r="E469" s="679"/>
      <c r="F469" s="680"/>
      <c r="G469" s="681">
        <f t="shared" si="8"/>
        <v>0</v>
      </c>
      <c r="K469" s="49"/>
      <c r="L469" s="774" t="str">
        <f>'Cjenik M'!$B$14</f>
        <v>Zaštitna folija PVC 6*4 m</v>
      </c>
      <c r="M469" s="774"/>
      <c r="N469" s="706" t="str">
        <f>'Cjenik M'!$C$14</f>
        <v>kom.</v>
      </c>
      <c r="O469" s="51">
        <v>0.5</v>
      </c>
      <c r="P469" s="201">
        <f>'Cjenik M'!$D$14</f>
        <v>4.8</v>
      </c>
      <c r="Q469" s="53">
        <f>O469*P469</f>
        <v>2.4</v>
      </c>
    </row>
    <row r="470" spans="1:17" ht="25.15" customHeight="1">
      <c r="A470" s="686"/>
      <c r="B470" s="772"/>
      <c r="C470" s="772"/>
      <c r="D470" s="678"/>
      <c r="E470" s="679"/>
      <c r="F470" s="680"/>
      <c r="G470" s="681"/>
      <c r="K470" s="76"/>
      <c r="L470" s="654"/>
      <c r="M470" s="654"/>
      <c r="N470" s="71"/>
      <c r="O470" s="77"/>
      <c r="P470" s="213"/>
      <c r="Q470" s="73"/>
    </row>
    <row r="471" spans="1:17" ht="25.15" customHeight="1">
      <c r="A471" s="686"/>
      <c r="B471" s="772"/>
      <c r="C471" s="772"/>
      <c r="D471" s="678"/>
      <c r="E471" s="679"/>
      <c r="F471" s="680">
        <f>SUMIF('Cjenik M'!$B$11:$B$350,kalkulacija!B471,'Cjenik M'!$D$11:$D$350)</f>
        <v>0</v>
      </c>
      <c r="G471" s="681">
        <f>E471*F471</f>
        <v>0</v>
      </c>
      <c r="K471" s="76"/>
      <c r="L471" s="654"/>
      <c r="M471" s="654"/>
      <c r="N471" s="71"/>
      <c r="O471" s="77"/>
      <c r="P471" s="213"/>
      <c r="Q471" s="73"/>
    </row>
    <row r="472" spans="1:17" ht="25.15" customHeight="1">
      <c r="A472" s="686"/>
      <c r="B472" s="772"/>
      <c r="C472" s="772"/>
      <c r="D472" s="678"/>
      <c r="E472" s="679"/>
      <c r="F472" s="680">
        <f>SUMIF('Cjenik M'!$B$11:$B$350,kalkulacija!B472,'Cjenik M'!$D$11:$D$350)</f>
        <v>0</v>
      </c>
      <c r="G472" s="681">
        <f>E472*F472</f>
        <v>0</v>
      </c>
      <c r="K472" s="76"/>
      <c r="L472" s="654"/>
      <c r="M472" s="654"/>
      <c r="N472" s="71"/>
      <c r="O472" s="77"/>
      <c r="P472" s="213"/>
      <c r="Q472" s="73"/>
    </row>
    <row r="473" spans="1:17" ht="25.15" customHeight="1" thickBot="1">
      <c r="A473" s="59"/>
      <c r="B473" s="775"/>
      <c r="C473" s="776"/>
      <c r="D473" s="688"/>
      <c r="E473" s="689"/>
      <c r="F473" s="691">
        <f>SUMIF('Cjenik M'!$B$11:$B$350,kalkulacija!B473,'Cjenik M'!$D$11:$D$350)</f>
        <v>0</v>
      </c>
      <c r="G473" s="690"/>
      <c r="K473" s="59"/>
      <c r="L473" s="777" t="str">
        <f>'Cjenik M'!$B$21</f>
        <v>PVC koljeno 40x90</v>
      </c>
      <c r="M473" s="777"/>
      <c r="N473" s="708" t="str">
        <f>'Cjenik M'!$C$21</f>
        <v>kom.</v>
      </c>
      <c r="O473" s="61">
        <v>3.33</v>
      </c>
      <c r="P473" s="208">
        <f>'Cjenik M'!$D$21</f>
        <v>2.56</v>
      </c>
      <c r="Q473" s="63">
        <f>O473*P473</f>
        <v>8.5248000000000008</v>
      </c>
    </row>
    <row r="474" spans="1:17" ht="25.15" customHeight="1" thickTop="1" thickBot="1">
      <c r="E474" s="778" t="str">
        <f>'Obrazac kalkulacije'!$E$18</f>
        <v>Ukupno (kn):</v>
      </c>
      <c r="F474" s="778"/>
      <c r="G474" s="64">
        <f>ROUND(SUM(G455+G459+G463),2)</f>
        <v>37.81</v>
      </c>
      <c r="H474" s="217"/>
      <c r="I474" s="602"/>
      <c r="J474" s="602"/>
      <c r="O474" s="778" t="str">
        <f>'Obrazac kalkulacije'!$E$18</f>
        <v>Ukupno (kn):</v>
      </c>
      <c r="P474" s="778"/>
      <c r="Q474" s="64">
        <f>ROUND(SUM(Q455+Q459+Q463),2)</f>
        <v>534.33000000000004</v>
      </c>
    </row>
    <row r="475" spans="1:17" ht="25.15" customHeight="1" thickTop="1" thickBot="1">
      <c r="E475" s="23" t="str">
        <f>'Obrazac kalkulacije'!$E$19</f>
        <v>PDV:</v>
      </c>
      <c r="F475" s="207">
        <f>'Obrazac kalkulacije'!$F$19</f>
        <v>0.25</v>
      </c>
      <c r="G475" s="24">
        <f>G474*F475</f>
        <v>9.4525000000000006</v>
      </c>
      <c r="H475" s="446"/>
      <c r="I475" s="446"/>
      <c r="J475" s="446"/>
      <c r="O475" s="23" t="str">
        <f>'Obrazac kalkulacije'!$E$19</f>
        <v>PDV:</v>
      </c>
      <c r="P475" s="207">
        <f>'Obrazac kalkulacije'!$F$19</f>
        <v>0.25</v>
      </c>
      <c r="Q475" s="24">
        <f>Q474*P475</f>
        <v>133.58250000000001</v>
      </c>
    </row>
    <row r="476" spans="1:17" ht="25.15" customHeight="1" thickTop="1" thickBot="1">
      <c r="E476" s="779" t="str">
        <f>'Obrazac kalkulacije'!$E$20</f>
        <v>Sveukupno (kn):</v>
      </c>
      <c r="F476" s="779"/>
      <c r="G476" s="24">
        <f>ROUND(SUM(G474:G475),2)</f>
        <v>47.26</v>
      </c>
      <c r="H476" s="447"/>
      <c r="I476" s="447"/>
      <c r="J476" s="447"/>
      <c r="O476" s="779" t="str">
        <f>'Obrazac kalkulacije'!$E$20</f>
        <v>Sveukupno (kn):</v>
      </c>
      <c r="P476" s="779"/>
      <c r="Q476" s="24">
        <f>ROUND(SUM(Q474:Q475),2)</f>
        <v>667.91</v>
      </c>
    </row>
    <row r="477" spans="1:17" ht="15" customHeight="1" thickTop="1"/>
    <row r="478" spans="1:17" ht="15" customHeight="1"/>
    <row r="479" spans="1:17" ht="15" customHeight="1">
      <c r="C479" s="3" t="str">
        <f>'Obrazac kalkulacije'!$C$24</f>
        <v>IZVODITELJ:</v>
      </c>
      <c r="F479" s="780" t="str">
        <f>'Obrazac kalkulacije'!$F$24</f>
        <v>NARUČITELJ:</v>
      </c>
      <c r="G479" s="780"/>
      <c r="M479" s="3" t="str">
        <f>'Obrazac kalkulacije'!$C$24</f>
        <v>IZVODITELJ:</v>
      </c>
      <c r="P479" s="780" t="str">
        <f>'Obrazac kalkulacije'!$F$24</f>
        <v>NARUČITELJ:</v>
      </c>
      <c r="Q479" s="780"/>
    </row>
    <row r="480" spans="1:17" ht="25.15" customHeight="1">
      <c r="C480" s="3" t="str">
        <f>'Obrazac kalkulacije'!$C$25</f>
        <v>__________________</v>
      </c>
      <c r="F480" s="780" t="str">
        <f>'Obrazac kalkulacije'!$F$25</f>
        <v>___________________</v>
      </c>
      <c r="G480" s="780"/>
      <c r="M480" s="3" t="str">
        <f>'Obrazac kalkulacije'!$C$25</f>
        <v>__________________</v>
      </c>
      <c r="P480" s="780" t="str">
        <f>'Obrazac kalkulacije'!$F$25</f>
        <v>___________________</v>
      </c>
      <c r="Q480" s="780"/>
    </row>
    <row r="481" spans="1:17" ht="15" customHeight="1"/>
    <row r="482" spans="1:17" ht="15" customHeight="1">
      <c r="A482" s="115"/>
      <c r="B482" s="116" t="s">
        <v>1073</v>
      </c>
      <c r="C482" s="117"/>
      <c r="D482" s="117"/>
      <c r="E482" s="117"/>
      <c r="F482" s="211"/>
      <c r="G482" s="117"/>
      <c r="K482" s="115"/>
      <c r="L482" s="116" t="s">
        <v>17</v>
      </c>
      <c r="M482" s="117" t="s">
        <v>18</v>
      </c>
      <c r="N482" s="117"/>
      <c r="O482" s="117"/>
      <c r="P482" s="211"/>
      <c r="Q482" s="117"/>
    </row>
    <row r="483" spans="1:17" ht="15" customHeight="1">
      <c r="A483" s="31"/>
      <c r="B483" s="32" t="s">
        <v>13</v>
      </c>
      <c r="C483" s="7"/>
      <c r="D483" s="7"/>
      <c r="E483" s="7"/>
      <c r="F483" s="212"/>
      <c r="G483" s="7"/>
      <c r="K483" s="31"/>
      <c r="L483" s="32" t="s">
        <v>22</v>
      </c>
      <c r="M483" s="7" t="s">
        <v>23</v>
      </c>
      <c r="N483" s="7"/>
      <c r="O483" s="7"/>
      <c r="P483" s="212"/>
      <c r="Q483" s="7"/>
    </row>
    <row r="484" spans="1:17" ht="15" customHeight="1">
      <c r="A484" s="41"/>
      <c r="B484" s="42" t="s">
        <v>13</v>
      </c>
      <c r="C484" s="43"/>
      <c r="D484" s="43"/>
      <c r="E484" s="43"/>
      <c r="F484" s="209"/>
      <c r="G484" s="43"/>
      <c r="K484" s="41"/>
      <c r="L484" s="42" t="s">
        <v>35</v>
      </c>
      <c r="M484" s="43" t="s">
        <v>36</v>
      </c>
      <c r="N484" s="43"/>
      <c r="O484" s="43"/>
      <c r="P484" s="209"/>
      <c r="Q484" s="43"/>
    </row>
    <row r="485" spans="1:17" ht="150" customHeight="1">
      <c r="A485" s="33"/>
      <c r="B485" s="443" t="s">
        <v>13</v>
      </c>
      <c r="C485" s="792"/>
      <c r="D485" s="792"/>
      <c r="E485" s="792"/>
      <c r="F485" s="792"/>
      <c r="G485" s="792"/>
      <c r="K485" s="33"/>
      <c r="L485" s="34" t="s">
        <v>42</v>
      </c>
      <c r="M485" s="795" t="s">
        <v>170</v>
      </c>
      <c r="N485" s="795"/>
      <c r="O485" s="795"/>
      <c r="P485" s="795"/>
      <c r="Q485" s="795"/>
    </row>
    <row r="486" spans="1:17" ht="15" customHeight="1" thickBot="1"/>
    <row r="487" spans="1:17" ht="30" customHeight="1" thickTop="1" thickBot="1">
      <c r="A487" s="8"/>
      <c r="B487" s="797" t="str">
        <f>'Obrazac kalkulacije'!$B$6:$C$6</f>
        <v>Opis</v>
      </c>
      <c r="C487" s="797"/>
      <c r="D487" s="8" t="str">
        <f>'Obrazac kalkulacije'!$D$6</f>
        <v>Jed.
mjere</v>
      </c>
      <c r="E487" s="8" t="str">
        <f>'Obrazac kalkulacije'!$E$6</f>
        <v>Normativ</v>
      </c>
      <c r="F487" s="8" t="str">
        <f>'Obrazac kalkulacije'!$F$6</f>
        <v>Jed.
cijena</v>
      </c>
      <c r="G487" s="8" t="str">
        <f>'Obrazac kalkulacije'!$G$6</f>
        <v>Iznos</v>
      </c>
      <c r="K487" s="8"/>
      <c r="L487" s="797" t="e">
        <f>'Obrazac kalkulacije'!$B$6:$C$6</f>
        <v>#VALUE!</v>
      </c>
      <c r="M487" s="797"/>
      <c r="N487" s="8" t="str">
        <f>'Obrazac kalkulacije'!$D$6</f>
        <v>Jed.
mjere</v>
      </c>
      <c r="O487" s="8" t="str">
        <f>'Obrazac kalkulacije'!$E$6</f>
        <v>Normativ</v>
      </c>
      <c r="P487" s="8" t="str">
        <f>'Obrazac kalkulacije'!$F$6</f>
        <v>Jed.
cijena</v>
      </c>
      <c r="Q487" s="8" t="str">
        <f>'Obrazac kalkulacije'!$G$6</f>
        <v>Iznos</v>
      </c>
    </row>
    <row r="488" spans="1:17" ht="26.25" customHeight="1" thickTop="1">
      <c r="B488" s="883" t="str">
        <f>'Obrazac kalkulacije'!$B$8</f>
        <v>Radna snaga:</v>
      </c>
      <c r="C488" s="883"/>
      <c r="D488" s="9"/>
      <c r="E488" s="11"/>
      <c r="F488" s="205"/>
      <c r="G488" s="13"/>
      <c r="L488" s="35"/>
      <c r="M488" s="1"/>
      <c r="N488" s="9"/>
      <c r="O488" s="11"/>
      <c r="P488" s="205"/>
      <c r="Q488" s="13"/>
    </row>
    <row r="489" spans="1:17" ht="25.15" customHeight="1">
      <c r="A489" s="692"/>
      <c r="B489" s="788" t="s">
        <v>818</v>
      </c>
      <c r="C489" s="788"/>
      <c r="D489" s="693" t="s">
        <v>15</v>
      </c>
      <c r="E489" s="694">
        <v>0.28189999999999998</v>
      </c>
      <c r="F489" s="676">
        <f>SUMIF('Cjenik RS'!$C$11:$C$26,kalkulacija!B489,'Cjenik RS'!$D$11:$D$26)</f>
        <v>132.62</v>
      </c>
      <c r="G489" s="677">
        <f>+F489*E489</f>
        <v>37.385578000000002</v>
      </c>
      <c r="I489" s="737">
        <f>SUM(8/6)</f>
        <v>1.3333333333333333</v>
      </c>
      <c r="K489" s="656"/>
      <c r="L489" s="738"/>
      <c r="M489" s="738"/>
      <c r="N489" s="84"/>
      <c r="O489" s="84"/>
      <c r="P489" s="206"/>
      <c r="Q489" s="75"/>
    </row>
    <row r="490" spans="1:17" ht="25.15" customHeight="1">
      <c r="A490" s="686"/>
      <c r="B490" s="789" t="s">
        <v>874</v>
      </c>
      <c r="C490" s="789"/>
      <c r="D490" s="678" t="s">
        <v>15</v>
      </c>
      <c r="E490" s="695">
        <v>0.14099999999999999</v>
      </c>
      <c r="F490" s="680">
        <f>SUMIF('Cjenik RS'!$C$11:$C$26,kalkulacija!B490,'Cjenik RS'!$D$11:$D$26)</f>
        <v>103.46</v>
      </c>
      <c r="G490" s="681">
        <f>+F490*E490</f>
        <v>14.587859999999997</v>
      </c>
      <c r="I490" s="3">
        <f>SUM(8/E490)</f>
        <v>56.737588652482273</v>
      </c>
      <c r="K490" s="656"/>
      <c r="L490" s="738"/>
      <c r="M490" s="738"/>
      <c r="N490" s="84"/>
      <c r="O490" s="84"/>
      <c r="P490" s="206"/>
      <c r="Q490" s="75"/>
    </row>
    <row r="491" spans="1:17" ht="25.15" customHeight="1">
      <c r="A491" s="696"/>
      <c r="B491" s="790"/>
      <c r="C491" s="790"/>
      <c r="D491" s="697" t="s">
        <v>15</v>
      </c>
      <c r="E491" s="695"/>
      <c r="F491" s="680">
        <f>SUMIF('Cjenik RS'!$C$11:$C$26,kalkulacija!B491,'Cjenik RS'!$D$11:$D$26)</f>
        <v>0</v>
      </c>
      <c r="G491" s="681">
        <f>+F491*E491</f>
        <v>0</v>
      </c>
      <c r="K491" s="26"/>
      <c r="L491" s="791" t="s">
        <v>130</v>
      </c>
      <c r="M491" s="791"/>
      <c r="N491" s="27" t="s">
        <v>15</v>
      </c>
      <c r="O491" s="28">
        <v>4.571663</v>
      </c>
      <c r="P491" s="203">
        <f>SUMIF('Cjenik RS'!$C$11:$C$26,$B491,'Cjenik RS'!$D$11:$D$88)</f>
        <v>0</v>
      </c>
      <c r="Q491" s="29">
        <f>+P491*O491</f>
        <v>0</v>
      </c>
    </row>
    <row r="492" spans="1:17" ht="25.15" customHeight="1">
      <c r="A492" s="656"/>
      <c r="B492" s="784" t="str">
        <f>'Obrazac kalkulacije'!$B$11</f>
        <v>Vozila, strojevi i oprema:</v>
      </c>
      <c r="C492" s="784"/>
      <c r="D492" s="656"/>
      <c r="E492" s="656"/>
      <c r="F492" s="203"/>
      <c r="G492" s="16">
        <f>SUM(G493:G495)</f>
        <v>37.810380239999994</v>
      </c>
      <c r="K492" s="656"/>
      <c r="L492" s="784" t="str">
        <f>'Obrazac kalkulacije'!$B$11</f>
        <v>Vozila, strojevi i oprema:</v>
      </c>
      <c r="M492" s="784"/>
      <c r="N492" s="656"/>
      <c r="O492" s="656"/>
      <c r="P492" s="203"/>
      <c r="Q492" s="16">
        <f>SUM(Q493:Q495)</f>
        <v>493.46497349999993</v>
      </c>
    </row>
    <row r="493" spans="1:17" ht="25.15" customHeight="1">
      <c r="A493" s="44"/>
      <c r="B493" s="781" t="s">
        <v>504</v>
      </c>
      <c r="C493" s="782"/>
      <c r="D493" s="693" t="s">
        <v>15</v>
      </c>
      <c r="E493" s="675">
        <v>0.114286</v>
      </c>
      <c r="F493" s="676">
        <f>SUMIF('Cjenik VSO (pomoćna) (2)'!$B$9:$B$26,kalkulacija!B493,'Cjenik VSO (pomoćna) (2)'!$C$9:$C$26)</f>
        <v>330.84</v>
      </c>
      <c r="G493" s="677">
        <f>E493*F493</f>
        <v>37.810380239999994</v>
      </c>
      <c r="I493" s="3">
        <f>SUM(8/70)</f>
        <v>0.11428571428571428</v>
      </c>
      <c r="K493" s="44"/>
      <c r="L493" s="773" t="s">
        <v>138</v>
      </c>
      <c r="M493" s="773"/>
      <c r="N493" s="739" t="s">
        <v>15</v>
      </c>
      <c r="O493" s="46">
        <v>2.1183299999999998</v>
      </c>
      <c r="P493" s="200">
        <f>SUMIF('Cjenik VSO'!$B$9:$B$85,$B493,'Cjenik VSO'!$C$9:$C$85)</f>
        <v>232.95</v>
      </c>
      <c r="Q493" s="48">
        <f>O493*P493</f>
        <v>493.46497349999993</v>
      </c>
    </row>
    <row r="494" spans="1:17" ht="25.15" customHeight="1">
      <c r="A494" s="49"/>
      <c r="B494" s="783"/>
      <c r="C494" s="772"/>
      <c r="D494" s="678" t="s">
        <v>15</v>
      </c>
      <c r="E494" s="679"/>
      <c r="F494" s="680">
        <f>SUMIF('Cjenik VSO (pomoćna) (2)'!$B$9:$B$26,kalkulacija!B494,'Cjenik VSO (pomoćna) (2)'!$C$9:$C$26)</f>
        <v>0</v>
      </c>
      <c r="G494" s="681">
        <f>E494*F494</f>
        <v>0</v>
      </c>
      <c r="K494" s="49"/>
      <c r="L494" s="774" t="s">
        <v>139</v>
      </c>
      <c r="M494" s="774"/>
      <c r="N494" s="742" t="s">
        <v>15</v>
      </c>
      <c r="O494" s="51">
        <v>0.15</v>
      </c>
      <c r="P494" s="201">
        <f>SUMIF('Cjenik VSO'!$B$9:$B$85,$B494,'Cjenik VSO'!$C$9:$C$85)</f>
        <v>0</v>
      </c>
      <c r="Q494" s="53">
        <f>O494*P494</f>
        <v>0</v>
      </c>
    </row>
    <row r="495" spans="1:17" ht="25.15" customHeight="1">
      <c r="A495" s="54"/>
      <c r="B495" s="785"/>
      <c r="C495" s="786"/>
      <c r="D495" s="682" t="s">
        <v>15</v>
      </c>
      <c r="E495" s="683"/>
      <c r="F495" s="684">
        <f>SUMIF('Cjenik VSO (pomoćna) (2)'!$B$9:$B$26,kalkulacija!B495,'Cjenik VSO (pomoćna) (2)'!$C$9:$C$26)</f>
        <v>0</v>
      </c>
      <c r="G495" s="685">
        <f>E495*F495</f>
        <v>0</v>
      </c>
      <c r="K495" s="54"/>
      <c r="L495" s="787" t="s">
        <v>140</v>
      </c>
      <c r="M495" s="787"/>
      <c r="N495" s="741" t="s">
        <v>15</v>
      </c>
      <c r="O495" s="56">
        <v>0.2</v>
      </c>
      <c r="P495" s="202">
        <f>SUMIF('Cjenik VSO'!$B$9:$B$85,$B495,'Cjenik VSO'!$C$9:$C$85)</f>
        <v>0</v>
      </c>
      <c r="Q495" s="58">
        <f>O495*P495</f>
        <v>0</v>
      </c>
    </row>
    <row r="496" spans="1:17" ht="25.15" customHeight="1">
      <c r="A496" s="656"/>
      <c r="B496" s="784" t="str">
        <f>'Obrazac kalkulacije'!$B$15</f>
        <v>Materijali:</v>
      </c>
      <c r="C496" s="784"/>
      <c r="D496" s="656"/>
      <c r="E496" s="656"/>
      <c r="F496" s="203"/>
      <c r="G496" s="16">
        <f>SUM(G497:G506)</f>
        <v>0</v>
      </c>
      <c r="K496" s="656"/>
      <c r="L496" s="784" t="str">
        <f>'Obrazac kalkulacije'!$B$15</f>
        <v>Materijali:</v>
      </c>
      <c r="M496" s="784"/>
      <c r="N496" s="656"/>
      <c r="O496" s="656"/>
      <c r="P496" s="203"/>
      <c r="Q496" s="16">
        <f>SUM(Q497:Q506)</f>
        <v>40.864799999999995</v>
      </c>
    </row>
    <row r="497" spans="1:17" ht="25.15" customHeight="1">
      <c r="A497" s="44"/>
      <c r="B497" s="781"/>
      <c r="C497" s="782"/>
      <c r="D497" s="678">
        <f>INDEX('Cjenik M'!$C$11:$C$500, MATCH(1,INDEX(('Cjenik M'!$B$11:$B$500=kalkulacija!B497)*('Cjenik M'!$D$11:$D$500=kalkulacija!F497),,),0))</f>
        <v>0</v>
      </c>
      <c r="E497" s="675">
        <v>1</v>
      </c>
      <c r="F497" s="676">
        <f>SUMIF('Cjenik M'!$B$11:$B$350,kalkulacija!B497,'Cjenik M'!$D$11:$D$350)</f>
        <v>0</v>
      </c>
      <c r="G497" s="677">
        <f t="shared" ref="G497:G502" si="9">E497*F497</f>
        <v>0</v>
      </c>
      <c r="K497" s="44"/>
      <c r="L497" s="773" t="str">
        <f>'Cjenik M'!$B$16</f>
        <v xml:space="preserve">Cement 25 kg </v>
      </c>
      <c r="M497" s="773"/>
      <c r="N497" s="739" t="str">
        <f>'Cjenik M'!$C$16</f>
        <v>vreća</v>
      </c>
      <c r="O497" s="46">
        <v>0.5</v>
      </c>
      <c r="P497" s="200">
        <f>'Cjenik M'!$D$16</f>
        <v>18.36</v>
      </c>
      <c r="Q497" s="48">
        <f>O497*P497</f>
        <v>9.18</v>
      </c>
    </row>
    <row r="498" spans="1:17" ht="25.15" customHeight="1">
      <c r="A498" s="49"/>
      <c r="B498" s="783"/>
      <c r="C498" s="772"/>
      <c r="D498" s="678">
        <f>INDEX('Cjenik M'!$C$11:$C$500, MATCH(1,INDEX(('Cjenik M'!$B$11:$B$500=kalkulacija!B498)*('Cjenik M'!$D$11:$D$500=kalkulacija!F498),,),0))</f>
        <v>0</v>
      </c>
      <c r="E498" s="679">
        <v>1</v>
      </c>
      <c r="F498" s="680">
        <f>SUMIF('Cjenik M'!$B$11:$B$350,kalkulacija!B498,'Cjenik M'!$D$11:$D$350)</f>
        <v>0</v>
      </c>
      <c r="G498" s="681">
        <f t="shared" si="9"/>
        <v>0</v>
      </c>
      <c r="K498" s="49"/>
      <c r="L498" s="774" t="str">
        <f>'Cjenik M'!$B$14</f>
        <v>Zaštitna folija PVC 6*4 m</v>
      </c>
      <c r="M498" s="774"/>
      <c r="N498" s="742" t="str">
        <f>'Cjenik M'!$C$14</f>
        <v>kom.</v>
      </c>
      <c r="O498" s="51">
        <v>0.5</v>
      </c>
      <c r="P498" s="201">
        <f>'Cjenik M'!$D$14</f>
        <v>4.8</v>
      </c>
      <c r="Q498" s="53">
        <f>O498*P498</f>
        <v>2.4</v>
      </c>
    </row>
    <row r="499" spans="1:17" ht="25.15" customHeight="1">
      <c r="A499" s="686"/>
      <c r="B499" s="772"/>
      <c r="C499" s="772"/>
      <c r="D499" s="678">
        <f>INDEX('Cjenik M'!$C$11:$C$500, MATCH(1,INDEX(('Cjenik M'!$B$11:$B$500=kalkulacija!B499)*('Cjenik M'!$D$11:$D$500=kalkulacija!F499),,),0))</f>
        <v>0</v>
      </c>
      <c r="E499" s="679">
        <v>0.5</v>
      </c>
      <c r="F499" s="680">
        <f>SUMIF('Cjenik M'!$B$11:$B$350,kalkulacija!B499,'Cjenik M'!$D$11:$D$500)</f>
        <v>0</v>
      </c>
      <c r="G499" s="681">
        <f t="shared" si="9"/>
        <v>0</v>
      </c>
      <c r="K499" s="76"/>
      <c r="L499" s="654"/>
      <c r="M499" s="654"/>
      <c r="N499" s="71"/>
      <c r="O499" s="77"/>
      <c r="P499" s="213"/>
      <c r="Q499" s="73"/>
    </row>
    <row r="500" spans="1:17" ht="25.15" customHeight="1">
      <c r="A500" s="686"/>
      <c r="B500" s="772"/>
      <c r="C500" s="772"/>
      <c r="D500" s="678"/>
      <c r="E500" s="679"/>
      <c r="F500" s="680">
        <f>SUMIF('Cjenik M'!$B$11:$B$350,kalkulacija!B500,'Cjenik M'!$D$11:$D$350)</f>
        <v>0</v>
      </c>
      <c r="G500" s="681">
        <f t="shared" si="9"/>
        <v>0</v>
      </c>
      <c r="K500" s="44"/>
      <c r="L500" s="773" t="str">
        <f>'Cjenik M'!$B$16</f>
        <v xml:space="preserve">Cement 25 kg </v>
      </c>
      <c r="M500" s="773"/>
      <c r="N500" s="739" t="str">
        <f>'Cjenik M'!$C$16</f>
        <v>vreća</v>
      </c>
      <c r="O500" s="46">
        <v>0.5</v>
      </c>
      <c r="P500" s="200">
        <f>'Cjenik M'!$D$16</f>
        <v>18.36</v>
      </c>
      <c r="Q500" s="48">
        <f>O500*P500</f>
        <v>9.18</v>
      </c>
    </row>
    <row r="501" spans="1:17" ht="25.15" customHeight="1">
      <c r="A501" s="686"/>
      <c r="B501" s="772"/>
      <c r="C501" s="772"/>
      <c r="D501" s="678"/>
      <c r="E501" s="679"/>
      <c r="F501" s="680">
        <f>SUMIF('Cjenik M'!$B$11:$B$350,kalkulacija!B501,'Cjenik M'!$D$11:$D$350)</f>
        <v>0</v>
      </c>
      <c r="G501" s="681">
        <f t="shared" si="9"/>
        <v>0</v>
      </c>
      <c r="K501" s="44"/>
      <c r="L501" s="773" t="str">
        <f>'Cjenik M'!$B$16</f>
        <v xml:space="preserve">Cement 25 kg </v>
      </c>
      <c r="M501" s="773"/>
      <c r="N501" s="739" t="str">
        <f>'Cjenik M'!$C$16</f>
        <v>vreća</v>
      </c>
      <c r="O501" s="46">
        <v>0.5</v>
      </c>
      <c r="P501" s="200">
        <f>'Cjenik M'!$D$16</f>
        <v>18.36</v>
      </c>
      <c r="Q501" s="48">
        <f>O501*P501</f>
        <v>9.18</v>
      </c>
    </row>
    <row r="502" spans="1:17" ht="25.15" customHeight="1">
      <c r="A502" s="686"/>
      <c r="B502" s="772"/>
      <c r="C502" s="772"/>
      <c r="D502" s="678"/>
      <c r="E502" s="679"/>
      <c r="F502" s="680"/>
      <c r="G502" s="681">
        <f t="shared" si="9"/>
        <v>0</v>
      </c>
      <c r="K502" s="49"/>
      <c r="L502" s="774" t="str">
        <f>'Cjenik M'!$B$14</f>
        <v>Zaštitna folija PVC 6*4 m</v>
      </c>
      <c r="M502" s="774"/>
      <c r="N502" s="742" t="str">
        <f>'Cjenik M'!$C$14</f>
        <v>kom.</v>
      </c>
      <c r="O502" s="51">
        <v>0.5</v>
      </c>
      <c r="P502" s="201">
        <f>'Cjenik M'!$D$14</f>
        <v>4.8</v>
      </c>
      <c r="Q502" s="53">
        <f>O502*P502</f>
        <v>2.4</v>
      </c>
    </row>
    <row r="503" spans="1:17" ht="25.15" customHeight="1">
      <c r="A503" s="686"/>
      <c r="B503" s="772"/>
      <c r="C503" s="772"/>
      <c r="D503" s="678"/>
      <c r="E503" s="679"/>
      <c r="F503" s="680"/>
      <c r="G503" s="681"/>
      <c r="K503" s="76"/>
      <c r="L503" s="654"/>
      <c r="M503" s="654"/>
      <c r="N503" s="71"/>
      <c r="O503" s="77"/>
      <c r="P503" s="213"/>
      <c r="Q503" s="73"/>
    </row>
    <row r="504" spans="1:17" ht="25.15" customHeight="1">
      <c r="A504" s="686"/>
      <c r="B504" s="772"/>
      <c r="C504" s="772"/>
      <c r="D504" s="678"/>
      <c r="E504" s="679"/>
      <c r="F504" s="680">
        <f>SUMIF('Cjenik M'!$B$11:$B$350,kalkulacija!B504,'Cjenik M'!$D$11:$D$350)</f>
        <v>0</v>
      </c>
      <c r="G504" s="681">
        <f>E504*F504</f>
        <v>0</v>
      </c>
      <c r="K504" s="76"/>
      <c r="L504" s="654"/>
      <c r="M504" s="654"/>
      <c r="N504" s="71"/>
      <c r="O504" s="77"/>
      <c r="P504" s="213"/>
      <c r="Q504" s="73"/>
    </row>
    <row r="505" spans="1:17" ht="25.15" customHeight="1">
      <c r="A505" s="686"/>
      <c r="B505" s="772"/>
      <c r="C505" s="772"/>
      <c r="D505" s="678"/>
      <c r="E505" s="679"/>
      <c r="F505" s="680">
        <f>SUMIF('Cjenik M'!$B$11:$B$350,kalkulacija!B505,'Cjenik M'!$D$11:$D$350)</f>
        <v>0</v>
      </c>
      <c r="G505" s="681">
        <f>E505*F505</f>
        <v>0</v>
      </c>
      <c r="K505" s="76"/>
      <c r="L505" s="654"/>
      <c r="M505" s="654"/>
      <c r="N505" s="71"/>
      <c r="O505" s="77"/>
      <c r="P505" s="213"/>
      <c r="Q505" s="73"/>
    </row>
    <row r="506" spans="1:17" ht="25.15" customHeight="1" thickBot="1">
      <c r="A506" s="59"/>
      <c r="B506" s="775"/>
      <c r="C506" s="776"/>
      <c r="D506" s="688"/>
      <c r="E506" s="689"/>
      <c r="F506" s="691">
        <f>SUMIF('Cjenik M'!$B$11:$B$350,kalkulacija!B506,'Cjenik M'!$D$11:$D$350)</f>
        <v>0</v>
      </c>
      <c r="G506" s="690"/>
      <c r="K506" s="59"/>
      <c r="L506" s="777" t="str">
        <f>'Cjenik M'!$B$21</f>
        <v>PVC koljeno 40x90</v>
      </c>
      <c r="M506" s="777"/>
      <c r="N506" s="740" t="str">
        <f>'Cjenik M'!$C$21</f>
        <v>kom.</v>
      </c>
      <c r="O506" s="61">
        <v>3.33</v>
      </c>
      <c r="P506" s="208">
        <f>'Cjenik M'!$D$21</f>
        <v>2.56</v>
      </c>
      <c r="Q506" s="63">
        <f>O506*P506</f>
        <v>8.5248000000000008</v>
      </c>
    </row>
    <row r="507" spans="1:17" ht="25.15" customHeight="1" thickTop="1" thickBot="1">
      <c r="E507" s="778" t="str">
        <f>'Obrazac kalkulacije'!$E$18</f>
        <v>Ukupno (kn):</v>
      </c>
      <c r="F507" s="778"/>
      <c r="G507" s="64">
        <f>ROUND(SUM(G488+G492+G496),2)</f>
        <v>37.81</v>
      </c>
      <c r="H507" s="217"/>
      <c r="I507" s="602"/>
      <c r="J507" s="602"/>
      <c r="O507" s="778" t="str">
        <f>'Obrazac kalkulacije'!$E$18</f>
        <v>Ukupno (kn):</v>
      </c>
      <c r="P507" s="778"/>
      <c r="Q507" s="64">
        <f>ROUND(SUM(Q488+Q492+Q496),2)</f>
        <v>534.33000000000004</v>
      </c>
    </row>
    <row r="508" spans="1:17" ht="25.15" customHeight="1" thickTop="1" thickBot="1">
      <c r="E508" s="23" t="str">
        <f>'Obrazac kalkulacije'!$E$19</f>
        <v>PDV:</v>
      </c>
      <c r="F508" s="207">
        <f>'Obrazac kalkulacije'!$F$19</f>
        <v>0.25</v>
      </c>
      <c r="G508" s="24">
        <f>G507*F508</f>
        <v>9.4525000000000006</v>
      </c>
      <c r="H508" s="446"/>
      <c r="I508" s="446"/>
      <c r="J508" s="446"/>
      <c r="O508" s="23" t="str">
        <f>'Obrazac kalkulacije'!$E$19</f>
        <v>PDV:</v>
      </c>
      <c r="P508" s="207">
        <f>'Obrazac kalkulacije'!$F$19</f>
        <v>0.25</v>
      </c>
      <c r="Q508" s="24">
        <f>Q507*P508</f>
        <v>133.58250000000001</v>
      </c>
    </row>
    <row r="509" spans="1:17" ht="25.15" customHeight="1" thickTop="1" thickBot="1">
      <c r="E509" s="779" t="str">
        <f>'Obrazac kalkulacije'!$E$20</f>
        <v>Sveukupno (kn):</v>
      </c>
      <c r="F509" s="779"/>
      <c r="G509" s="24">
        <f>ROUND(SUM(G507:G508),2)</f>
        <v>47.26</v>
      </c>
      <c r="H509" s="447"/>
      <c r="I509" s="447"/>
      <c r="J509" s="447"/>
      <c r="O509" s="779" t="str">
        <f>'Obrazac kalkulacije'!$E$20</f>
        <v>Sveukupno (kn):</v>
      </c>
      <c r="P509" s="779"/>
      <c r="Q509" s="24">
        <f>ROUND(SUM(Q507:Q508),2)</f>
        <v>667.91</v>
      </c>
    </row>
    <row r="510" spans="1:17" ht="15" customHeight="1" thickTop="1"/>
    <row r="511" spans="1:17" ht="15" customHeight="1"/>
    <row r="512" spans="1:17" ht="15" customHeight="1">
      <c r="C512" s="3" t="str">
        <f>'Obrazac kalkulacije'!$C$24</f>
        <v>IZVODITELJ:</v>
      </c>
      <c r="F512" s="780" t="str">
        <f>'Obrazac kalkulacije'!$F$24</f>
        <v>NARUČITELJ:</v>
      </c>
      <c r="G512" s="780"/>
      <c r="M512" s="3" t="str">
        <f>'Obrazac kalkulacije'!$C$24</f>
        <v>IZVODITELJ:</v>
      </c>
      <c r="P512" s="780" t="str">
        <f>'Obrazac kalkulacije'!$F$24</f>
        <v>NARUČITELJ:</v>
      </c>
      <c r="Q512" s="780"/>
    </row>
    <row r="513" spans="1:17" ht="25.15" customHeight="1">
      <c r="C513" s="3" t="str">
        <f>'Obrazac kalkulacije'!$C$25</f>
        <v>__________________</v>
      </c>
      <c r="F513" s="780" t="str">
        <f>'Obrazac kalkulacije'!$F$25</f>
        <v>___________________</v>
      </c>
      <c r="G513" s="780"/>
      <c r="M513" s="3" t="str">
        <f>'Obrazac kalkulacije'!$C$25</f>
        <v>__________________</v>
      </c>
      <c r="P513" s="780" t="str">
        <f>'Obrazac kalkulacije'!$F$25</f>
        <v>___________________</v>
      </c>
      <c r="Q513" s="780"/>
    </row>
    <row r="514" spans="1:17" ht="25.15" customHeight="1">
      <c r="A514" s="14"/>
      <c r="B514" s="15" t="str">
        <f>'Obrazac kalkulacije'!$B$8</f>
        <v>Radna snaga:</v>
      </c>
      <c r="C514" s="15"/>
      <c r="D514" s="14"/>
      <c r="E514" s="14"/>
      <c r="F514" s="206"/>
      <c r="G514" s="16">
        <f>SUM(G516:G516)</f>
        <v>0</v>
      </c>
      <c r="K514" s="14"/>
      <c r="L514" s="15" t="str">
        <f>'Obrazac kalkulacije'!$B$8</f>
        <v>Radna snaga:</v>
      </c>
      <c r="M514" s="15"/>
      <c r="N514" s="14"/>
      <c r="O514" s="14"/>
      <c r="P514" s="206"/>
      <c r="Q514" s="16">
        <f>SUM(Q516:Q516)</f>
        <v>0</v>
      </c>
    </row>
    <row r="515" spans="1:17" ht="25.15" customHeight="1">
      <c r="A515" s="656"/>
      <c r="B515" s="738"/>
      <c r="C515" s="738"/>
      <c r="D515" s="84"/>
      <c r="E515" s="84"/>
      <c r="F515" s="206"/>
      <c r="G515" s="75"/>
      <c r="K515" s="656"/>
      <c r="L515" s="738"/>
      <c r="M515" s="738"/>
      <c r="N515" s="84"/>
      <c r="O515" s="84"/>
      <c r="P515" s="206"/>
      <c r="Q515" s="75"/>
    </row>
    <row r="516" spans="1:17" ht="25.15" customHeight="1">
      <c r="A516" s="26"/>
      <c r="B516" s="791"/>
      <c r="C516" s="791"/>
      <c r="D516" s="27"/>
      <c r="E516" s="28">
        <v>1.6666666666666666E-2</v>
      </c>
      <c r="F516" s="203">
        <f>SUMIF('Cjenik RS'!$C$11:$C$26,$B516,'Cjenik RS'!$D$11:$D$88)</f>
        <v>0</v>
      </c>
      <c r="G516" s="29">
        <f>+F516*E516</f>
        <v>0</v>
      </c>
      <c r="K516" s="26"/>
      <c r="L516" s="791" t="s">
        <v>130</v>
      </c>
      <c r="M516" s="791"/>
      <c r="N516" s="27" t="s">
        <v>15</v>
      </c>
      <c r="O516" s="28">
        <v>1.6667000000000001E-2</v>
      </c>
      <c r="P516" s="203">
        <f>SUMIF('Cjenik RS'!$C$11:$C$26,$B516,'Cjenik RS'!$D$11:$D$88)</f>
        <v>0</v>
      </c>
      <c r="Q516" s="29">
        <f>+P516*O516</f>
        <v>0</v>
      </c>
    </row>
    <row r="517" spans="1:17" ht="25.15" customHeight="1">
      <c r="A517" s="14"/>
      <c r="B517" s="15" t="str">
        <f>'Obrazac kalkulacije'!$B$11</f>
        <v>Vozila, strojevi i oprema:</v>
      </c>
      <c r="C517" s="15"/>
      <c r="D517" s="14"/>
      <c r="E517" s="14"/>
      <c r="F517" s="203"/>
      <c r="G517" s="16">
        <f>SUM(G518:G528)</f>
        <v>7.5276041666666673</v>
      </c>
      <c r="K517" s="14"/>
      <c r="L517" s="15" t="str">
        <f>'Obrazac kalkulacije'!$B$11</f>
        <v>Vozila, strojevi i oprema:</v>
      </c>
      <c r="M517" s="15"/>
      <c r="N517" s="14"/>
      <c r="O517" s="14"/>
      <c r="P517" s="203"/>
      <c r="Q517" s="16">
        <f>SUM(Q518:Q528)</f>
        <v>7.5388823800000004</v>
      </c>
    </row>
    <row r="518" spans="1:17" ht="25.15" customHeight="1">
      <c r="A518" s="49"/>
      <c r="B518" s="799" t="s">
        <v>144</v>
      </c>
      <c r="C518" s="799"/>
      <c r="D518" s="50" t="s">
        <v>15</v>
      </c>
      <c r="E518" s="83">
        <v>4.1666666666666669E-4</v>
      </c>
      <c r="F518" s="201">
        <f>SUMIF('Cjenik VSO'!$B$9:$B$85,$B518,'Cjenik VSO'!$C$9:$C$85)</f>
        <v>718.97</v>
      </c>
      <c r="G518" s="52">
        <f t="shared" ref="G518:G528" si="10">E518*F518</f>
        <v>0.29957083333333334</v>
      </c>
      <c r="K518" s="49"/>
      <c r="L518" s="800" t="s">
        <v>144</v>
      </c>
      <c r="M518" s="800"/>
      <c r="N518" s="50" t="s">
        <v>15</v>
      </c>
      <c r="O518" s="83">
        <v>4.17E-4</v>
      </c>
      <c r="P518" s="201">
        <f>SUMIF('Cjenik VSO'!$B$9:$B$85,$B518,'Cjenik VSO'!$C$9:$C$85)</f>
        <v>718.97</v>
      </c>
      <c r="Q518" s="52">
        <f t="shared" ref="Q518:Q528" si="11">O518*P518</f>
        <v>0.29981048999999999</v>
      </c>
    </row>
    <row r="519" spans="1:17" ht="25.15" customHeight="1">
      <c r="A519" s="49"/>
      <c r="B519" s="799" t="s">
        <v>133</v>
      </c>
      <c r="C519" s="799"/>
      <c r="D519" s="50" t="s">
        <v>15</v>
      </c>
      <c r="E519" s="83">
        <v>8.3333333333333339E-4</v>
      </c>
      <c r="F519" s="201">
        <f>SUMIF('Cjenik VSO'!$B$9:$B$85,$B519,'Cjenik VSO'!$C$9:$C$85)</f>
        <v>328.73</v>
      </c>
      <c r="G519" s="52">
        <f t="shared" si="10"/>
        <v>0.27394166666666669</v>
      </c>
      <c r="K519" s="49"/>
      <c r="L519" s="799" t="s">
        <v>133</v>
      </c>
      <c r="M519" s="799"/>
      <c r="N519" s="50" t="s">
        <v>15</v>
      </c>
      <c r="O519" s="83">
        <v>8.2899999999999998E-4</v>
      </c>
      <c r="P519" s="201">
        <f>SUMIF('Cjenik VSO'!$B$9:$B$85,$B519,'Cjenik VSO'!$C$9:$C$85)</f>
        <v>328.73</v>
      </c>
      <c r="Q519" s="52">
        <f t="shared" si="11"/>
        <v>0.27251717000000003</v>
      </c>
    </row>
    <row r="520" spans="1:17" ht="25.15" customHeight="1">
      <c r="A520" s="49"/>
      <c r="B520" s="799" t="s">
        <v>134</v>
      </c>
      <c r="C520" s="799"/>
      <c r="D520" s="50" t="s">
        <v>15</v>
      </c>
      <c r="E520" s="83">
        <v>8.3333333333333339E-4</v>
      </c>
      <c r="F520" s="201">
        <f>SUMIF('Cjenik VSO'!$B$9:$B$85,$B520,'Cjenik VSO'!$C$9:$C$85)</f>
        <v>62.67</v>
      </c>
      <c r="G520" s="52">
        <f t="shared" si="10"/>
        <v>5.2225000000000008E-2</v>
      </c>
      <c r="K520" s="49"/>
      <c r="L520" s="799" t="s">
        <v>134</v>
      </c>
      <c r="M520" s="799"/>
      <c r="N520" s="50" t="s">
        <v>15</v>
      </c>
      <c r="O520" s="83">
        <v>8.2899999999999998E-4</v>
      </c>
      <c r="P520" s="201">
        <f>SUMIF('Cjenik VSO'!$B$9:$B$85,$B520,'Cjenik VSO'!$C$9:$C$85)</f>
        <v>62.67</v>
      </c>
      <c r="Q520" s="52">
        <f t="shared" si="11"/>
        <v>5.1953430000000002E-2</v>
      </c>
    </row>
    <row r="521" spans="1:17" ht="25.15" customHeight="1">
      <c r="A521" s="49"/>
      <c r="B521" s="799" t="s">
        <v>142</v>
      </c>
      <c r="C521" s="799"/>
      <c r="D521" s="50" t="s">
        <v>15</v>
      </c>
      <c r="E521" s="83">
        <v>8.3333333333333339E-4</v>
      </c>
      <c r="F521" s="201">
        <f>SUMIF('Cjenik VSO'!$B$9:$B$85,$B521,'Cjenik VSO'!$C$9:$C$85)</f>
        <v>291.72000000000003</v>
      </c>
      <c r="G521" s="52">
        <f t="shared" si="10"/>
        <v>0.24310000000000004</v>
      </c>
      <c r="K521" s="49"/>
      <c r="L521" s="799" t="s">
        <v>142</v>
      </c>
      <c r="M521" s="799"/>
      <c r="N521" s="50" t="s">
        <v>15</v>
      </c>
      <c r="O521" s="83">
        <v>9.3800000000000003E-4</v>
      </c>
      <c r="P521" s="201">
        <f>SUMIF('Cjenik VSO'!$B$9:$B$85,$B521,'Cjenik VSO'!$C$9:$C$85)</f>
        <v>291.72000000000003</v>
      </c>
      <c r="Q521" s="52">
        <f t="shared" si="11"/>
        <v>0.27363336000000005</v>
      </c>
    </row>
    <row r="522" spans="1:17" ht="25.15" customHeight="1">
      <c r="A522" s="49"/>
      <c r="B522" s="799" t="s">
        <v>143</v>
      </c>
      <c r="C522" s="799"/>
      <c r="D522" s="50" t="s">
        <v>15</v>
      </c>
      <c r="E522" s="83">
        <v>3.7499999999999999E-3</v>
      </c>
      <c r="F522" s="201">
        <f>SUMIF('Cjenik VSO'!$B$9:$B$85,$B522,'Cjenik VSO'!$C$9:$C$85)</f>
        <v>355.64</v>
      </c>
      <c r="G522" s="52">
        <f t="shared" si="10"/>
        <v>1.33365</v>
      </c>
      <c r="K522" s="49"/>
      <c r="L522" s="799" t="s">
        <v>143</v>
      </c>
      <c r="M522" s="799"/>
      <c r="N522" s="50" t="s">
        <v>15</v>
      </c>
      <c r="O522" s="83">
        <v>3.7499999999999999E-3</v>
      </c>
      <c r="P522" s="201">
        <f>SUMIF('Cjenik VSO'!$B$9:$B$85,$B522,'Cjenik VSO'!$C$9:$C$85)</f>
        <v>355.64</v>
      </c>
      <c r="Q522" s="52">
        <f t="shared" si="11"/>
        <v>1.33365</v>
      </c>
    </row>
    <row r="523" spans="1:17" ht="25.15" customHeight="1">
      <c r="A523" s="49"/>
      <c r="B523" s="799" t="s">
        <v>165</v>
      </c>
      <c r="C523" s="799"/>
      <c r="D523" s="50" t="s">
        <v>15</v>
      </c>
      <c r="E523" s="83">
        <v>3.3333333333333335E-3</v>
      </c>
      <c r="F523" s="201">
        <f>SUMIF('Cjenik VSO'!$B$9:$B$85,$B523,'Cjenik VSO'!$C$9:$C$85)</f>
        <v>693.43</v>
      </c>
      <c r="G523" s="52">
        <f t="shared" si="10"/>
        <v>2.3114333333333335</v>
      </c>
      <c r="K523" s="49"/>
      <c r="L523" s="799" t="s">
        <v>165</v>
      </c>
      <c r="M523" s="799"/>
      <c r="N523" s="50" t="s">
        <v>15</v>
      </c>
      <c r="O523" s="83">
        <v>3.333E-3</v>
      </c>
      <c r="P523" s="201">
        <f>SUMIF('Cjenik VSO'!$B$9:$B$85,$B523,'Cjenik VSO'!$C$9:$C$85)</f>
        <v>693.43</v>
      </c>
      <c r="Q523" s="52">
        <f t="shared" si="11"/>
        <v>2.3112021899999999</v>
      </c>
    </row>
    <row r="524" spans="1:17" ht="25.15" customHeight="1">
      <c r="A524" s="49"/>
      <c r="B524" s="799" t="s">
        <v>156</v>
      </c>
      <c r="C524" s="799"/>
      <c r="D524" s="50" t="s">
        <v>15</v>
      </c>
      <c r="E524" s="83">
        <v>1.6666666666666668E-3</v>
      </c>
      <c r="F524" s="201">
        <f>SUMIF('Cjenik VSO'!$B$9:$B$85,$B524,'Cjenik VSO'!$C$9:$C$85)</f>
        <v>240.85</v>
      </c>
      <c r="G524" s="52">
        <f t="shared" si="10"/>
        <v>0.4014166666666667</v>
      </c>
      <c r="K524" s="49"/>
      <c r="L524" s="799" t="s">
        <v>156</v>
      </c>
      <c r="M524" s="799"/>
      <c r="N524" s="50" t="s">
        <v>15</v>
      </c>
      <c r="O524" s="83">
        <v>1.6670000000000001E-3</v>
      </c>
      <c r="P524" s="201">
        <f>SUMIF('Cjenik VSO'!$B$9:$B$85,$B524,'Cjenik VSO'!$C$9:$C$85)</f>
        <v>240.85</v>
      </c>
      <c r="Q524" s="52">
        <f t="shared" si="11"/>
        <v>0.40149695000000002</v>
      </c>
    </row>
    <row r="525" spans="1:17" ht="25.15" customHeight="1">
      <c r="A525" s="49"/>
      <c r="B525" s="799" t="s">
        <v>148</v>
      </c>
      <c r="C525" s="799"/>
      <c r="D525" s="50" t="s">
        <v>15</v>
      </c>
      <c r="E525" s="83">
        <v>2.9166666666666668E-3</v>
      </c>
      <c r="F525" s="201">
        <f>SUMIF('Cjenik VSO'!$B$9:$B$85,$B525,'Cjenik VSO'!$C$9:$C$85)</f>
        <v>199.57</v>
      </c>
      <c r="G525" s="52">
        <f t="shared" si="10"/>
        <v>0.5820791666666667</v>
      </c>
      <c r="K525" s="49"/>
      <c r="L525" s="799" t="s">
        <v>148</v>
      </c>
      <c r="M525" s="799"/>
      <c r="N525" s="50" t="s">
        <v>15</v>
      </c>
      <c r="O525" s="83">
        <v>1.6670000000000001E-3</v>
      </c>
      <c r="P525" s="201">
        <f>SUMIF('Cjenik VSO'!$B$9:$B$85,$B525,'Cjenik VSO'!$C$9:$C$85)</f>
        <v>199.57</v>
      </c>
      <c r="Q525" s="52">
        <f t="shared" si="11"/>
        <v>0.33268319000000002</v>
      </c>
    </row>
    <row r="526" spans="1:17" ht="25.15" customHeight="1">
      <c r="A526" s="49"/>
      <c r="B526" s="799" t="s">
        <v>157</v>
      </c>
      <c r="C526" s="799"/>
      <c r="D526" s="50" t="s">
        <v>15</v>
      </c>
      <c r="E526" s="83">
        <v>5.8333333333333336E-3</v>
      </c>
      <c r="F526" s="201">
        <f>SUMIF('Cjenik VSO'!$B$9:$B$85,$B526,'Cjenik VSO'!$C$9:$C$85)</f>
        <v>269.36</v>
      </c>
      <c r="G526" s="52">
        <f t="shared" si="10"/>
        <v>1.5712666666666668</v>
      </c>
      <c r="K526" s="49"/>
      <c r="L526" s="799" t="s">
        <v>157</v>
      </c>
      <c r="M526" s="799"/>
      <c r="N526" s="50" t="s">
        <v>15</v>
      </c>
      <c r="O526" s="83">
        <v>6.6670000000000002E-3</v>
      </c>
      <c r="P526" s="201">
        <f>SUMIF('Cjenik VSO'!$B$9:$B$85,$B526,'Cjenik VSO'!$C$9:$C$85)</f>
        <v>269.36</v>
      </c>
      <c r="Q526" s="52">
        <f t="shared" si="11"/>
        <v>1.7958231200000001</v>
      </c>
    </row>
    <row r="527" spans="1:17" ht="25.15" customHeight="1">
      <c r="A527" s="49"/>
      <c r="B527" s="799" t="s">
        <v>149</v>
      </c>
      <c r="C527" s="799"/>
      <c r="D527" s="50" t="s">
        <v>15</v>
      </c>
      <c r="E527" s="83">
        <v>8.3333333333333339E-4</v>
      </c>
      <c r="F527" s="201">
        <f>SUMIF('Cjenik VSO'!$B$9:$B$85,$B527,'Cjenik VSO'!$C$9:$C$85)</f>
        <v>68.709999999999994</v>
      </c>
      <c r="G527" s="52">
        <f t="shared" si="10"/>
        <v>5.7258333333333335E-2</v>
      </c>
      <c r="K527" s="49"/>
      <c r="L527" s="799" t="s">
        <v>149</v>
      </c>
      <c r="M527" s="799"/>
      <c r="N527" s="50" t="s">
        <v>15</v>
      </c>
      <c r="O527" s="83">
        <v>9.3800000000000003E-4</v>
      </c>
      <c r="P527" s="201">
        <f>SUMIF('Cjenik VSO'!$B$9:$B$85,$B527,'Cjenik VSO'!$C$9:$C$85)</f>
        <v>68.709999999999994</v>
      </c>
      <c r="Q527" s="52">
        <f t="shared" si="11"/>
        <v>6.444997999999999E-2</v>
      </c>
    </row>
    <row r="528" spans="1:17" ht="25.15" customHeight="1">
      <c r="A528" s="54"/>
      <c r="B528" s="804" t="s">
        <v>150</v>
      </c>
      <c r="C528" s="804"/>
      <c r="D528" s="55" t="s">
        <v>15</v>
      </c>
      <c r="E528" s="79">
        <v>3.7499999999999999E-3</v>
      </c>
      <c r="F528" s="202">
        <f>SUMIF('Cjenik VSO'!$B$9:$B$85,$B528,'Cjenik VSO'!$C$9:$C$85)</f>
        <v>107.11</v>
      </c>
      <c r="G528" s="57">
        <f t="shared" si="10"/>
        <v>0.40166249999999998</v>
      </c>
      <c r="K528" s="54"/>
      <c r="L528" s="804" t="s">
        <v>150</v>
      </c>
      <c r="M528" s="804"/>
      <c r="N528" s="55" t="s">
        <v>15</v>
      </c>
      <c r="O528" s="79">
        <v>3.7499999999999999E-3</v>
      </c>
      <c r="P528" s="202">
        <f>SUMIF('Cjenik VSO'!$B$9:$B$85,$B528,'Cjenik VSO'!$C$9:$C$85)</f>
        <v>107.11</v>
      </c>
      <c r="Q528" s="57">
        <f t="shared" si="11"/>
        <v>0.40166249999999998</v>
      </c>
    </row>
    <row r="529" spans="1:17" ht="25.15" customHeight="1">
      <c r="A529" s="14"/>
      <c r="B529" s="802" t="str">
        <f>'Obrazac kalkulacije'!$B$15</f>
        <v>Materijali:</v>
      </c>
      <c r="C529" s="802"/>
      <c r="D529" s="14"/>
      <c r="E529" s="14"/>
      <c r="F529" s="203"/>
      <c r="G529" s="16">
        <f>SUM(G530:G531)</f>
        <v>1.8480000000000001</v>
      </c>
      <c r="K529" s="14"/>
      <c r="L529" s="802" t="str">
        <f>'Obrazac kalkulacije'!$B$15</f>
        <v>Materijali:</v>
      </c>
      <c r="M529" s="802"/>
      <c r="N529" s="14"/>
      <c r="O529" s="14"/>
      <c r="P529" s="203"/>
      <c r="Q529" s="16">
        <f>SUM(Q530:Q531)</f>
        <v>1.8480000000000001</v>
      </c>
    </row>
    <row r="530" spans="1:17" ht="25.15" customHeight="1">
      <c r="A530" s="70"/>
      <c r="B530" s="803" t="str">
        <f>'Cjenik M'!$B$19</f>
        <v>Sredstvo za impregnaciju prije bojenja - Akril grund ekonomik 10 l</v>
      </c>
      <c r="C530" s="803"/>
      <c r="D530" s="71" t="str">
        <f>'Cjenik M'!$C$19</f>
        <v>l</v>
      </c>
      <c r="E530" s="72">
        <v>0.1</v>
      </c>
      <c r="F530" s="213">
        <f>'Cjenik M'!$D$19</f>
        <v>8.24</v>
      </c>
      <c r="G530" s="73">
        <f>+F530*E530</f>
        <v>0.82400000000000007</v>
      </c>
      <c r="K530" s="70"/>
      <c r="L530" s="814" t="str">
        <f>'Cjenik M'!$B$19</f>
        <v>Sredstvo za impregnaciju prije bojenja - Akril grund ekonomik 10 l</v>
      </c>
      <c r="M530" s="814"/>
      <c r="N530" s="71" t="str">
        <f>'Cjenik M'!$C$19</f>
        <v>l</v>
      </c>
      <c r="O530" s="72">
        <v>0.1</v>
      </c>
      <c r="P530" s="213">
        <f>'Cjenik M'!$D$19</f>
        <v>8.24</v>
      </c>
      <c r="Q530" s="73">
        <f>+P530*O530</f>
        <v>0.82400000000000007</v>
      </c>
    </row>
    <row r="531" spans="1:17" ht="25.15" customHeight="1" thickBot="1">
      <c r="A531" s="67"/>
      <c r="B531" s="801" t="str">
        <f>'Cjenik M'!$B$21</f>
        <v>PVC koljeno 40x90</v>
      </c>
      <c r="C531" s="801"/>
      <c r="D531" s="60" t="str">
        <f>'Cjenik M'!$C$21</f>
        <v>kom.</v>
      </c>
      <c r="E531" s="74">
        <v>0.4</v>
      </c>
      <c r="F531" s="208">
        <f>'Cjenik M'!$D$21</f>
        <v>2.56</v>
      </c>
      <c r="G531" s="63">
        <f>+F531*E531</f>
        <v>1.024</v>
      </c>
      <c r="K531" s="67"/>
      <c r="L531" s="801" t="str">
        <f>'Cjenik M'!$B$21</f>
        <v>PVC koljeno 40x90</v>
      </c>
      <c r="M531" s="801"/>
      <c r="N531" s="60" t="str">
        <f>'Cjenik M'!$C$21</f>
        <v>kom.</v>
      </c>
      <c r="O531" s="74">
        <v>0.4</v>
      </c>
      <c r="P531" s="208">
        <f>'Cjenik M'!$D$21</f>
        <v>2.56</v>
      </c>
      <c r="Q531" s="63">
        <f>+P531*O531</f>
        <v>1.024</v>
      </c>
    </row>
    <row r="532" spans="1:17" ht="25.15" customHeight="1" thickTop="1" thickBot="1">
      <c r="B532" s="40"/>
      <c r="C532" s="20"/>
      <c r="D532" s="21"/>
      <c r="E532" s="118" t="str">
        <f>'Obrazac kalkulacije'!$E$18</f>
        <v>Ukupno (kn):</v>
      </c>
      <c r="F532" s="214"/>
      <c r="G532" s="22">
        <f>ROUND(SUM(G514+G517+G529),2)</f>
        <v>9.3800000000000008</v>
      </c>
      <c r="H532" s="217"/>
      <c r="I532" s="602"/>
      <c r="J532" s="602"/>
      <c r="L532" s="40"/>
      <c r="M532" s="20"/>
      <c r="N532" s="21"/>
      <c r="O532" s="118" t="str">
        <f>'Obrazac kalkulacije'!$E$18</f>
        <v>Ukupno (kn):</v>
      </c>
      <c r="P532" s="214"/>
      <c r="Q532" s="22">
        <f>ROUND(SUM(Q514+Q517+Q529),2)</f>
        <v>9.39</v>
      </c>
    </row>
    <row r="533" spans="1:17" ht="25.15" customHeight="1" thickTop="1" thickBot="1">
      <c r="E533" s="23" t="str">
        <f>'Obrazac kalkulacije'!$E$19</f>
        <v>PDV:</v>
      </c>
      <c r="F533" s="207">
        <f>'Obrazac kalkulacije'!$F$19</f>
        <v>0.25</v>
      </c>
      <c r="G533" s="24">
        <f>G532*F533</f>
        <v>2.3450000000000002</v>
      </c>
      <c r="H533" s="446"/>
      <c r="I533" s="446"/>
      <c r="J533" s="446"/>
      <c r="O533" s="23" t="str">
        <f>'Obrazac kalkulacije'!$E$19</f>
        <v>PDV:</v>
      </c>
      <c r="P533" s="207">
        <f>'Obrazac kalkulacije'!$F$19</f>
        <v>0.25</v>
      </c>
      <c r="Q533" s="24">
        <f>Q532*P533</f>
        <v>2.3475000000000001</v>
      </c>
    </row>
    <row r="534" spans="1:17" ht="25.15" customHeight="1" thickTop="1" thickBot="1">
      <c r="E534" s="119" t="str">
        <f>'Obrazac kalkulacije'!$E$20</f>
        <v>Sveukupno (kn):</v>
      </c>
      <c r="F534" s="215"/>
      <c r="G534" s="24">
        <f>ROUND(SUM(G532:G533),2)</f>
        <v>11.73</v>
      </c>
      <c r="H534" s="447"/>
      <c r="I534" s="447"/>
      <c r="J534" s="447"/>
      <c r="O534" s="119" t="str">
        <f>'Obrazac kalkulacije'!$E$20</f>
        <v>Sveukupno (kn):</v>
      </c>
      <c r="P534" s="215"/>
      <c r="Q534" s="24">
        <f>ROUND(SUM(Q532:Q533),2)</f>
        <v>11.74</v>
      </c>
    </row>
    <row r="535" spans="1:17" ht="15" customHeight="1" thickTop="1"/>
    <row r="536" spans="1:17" ht="15" customHeight="1"/>
    <row r="537" spans="1:17" ht="15" customHeight="1"/>
    <row r="538" spans="1:17" ht="15" customHeight="1">
      <c r="C538" s="3" t="str">
        <f>'Obrazac kalkulacije'!$C$24</f>
        <v>IZVODITELJ:</v>
      </c>
      <c r="F538" s="780" t="str">
        <f>'Obrazac kalkulacije'!$F$24</f>
        <v>NARUČITELJ:</v>
      </c>
      <c r="G538" s="780"/>
      <c r="M538" s="3" t="str">
        <f>'Obrazac kalkulacije'!$C$24</f>
        <v>IZVODITELJ:</v>
      </c>
      <c r="P538" s="780" t="str">
        <f>'Obrazac kalkulacije'!$F$24</f>
        <v>NARUČITELJ:</v>
      </c>
      <c r="Q538" s="780"/>
    </row>
    <row r="539" spans="1:17" ht="25.15" customHeight="1">
      <c r="C539" s="3" t="str">
        <f>'Obrazac kalkulacije'!$C$25</f>
        <v>__________________</v>
      </c>
      <c r="F539" s="780" t="str">
        <f>'Obrazac kalkulacije'!$F$25</f>
        <v>___________________</v>
      </c>
      <c r="G539" s="780"/>
      <c r="M539" s="3" t="str">
        <f>'Obrazac kalkulacije'!$C$25</f>
        <v>__________________</v>
      </c>
      <c r="P539" s="780" t="str">
        <f>'Obrazac kalkulacije'!$F$25</f>
        <v>___________________</v>
      </c>
      <c r="Q539" s="780"/>
    </row>
    <row r="540" spans="1:17" ht="15" customHeight="1">
      <c r="G540" s="25"/>
      <c r="Q540" s="25"/>
    </row>
    <row r="541" spans="1:17" ht="15" customHeight="1"/>
    <row r="542" spans="1:17" ht="15" customHeight="1">
      <c r="A542" s="115"/>
      <c r="B542" s="116" t="s">
        <v>17</v>
      </c>
      <c r="C542" s="117" t="s">
        <v>18</v>
      </c>
      <c r="D542" s="117"/>
      <c r="E542" s="117"/>
      <c r="F542" s="211"/>
      <c r="G542" s="117"/>
      <c r="K542" s="115"/>
      <c r="L542" s="116" t="s">
        <v>17</v>
      </c>
      <c r="M542" s="117" t="s">
        <v>18</v>
      </c>
      <c r="N542" s="117"/>
      <c r="O542" s="117"/>
      <c r="P542" s="211"/>
      <c r="Q542" s="117"/>
    </row>
    <row r="543" spans="1:17" ht="15" customHeight="1">
      <c r="A543" s="31"/>
      <c r="B543" s="32" t="s">
        <v>22</v>
      </c>
      <c r="C543" s="7" t="s">
        <v>23</v>
      </c>
      <c r="D543" s="7"/>
      <c r="E543" s="7"/>
      <c r="F543" s="212"/>
      <c r="G543" s="7"/>
      <c r="K543" s="31"/>
      <c r="L543" s="32" t="s">
        <v>22</v>
      </c>
      <c r="M543" s="7" t="s">
        <v>23</v>
      </c>
      <c r="N543" s="7"/>
      <c r="O543" s="7"/>
      <c r="P543" s="212"/>
      <c r="Q543" s="7"/>
    </row>
    <row r="544" spans="1:17" ht="15" customHeight="1">
      <c r="A544" s="41"/>
      <c r="B544" s="42" t="s">
        <v>35</v>
      </c>
      <c r="C544" s="43" t="s">
        <v>36</v>
      </c>
      <c r="D544" s="43"/>
      <c r="E544" s="43"/>
      <c r="F544" s="209"/>
      <c r="G544" s="43"/>
      <c r="K544" s="41"/>
      <c r="L544" s="42" t="s">
        <v>35</v>
      </c>
      <c r="M544" s="43" t="s">
        <v>36</v>
      </c>
      <c r="N544" s="43"/>
      <c r="O544" s="43"/>
      <c r="P544" s="209"/>
      <c r="Q544" s="43"/>
    </row>
    <row r="545" spans="1:17" ht="150" customHeight="1">
      <c r="A545" s="33"/>
      <c r="B545" s="443" t="s">
        <v>43</v>
      </c>
      <c r="C545" s="792" t="s">
        <v>171</v>
      </c>
      <c r="D545" s="792"/>
      <c r="E545" s="792"/>
      <c r="F545" s="792"/>
      <c r="G545" s="792"/>
      <c r="K545" s="33"/>
      <c r="L545" s="34" t="s">
        <v>43</v>
      </c>
      <c r="M545" s="795" t="s">
        <v>172</v>
      </c>
      <c r="N545" s="795"/>
      <c r="O545" s="795"/>
      <c r="P545" s="795"/>
      <c r="Q545" s="795"/>
    </row>
    <row r="546" spans="1:17" ht="15" customHeight="1" thickBot="1"/>
    <row r="547" spans="1:17" ht="30" customHeight="1" thickTop="1" thickBot="1">
      <c r="A547" s="8"/>
      <c r="B547" s="797" t="str">
        <f>'Obrazac kalkulacije'!$B$6:$C$6</f>
        <v>Opis</v>
      </c>
      <c r="C547" s="797"/>
      <c r="D547" s="8" t="str">
        <f>'Obrazac kalkulacije'!$D$6</f>
        <v>Jed.
mjere</v>
      </c>
      <c r="E547" s="8" t="str">
        <f>'Obrazac kalkulacije'!$E$6</f>
        <v>Normativ</v>
      </c>
      <c r="F547" s="8" t="str">
        <f>'Obrazac kalkulacije'!$F$6</f>
        <v>Jed.
cijena</v>
      </c>
      <c r="G547" s="8" t="str">
        <f>'Obrazac kalkulacije'!$G$6</f>
        <v>Iznos</v>
      </c>
      <c r="K547" s="8"/>
      <c r="L547" s="797" t="e">
        <f>'Obrazac kalkulacije'!$B$6:$C$6</f>
        <v>#VALUE!</v>
      </c>
      <c r="M547" s="797"/>
      <c r="N547" s="8" t="str">
        <f>'Obrazac kalkulacije'!$D$6</f>
        <v>Jed.
mjere</v>
      </c>
      <c r="O547" s="8" t="str">
        <f>'Obrazac kalkulacije'!$E$6</f>
        <v>Normativ</v>
      </c>
      <c r="P547" s="8" t="str">
        <f>'Obrazac kalkulacije'!$F$6</f>
        <v>Jed.
cijena</v>
      </c>
      <c r="Q547" s="8" t="str">
        <f>'Obrazac kalkulacije'!$G$6</f>
        <v>Iznos</v>
      </c>
    </row>
    <row r="548" spans="1:17" ht="4.5" customHeight="1" thickTop="1">
      <c r="B548" s="35"/>
      <c r="C548" s="1"/>
      <c r="D548" s="9"/>
      <c r="E548" s="11"/>
      <c r="F548" s="205"/>
      <c r="G548" s="13"/>
      <c r="L548" s="35"/>
      <c r="M548" s="1"/>
      <c r="N548" s="9"/>
      <c r="O548" s="11"/>
      <c r="P548" s="205"/>
      <c r="Q548" s="13"/>
    </row>
    <row r="549" spans="1:17" ht="25.15" customHeight="1">
      <c r="A549" s="14"/>
      <c r="B549" s="15" t="str">
        <f>'Obrazac kalkulacije'!$B$8</f>
        <v>Radna snaga:</v>
      </c>
      <c r="C549" s="15"/>
      <c r="D549" s="14"/>
      <c r="E549" s="14"/>
      <c r="F549" s="206"/>
      <c r="G549" s="16">
        <f>SUM(G550:G550)</f>
        <v>0</v>
      </c>
      <c r="K549" s="14"/>
      <c r="L549" s="15" t="str">
        <f>'Obrazac kalkulacije'!$B$8</f>
        <v>Radna snaga:</v>
      </c>
      <c r="M549" s="15"/>
      <c r="N549" s="14"/>
      <c r="O549" s="14"/>
      <c r="P549" s="206"/>
      <c r="Q549" s="16">
        <f>SUM(Q550:Q550)</f>
        <v>0</v>
      </c>
    </row>
    <row r="550" spans="1:17" ht="25.15" customHeight="1">
      <c r="A550" s="26"/>
      <c r="B550" s="791" t="s">
        <v>130</v>
      </c>
      <c r="C550" s="791"/>
      <c r="D550" s="27" t="s">
        <v>15</v>
      </c>
      <c r="E550" s="28">
        <v>2.0833333333333332E-2</v>
      </c>
      <c r="F550" s="203">
        <f>SUMIF('Cjenik RS'!$C$11:$C$26,$B550,'Cjenik RS'!$D$11:$D$88)</f>
        <v>0</v>
      </c>
      <c r="G550" s="29">
        <f>+F550*E550</f>
        <v>0</v>
      </c>
      <c r="K550" s="26"/>
      <c r="L550" s="791" t="s">
        <v>130</v>
      </c>
      <c r="M550" s="791"/>
      <c r="N550" s="27" t="s">
        <v>15</v>
      </c>
      <c r="O550" s="28">
        <v>2.0833000000000001E-2</v>
      </c>
      <c r="P550" s="203">
        <f>SUMIF('Cjenik RS'!$C$11:$C$26,$B550,'Cjenik RS'!$D$11:$D$88)</f>
        <v>0</v>
      </c>
      <c r="Q550" s="29">
        <f>+P550*O550</f>
        <v>0</v>
      </c>
    </row>
    <row r="551" spans="1:17" ht="25.15" customHeight="1">
      <c r="A551" s="14"/>
      <c r="B551" s="15" t="str">
        <f>'Obrazac kalkulacije'!$B$11</f>
        <v>Vozila, strojevi i oprema:</v>
      </c>
      <c r="C551" s="15"/>
      <c r="D551" s="14"/>
      <c r="E551" s="14"/>
      <c r="F551" s="203"/>
      <c r="G551" s="16">
        <f>SUM(G552:G562)</f>
        <v>9.4095052083333321</v>
      </c>
      <c r="K551" s="14"/>
      <c r="L551" s="15" t="str">
        <f>'Obrazac kalkulacije'!$B$11</f>
        <v>Vozila, strojevi i oprema:</v>
      </c>
      <c r="M551" s="15"/>
      <c r="N551" s="14"/>
      <c r="O551" s="14"/>
      <c r="P551" s="203"/>
      <c r="Q551" s="16">
        <f>SUM(Q552:Q562)</f>
        <v>9.4135792800000004</v>
      </c>
    </row>
    <row r="552" spans="1:17" ht="25.15" customHeight="1">
      <c r="A552" s="49"/>
      <c r="B552" s="799" t="s">
        <v>144</v>
      </c>
      <c r="C552" s="799"/>
      <c r="D552" s="50" t="s">
        <v>15</v>
      </c>
      <c r="E552" s="83">
        <v>5.2083333333333333E-4</v>
      </c>
      <c r="F552" s="201">
        <f>SUMIF('Cjenik VSO'!$B$9:$B$85,$B552,'Cjenik VSO'!$C$9:$C$85)</f>
        <v>718.97</v>
      </c>
      <c r="G552" s="52">
        <f t="shared" ref="G552:G562" si="12">E552*F552</f>
        <v>0.37446354166666668</v>
      </c>
      <c r="K552" s="49"/>
      <c r="L552" s="800" t="s">
        <v>144</v>
      </c>
      <c r="M552" s="800"/>
      <c r="N552" s="50" t="s">
        <v>15</v>
      </c>
      <c r="O552" s="83">
        <v>5.2099999999999998E-4</v>
      </c>
      <c r="P552" s="201">
        <f>SUMIF('Cjenik VSO'!$B$9:$B$85,$B552,'Cjenik VSO'!$C$9:$C$85)</f>
        <v>718.97</v>
      </c>
      <c r="Q552" s="52">
        <f t="shared" ref="Q552:Q562" si="13">O552*P552</f>
        <v>0.37458337000000003</v>
      </c>
    </row>
    <row r="553" spans="1:17" ht="25.15" customHeight="1">
      <c r="A553" s="49"/>
      <c r="B553" s="799" t="s">
        <v>133</v>
      </c>
      <c r="C553" s="799"/>
      <c r="D553" s="50" t="s">
        <v>15</v>
      </c>
      <c r="E553" s="83">
        <v>1.0416666666666667E-3</v>
      </c>
      <c r="F553" s="201">
        <f>SUMIF('Cjenik VSO'!$B$9:$B$85,$B553,'Cjenik VSO'!$C$9:$C$85)</f>
        <v>328.73</v>
      </c>
      <c r="G553" s="52">
        <f t="shared" si="12"/>
        <v>0.34242708333333333</v>
      </c>
      <c r="K553" s="49"/>
      <c r="L553" s="799" t="s">
        <v>133</v>
      </c>
      <c r="M553" s="799"/>
      <c r="N553" s="50" t="s">
        <v>15</v>
      </c>
      <c r="O553" s="83">
        <v>1.011E-3</v>
      </c>
      <c r="P553" s="201">
        <f>SUMIF('Cjenik VSO'!$B$9:$B$85,$B553,'Cjenik VSO'!$C$9:$C$85)</f>
        <v>328.73</v>
      </c>
      <c r="Q553" s="52">
        <f t="shared" si="13"/>
        <v>0.33234603000000001</v>
      </c>
    </row>
    <row r="554" spans="1:17" ht="25.15" customHeight="1">
      <c r="A554" s="49"/>
      <c r="B554" s="799" t="s">
        <v>134</v>
      </c>
      <c r="C554" s="799"/>
      <c r="D554" s="50" t="s">
        <v>15</v>
      </c>
      <c r="E554" s="83">
        <v>1.0416666666666667E-3</v>
      </c>
      <c r="F554" s="201">
        <f>SUMIF('Cjenik VSO'!$B$9:$B$85,$B554,'Cjenik VSO'!$C$9:$C$85)</f>
        <v>62.67</v>
      </c>
      <c r="G554" s="52">
        <f t="shared" si="12"/>
        <v>6.5281249999999999E-2</v>
      </c>
      <c r="K554" s="49"/>
      <c r="L554" s="799" t="s">
        <v>134</v>
      </c>
      <c r="M554" s="799"/>
      <c r="N554" s="50" t="s">
        <v>15</v>
      </c>
      <c r="O554" s="83">
        <v>1.011E-3</v>
      </c>
      <c r="P554" s="201">
        <f>SUMIF('Cjenik VSO'!$B$9:$B$85,$B554,'Cjenik VSO'!$C$9:$C$85)</f>
        <v>62.67</v>
      </c>
      <c r="Q554" s="52">
        <f t="shared" si="13"/>
        <v>6.3359369999999998E-2</v>
      </c>
    </row>
    <row r="555" spans="1:17" ht="25.15" customHeight="1">
      <c r="A555" s="49"/>
      <c r="B555" s="799" t="s">
        <v>142</v>
      </c>
      <c r="C555" s="799"/>
      <c r="D555" s="50" t="s">
        <v>15</v>
      </c>
      <c r="E555" s="83">
        <v>1.0416666666666667E-3</v>
      </c>
      <c r="F555" s="201">
        <f>SUMIF('Cjenik VSO'!$B$9:$B$85,$B555,'Cjenik VSO'!$C$9:$C$85)</f>
        <v>291.72000000000003</v>
      </c>
      <c r="G555" s="52">
        <f t="shared" si="12"/>
        <v>0.30387500000000001</v>
      </c>
      <c r="K555" s="49"/>
      <c r="L555" s="799" t="s">
        <v>142</v>
      </c>
      <c r="M555" s="799"/>
      <c r="N555" s="50" t="s">
        <v>15</v>
      </c>
      <c r="O555" s="83">
        <v>1.1720000000000001E-3</v>
      </c>
      <c r="P555" s="201">
        <f>SUMIF('Cjenik VSO'!$B$9:$B$85,$B555,'Cjenik VSO'!$C$9:$C$85)</f>
        <v>291.72000000000003</v>
      </c>
      <c r="Q555" s="52">
        <f t="shared" si="13"/>
        <v>0.34189584000000006</v>
      </c>
    </row>
    <row r="556" spans="1:17" ht="25.15" customHeight="1">
      <c r="A556" s="49"/>
      <c r="B556" s="799" t="s">
        <v>143</v>
      </c>
      <c r="C556" s="799"/>
      <c r="D556" s="50" t="s">
        <v>15</v>
      </c>
      <c r="E556" s="83">
        <v>4.6874999999999998E-3</v>
      </c>
      <c r="F556" s="201">
        <f>SUMIF('Cjenik VSO'!$B$9:$B$85,$B556,'Cjenik VSO'!$C$9:$C$85)</f>
        <v>355.64</v>
      </c>
      <c r="G556" s="52">
        <f t="shared" si="12"/>
        <v>1.6670624999999999</v>
      </c>
      <c r="K556" s="49"/>
      <c r="L556" s="799" t="s">
        <v>143</v>
      </c>
      <c r="M556" s="799"/>
      <c r="N556" s="50" t="s">
        <v>15</v>
      </c>
      <c r="O556" s="83">
        <v>4.6880000000000003E-3</v>
      </c>
      <c r="P556" s="201">
        <f>SUMIF('Cjenik VSO'!$B$9:$B$85,$B556,'Cjenik VSO'!$C$9:$C$85)</f>
        <v>355.64</v>
      </c>
      <c r="Q556" s="52">
        <f t="shared" si="13"/>
        <v>1.6672403200000001</v>
      </c>
    </row>
    <row r="557" spans="1:17" ht="25.15" customHeight="1">
      <c r="A557" s="49"/>
      <c r="B557" s="799" t="s">
        <v>165</v>
      </c>
      <c r="C557" s="799"/>
      <c r="D557" s="50" t="s">
        <v>15</v>
      </c>
      <c r="E557" s="83">
        <v>4.1666666666666666E-3</v>
      </c>
      <c r="F557" s="201">
        <f>SUMIF('Cjenik VSO'!$B$9:$B$85,$B557,'Cjenik VSO'!$C$9:$C$85)</f>
        <v>693.43</v>
      </c>
      <c r="G557" s="52">
        <f t="shared" si="12"/>
        <v>2.8892916666666664</v>
      </c>
      <c r="K557" s="49"/>
      <c r="L557" s="799" t="s">
        <v>165</v>
      </c>
      <c r="M557" s="799"/>
      <c r="N557" s="50" t="s">
        <v>15</v>
      </c>
      <c r="O557" s="83">
        <v>4.1669999999999997E-3</v>
      </c>
      <c r="P557" s="201">
        <f>SUMIF('Cjenik VSO'!$B$9:$B$85,$B557,'Cjenik VSO'!$C$9:$C$85)</f>
        <v>693.43</v>
      </c>
      <c r="Q557" s="52">
        <f t="shared" si="13"/>
        <v>2.8895228099999994</v>
      </c>
    </row>
    <row r="558" spans="1:17" ht="25.15" customHeight="1">
      <c r="A558" s="49"/>
      <c r="B558" s="799" t="s">
        <v>156</v>
      </c>
      <c r="C558" s="799"/>
      <c r="D558" s="50" t="s">
        <v>15</v>
      </c>
      <c r="E558" s="83">
        <v>2.0833333333333333E-3</v>
      </c>
      <c r="F558" s="201">
        <f>SUMIF('Cjenik VSO'!$B$9:$B$85,$B558,'Cjenik VSO'!$C$9:$C$85)</f>
        <v>240.85</v>
      </c>
      <c r="G558" s="52">
        <f t="shared" si="12"/>
        <v>0.50177083333333328</v>
      </c>
      <c r="K558" s="49"/>
      <c r="L558" s="799" t="s">
        <v>156</v>
      </c>
      <c r="M558" s="799"/>
      <c r="N558" s="50" t="s">
        <v>15</v>
      </c>
      <c r="O558" s="83">
        <v>2.0830000000000002E-3</v>
      </c>
      <c r="P558" s="201">
        <f>SUMIF('Cjenik VSO'!$B$9:$B$85,$B558,'Cjenik VSO'!$C$9:$C$85)</f>
        <v>240.85</v>
      </c>
      <c r="Q558" s="52">
        <f t="shared" si="13"/>
        <v>0.50169055000000007</v>
      </c>
    </row>
    <row r="559" spans="1:17" ht="25.15" customHeight="1">
      <c r="A559" s="49"/>
      <c r="B559" s="799" t="s">
        <v>148</v>
      </c>
      <c r="C559" s="799"/>
      <c r="D559" s="50" t="s">
        <v>15</v>
      </c>
      <c r="E559" s="83">
        <v>3.6458333333333334E-3</v>
      </c>
      <c r="F559" s="201">
        <f>SUMIF('Cjenik VSO'!$B$9:$B$85,$B559,'Cjenik VSO'!$C$9:$C$85)</f>
        <v>199.57</v>
      </c>
      <c r="G559" s="52">
        <f t="shared" si="12"/>
        <v>0.72759895833333332</v>
      </c>
      <c r="K559" s="49"/>
      <c r="L559" s="799" t="s">
        <v>148</v>
      </c>
      <c r="M559" s="799"/>
      <c r="N559" s="50" t="s">
        <v>15</v>
      </c>
      <c r="O559" s="83">
        <v>2.0830000000000002E-3</v>
      </c>
      <c r="P559" s="201">
        <f>SUMIF('Cjenik VSO'!$B$9:$B$85,$B559,'Cjenik VSO'!$C$9:$C$85)</f>
        <v>199.57</v>
      </c>
      <c r="Q559" s="52">
        <f t="shared" si="13"/>
        <v>0.41570431000000002</v>
      </c>
    </row>
    <row r="560" spans="1:17" ht="25.15" customHeight="1">
      <c r="A560" s="49"/>
      <c r="B560" s="799" t="s">
        <v>157</v>
      </c>
      <c r="C560" s="799"/>
      <c r="D560" s="50" t="s">
        <v>15</v>
      </c>
      <c r="E560" s="83">
        <v>7.2916666666666668E-3</v>
      </c>
      <c r="F560" s="201">
        <f>SUMIF('Cjenik VSO'!$B$9:$B$85,$B560,'Cjenik VSO'!$C$9:$C$85)</f>
        <v>269.36</v>
      </c>
      <c r="G560" s="52">
        <f t="shared" si="12"/>
        <v>1.9640833333333334</v>
      </c>
      <c r="K560" s="49"/>
      <c r="L560" s="799" t="s">
        <v>157</v>
      </c>
      <c r="M560" s="799"/>
      <c r="N560" s="50" t="s">
        <v>15</v>
      </c>
      <c r="O560" s="83">
        <v>8.3330000000000001E-3</v>
      </c>
      <c r="P560" s="201">
        <f>SUMIF('Cjenik VSO'!$B$9:$B$85,$B560,'Cjenik VSO'!$C$9:$C$85)</f>
        <v>269.36</v>
      </c>
      <c r="Q560" s="52">
        <f t="shared" si="13"/>
        <v>2.2445768800000003</v>
      </c>
    </row>
    <row r="561" spans="1:17" ht="25.15" customHeight="1">
      <c r="A561" s="49"/>
      <c r="B561" s="799" t="s">
        <v>149</v>
      </c>
      <c r="C561" s="799"/>
      <c r="D561" s="50" t="s">
        <v>15</v>
      </c>
      <c r="E561" s="83">
        <v>1.0416666666666667E-3</v>
      </c>
      <c r="F561" s="201">
        <f>SUMIF('Cjenik VSO'!$B$9:$B$85,$B561,'Cjenik VSO'!$C$9:$C$85)</f>
        <v>68.709999999999994</v>
      </c>
      <c r="G561" s="52">
        <f t="shared" si="12"/>
        <v>7.1572916666666653E-2</v>
      </c>
      <c r="K561" s="49"/>
      <c r="L561" s="799" t="s">
        <v>149</v>
      </c>
      <c r="M561" s="799"/>
      <c r="N561" s="50" t="s">
        <v>15</v>
      </c>
      <c r="O561" s="83">
        <v>1.1720000000000001E-3</v>
      </c>
      <c r="P561" s="201">
        <f>SUMIF('Cjenik VSO'!$B$9:$B$85,$B561,'Cjenik VSO'!$C$9:$C$85)</f>
        <v>68.709999999999994</v>
      </c>
      <c r="Q561" s="52">
        <f t="shared" si="13"/>
        <v>8.0528119999999995E-2</v>
      </c>
    </row>
    <row r="562" spans="1:17" ht="25.15" customHeight="1">
      <c r="A562" s="54"/>
      <c r="B562" s="804" t="s">
        <v>150</v>
      </c>
      <c r="C562" s="804"/>
      <c r="D562" s="55" t="s">
        <v>15</v>
      </c>
      <c r="E562" s="79">
        <v>4.6874999999999998E-3</v>
      </c>
      <c r="F562" s="202">
        <f>SUMIF('Cjenik VSO'!$B$9:$B$85,$B562,'Cjenik VSO'!$C$9:$C$85)</f>
        <v>107.11</v>
      </c>
      <c r="G562" s="57">
        <f t="shared" si="12"/>
        <v>0.50207812499999993</v>
      </c>
      <c r="K562" s="54"/>
      <c r="L562" s="804" t="s">
        <v>150</v>
      </c>
      <c r="M562" s="804"/>
      <c r="N562" s="55" t="s">
        <v>15</v>
      </c>
      <c r="O562" s="79">
        <v>4.6880000000000003E-3</v>
      </c>
      <c r="P562" s="202">
        <f>SUMIF('Cjenik VSO'!$B$9:$B$85,$B562,'Cjenik VSO'!$C$9:$C$85)</f>
        <v>107.11</v>
      </c>
      <c r="Q562" s="57">
        <f t="shared" si="13"/>
        <v>0.50213168000000008</v>
      </c>
    </row>
    <row r="563" spans="1:17" ht="25.15" customHeight="1">
      <c r="A563" s="14"/>
      <c r="B563" s="802" t="str">
        <f>'Obrazac kalkulacije'!$B$15</f>
        <v>Materijali:</v>
      </c>
      <c r="C563" s="802"/>
      <c r="D563" s="14"/>
      <c r="E563" s="14"/>
      <c r="F563" s="203"/>
      <c r="G563" s="16">
        <f>SUM(G564:G565)</f>
        <v>1.4915</v>
      </c>
      <c r="K563" s="14"/>
      <c r="L563" s="802" t="str">
        <f>'Obrazac kalkulacije'!$B$15</f>
        <v>Materijali:</v>
      </c>
      <c r="M563" s="802"/>
      <c r="N563" s="14"/>
      <c r="O563" s="14"/>
      <c r="P563" s="203"/>
      <c r="Q563" s="16">
        <f>SUM(Q564:Q565)</f>
        <v>1.4915</v>
      </c>
    </row>
    <row r="564" spans="1:17" ht="25.15" customHeight="1">
      <c r="A564" s="70"/>
      <c r="B564" s="803" t="str">
        <f>'Cjenik M'!$B$20</f>
        <v>PVC cijev 40x250</v>
      </c>
      <c r="C564" s="803"/>
      <c r="D564" s="71" t="str">
        <f>'Cjenik M'!$C$20</f>
        <v>m</v>
      </c>
      <c r="E564" s="72">
        <v>0.125</v>
      </c>
      <c r="F564" s="213">
        <f>'Cjenik M'!$D$20</f>
        <v>3.74</v>
      </c>
      <c r="G564" s="73">
        <f>+F564*E564</f>
        <v>0.46750000000000003</v>
      </c>
      <c r="K564" s="70"/>
      <c r="L564" s="814" t="str">
        <f>'Cjenik M'!$B$20</f>
        <v>PVC cijev 40x250</v>
      </c>
      <c r="M564" s="814"/>
      <c r="N564" s="71" t="str">
        <f>'Cjenik M'!$C$20</f>
        <v>m</v>
      </c>
      <c r="O564" s="72">
        <v>0.125</v>
      </c>
      <c r="P564" s="213">
        <f>'Cjenik M'!$D$20</f>
        <v>3.74</v>
      </c>
      <c r="Q564" s="73">
        <f>+P564*O564</f>
        <v>0.46750000000000003</v>
      </c>
    </row>
    <row r="565" spans="1:17" ht="25.15" customHeight="1" thickBot="1">
      <c r="A565" s="67"/>
      <c r="B565" s="801" t="str">
        <f>'Cjenik M'!$B$21</f>
        <v>PVC koljeno 40x90</v>
      </c>
      <c r="C565" s="801"/>
      <c r="D565" s="60" t="str">
        <f>'Cjenik M'!$C$21</f>
        <v>kom.</v>
      </c>
      <c r="E565" s="74">
        <v>0.4</v>
      </c>
      <c r="F565" s="208">
        <f>'Cjenik M'!$D$21</f>
        <v>2.56</v>
      </c>
      <c r="G565" s="63">
        <f>+F565*E565</f>
        <v>1.024</v>
      </c>
      <c r="K565" s="67"/>
      <c r="L565" s="801" t="str">
        <f>'Cjenik M'!$B$21</f>
        <v>PVC koljeno 40x90</v>
      </c>
      <c r="M565" s="801"/>
      <c r="N565" s="60" t="str">
        <f>'Cjenik M'!$C$21</f>
        <v>kom.</v>
      </c>
      <c r="O565" s="74">
        <v>0.4</v>
      </c>
      <c r="P565" s="208">
        <f>'Cjenik M'!$D$21</f>
        <v>2.56</v>
      </c>
      <c r="Q565" s="63">
        <f>+P565*O565</f>
        <v>1.024</v>
      </c>
    </row>
    <row r="566" spans="1:17" ht="25.15" customHeight="1" thickTop="1" thickBot="1">
      <c r="B566" s="40"/>
      <c r="C566" s="20"/>
      <c r="D566" s="21"/>
      <c r="E566" s="118" t="str">
        <f>'Obrazac kalkulacije'!$E$18</f>
        <v>Ukupno (kn):</v>
      </c>
      <c r="F566" s="214"/>
      <c r="G566" s="22">
        <f>ROUND(SUM(G549+G551+G563),2)</f>
        <v>10.9</v>
      </c>
      <c r="H566" s="217"/>
      <c r="I566" s="602"/>
      <c r="J566" s="602"/>
      <c r="L566" s="40"/>
      <c r="M566" s="20"/>
      <c r="N566" s="21"/>
      <c r="O566" s="118" t="str">
        <f>'Obrazac kalkulacije'!$E$18</f>
        <v>Ukupno (kn):</v>
      </c>
      <c r="P566" s="214"/>
      <c r="Q566" s="22">
        <f>ROUND(SUM(Q549+Q551+Q563),2)</f>
        <v>10.91</v>
      </c>
    </row>
    <row r="567" spans="1:17" ht="25.15" customHeight="1" thickTop="1" thickBot="1">
      <c r="E567" s="23" t="str">
        <f>'Obrazac kalkulacije'!$E$19</f>
        <v>PDV:</v>
      </c>
      <c r="F567" s="207">
        <f>'Obrazac kalkulacije'!$F$19</f>
        <v>0.25</v>
      </c>
      <c r="G567" s="24">
        <f>G566*F567</f>
        <v>2.7250000000000001</v>
      </c>
      <c r="H567" s="446"/>
      <c r="I567" s="446"/>
      <c r="J567" s="446"/>
      <c r="O567" s="23" t="str">
        <f>'Obrazac kalkulacije'!$E$19</f>
        <v>PDV:</v>
      </c>
      <c r="P567" s="207">
        <f>'Obrazac kalkulacije'!$F$19</f>
        <v>0.25</v>
      </c>
      <c r="Q567" s="24">
        <f>Q566*P567</f>
        <v>2.7275</v>
      </c>
    </row>
    <row r="568" spans="1:17" ht="25.15" customHeight="1" thickTop="1" thickBot="1">
      <c r="E568" s="119" t="str">
        <f>'Obrazac kalkulacije'!$E$20</f>
        <v>Sveukupno (kn):</v>
      </c>
      <c r="F568" s="215"/>
      <c r="G568" s="24">
        <f>ROUND(SUM(G566:G567),2)</f>
        <v>13.63</v>
      </c>
      <c r="H568" s="447"/>
      <c r="I568" s="447"/>
      <c r="J568" s="447"/>
      <c r="O568" s="119" t="str">
        <f>'Obrazac kalkulacije'!$E$20</f>
        <v>Sveukupno (kn):</v>
      </c>
      <c r="P568" s="215"/>
      <c r="Q568" s="24">
        <f>ROUND(SUM(Q566:Q567),2)</f>
        <v>13.64</v>
      </c>
    </row>
    <row r="569" spans="1:17" ht="15" customHeight="1" thickTop="1"/>
    <row r="570" spans="1:17" ht="15" customHeight="1"/>
    <row r="571" spans="1:17" ht="15" customHeight="1"/>
    <row r="572" spans="1:17" ht="15" customHeight="1">
      <c r="C572" s="3" t="str">
        <f>'Obrazac kalkulacije'!$C$24</f>
        <v>IZVODITELJ:</v>
      </c>
      <c r="F572" s="780" t="str">
        <f>'Obrazac kalkulacije'!$F$24</f>
        <v>NARUČITELJ:</v>
      </c>
      <c r="G572" s="780"/>
      <c r="M572" s="3" t="str">
        <f>'Obrazac kalkulacije'!$C$24</f>
        <v>IZVODITELJ:</v>
      </c>
      <c r="P572" s="780" t="str">
        <f>'Obrazac kalkulacije'!$F$24</f>
        <v>NARUČITELJ:</v>
      </c>
      <c r="Q572" s="780"/>
    </row>
    <row r="573" spans="1:17" ht="25.15" customHeight="1">
      <c r="C573" s="3" t="str">
        <f>'Obrazac kalkulacije'!$C$25</f>
        <v>__________________</v>
      </c>
      <c r="F573" s="780" t="str">
        <f>'Obrazac kalkulacije'!$F$25</f>
        <v>___________________</v>
      </c>
      <c r="G573" s="780"/>
      <c r="M573" s="3" t="str">
        <f>'Obrazac kalkulacije'!$C$25</f>
        <v>__________________</v>
      </c>
      <c r="P573" s="780" t="str">
        <f>'Obrazac kalkulacije'!$F$25</f>
        <v>___________________</v>
      </c>
      <c r="Q573" s="780"/>
    </row>
    <row r="574" spans="1:17" ht="15" customHeight="1">
      <c r="G574" s="25"/>
      <c r="Q574" s="25"/>
    </row>
    <row r="575" spans="1:17" ht="15" customHeight="1"/>
    <row r="576" spans="1:17" ht="15" customHeight="1">
      <c r="A576" s="115"/>
      <c r="B576" s="116" t="s">
        <v>17</v>
      </c>
      <c r="C576" s="117" t="s">
        <v>18</v>
      </c>
      <c r="D576" s="117"/>
      <c r="E576" s="117"/>
      <c r="F576" s="211"/>
      <c r="G576" s="117"/>
      <c r="K576" s="115"/>
      <c r="L576" s="116" t="s">
        <v>17</v>
      </c>
      <c r="M576" s="117" t="s">
        <v>18</v>
      </c>
      <c r="N576" s="117"/>
      <c r="O576" s="117"/>
      <c r="P576" s="211"/>
      <c r="Q576" s="117"/>
    </row>
    <row r="577" spans="1:17" ht="15" customHeight="1">
      <c r="A577" s="31"/>
      <c r="B577" s="32" t="s">
        <v>22</v>
      </c>
      <c r="C577" s="7" t="s">
        <v>23</v>
      </c>
      <c r="D577" s="7"/>
      <c r="E577" s="7"/>
      <c r="F577" s="212"/>
      <c r="G577" s="7"/>
      <c r="K577" s="31"/>
      <c r="L577" s="32" t="s">
        <v>22</v>
      </c>
      <c r="M577" s="7" t="s">
        <v>23</v>
      </c>
      <c r="N577" s="7"/>
      <c r="O577" s="7"/>
      <c r="P577" s="212"/>
      <c r="Q577" s="7"/>
    </row>
    <row r="578" spans="1:17" ht="15" customHeight="1">
      <c r="A578" s="41"/>
      <c r="B578" s="42" t="s">
        <v>35</v>
      </c>
      <c r="C578" s="43" t="s">
        <v>36</v>
      </c>
      <c r="D578" s="43"/>
      <c r="E578" s="43"/>
      <c r="F578" s="209"/>
      <c r="G578" s="43"/>
      <c r="K578" s="41"/>
      <c r="L578" s="42" t="s">
        <v>35</v>
      </c>
      <c r="M578" s="43" t="s">
        <v>36</v>
      </c>
      <c r="N578" s="43"/>
      <c r="O578" s="43"/>
      <c r="P578" s="209"/>
      <c r="Q578" s="43"/>
    </row>
    <row r="579" spans="1:17" ht="150" customHeight="1">
      <c r="A579" s="33"/>
      <c r="B579" s="443" t="s">
        <v>44</v>
      </c>
      <c r="C579" s="792" t="s">
        <v>173</v>
      </c>
      <c r="D579" s="792"/>
      <c r="E579" s="792"/>
      <c r="F579" s="792"/>
      <c r="G579" s="792"/>
      <c r="K579" s="33"/>
      <c r="L579" s="34" t="s">
        <v>44</v>
      </c>
      <c r="M579" s="795" t="s">
        <v>174</v>
      </c>
      <c r="N579" s="795"/>
      <c r="O579" s="795"/>
      <c r="P579" s="795"/>
      <c r="Q579" s="795"/>
    </row>
    <row r="580" spans="1:17" ht="15" customHeight="1" thickBot="1"/>
    <row r="581" spans="1:17" ht="30" customHeight="1" thickTop="1" thickBot="1">
      <c r="A581" s="8"/>
      <c r="B581" s="797" t="str">
        <f>'Obrazac kalkulacije'!$B$6:$C$6</f>
        <v>Opis</v>
      </c>
      <c r="C581" s="797"/>
      <c r="D581" s="8" t="str">
        <f>'Obrazac kalkulacije'!$D$6</f>
        <v>Jed.
mjere</v>
      </c>
      <c r="E581" s="8" t="str">
        <f>'Obrazac kalkulacije'!$E$6</f>
        <v>Normativ</v>
      </c>
      <c r="F581" s="8" t="str">
        <f>'Obrazac kalkulacije'!$F$6</f>
        <v>Jed.
cijena</v>
      </c>
      <c r="G581" s="8" t="str">
        <f>'Obrazac kalkulacije'!$G$6</f>
        <v>Iznos</v>
      </c>
      <c r="H581" s="3">
        <v>3000</v>
      </c>
      <c r="K581" s="8"/>
      <c r="L581" s="797" t="e">
        <f>'Obrazac kalkulacije'!$B$6:$C$6</f>
        <v>#VALUE!</v>
      </c>
      <c r="M581" s="797"/>
      <c r="N581" s="8" t="str">
        <f>'Obrazac kalkulacije'!$D$6</f>
        <v>Jed.
mjere</v>
      </c>
      <c r="O581" s="8" t="str">
        <f>'Obrazac kalkulacije'!$E$6</f>
        <v>Normativ</v>
      </c>
      <c r="P581" s="8" t="str">
        <f>'Obrazac kalkulacije'!$F$6</f>
        <v>Jed.
cijena</v>
      </c>
      <c r="Q581" s="8" t="str">
        <f>'Obrazac kalkulacije'!$G$6</f>
        <v>Iznos</v>
      </c>
    </row>
    <row r="582" spans="1:17" ht="4.5" customHeight="1" thickTop="1">
      <c r="B582" s="35"/>
      <c r="C582" s="1"/>
      <c r="D582" s="9"/>
      <c r="E582" s="11"/>
      <c r="F582" s="205"/>
      <c r="G582" s="13"/>
      <c r="L582" s="35"/>
      <c r="M582" s="1"/>
      <c r="N582" s="9"/>
      <c r="O582" s="11"/>
      <c r="P582" s="205"/>
      <c r="Q582" s="13"/>
    </row>
    <row r="583" spans="1:17" ht="25.15" customHeight="1">
      <c r="A583" s="14"/>
      <c r="B583" s="15" t="str">
        <f>'Obrazac kalkulacije'!$B$8</f>
        <v>Radna snaga:</v>
      </c>
      <c r="C583" s="15"/>
      <c r="D583" s="14"/>
      <c r="E583" s="14"/>
      <c r="F583" s="206"/>
      <c r="G583" s="16">
        <f>SUM(G584:G584)</f>
        <v>0</v>
      </c>
      <c r="K583" s="14"/>
      <c r="L583" s="15" t="str">
        <f>'Obrazac kalkulacije'!$B$8</f>
        <v>Radna snaga:</v>
      </c>
      <c r="M583" s="15"/>
      <c r="N583" s="14"/>
      <c r="O583" s="14"/>
      <c r="P583" s="206"/>
      <c r="Q583" s="16">
        <f>SUM(Q584:Q584)</f>
        <v>0</v>
      </c>
    </row>
    <row r="584" spans="1:17" ht="25.15" customHeight="1">
      <c r="A584" s="26"/>
      <c r="B584" s="791" t="s">
        <v>130</v>
      </c>
      <c r="C584" s="791"/>
      <c r="D584" s="27" t="s">
        <v>15</v>
      </c>
      <c r="E584" s="28">
        <f>H584/H$581</f>
        <v>1.3333333333333334E-2</v>
      </c>
      <c r="F584" s="203">
        <f>SUMIF('Cjenik RS'!$C$11:$C$26,$B584,'Cjenik RS'!$D$11:$D$88)</f>
        <v>0</v>
      </c>
      <c r="G584" s="29">
        <f>+F584*E584</f>
        <v>0</v>
      </c>
      <c r="H584" s="445">
        <v>40</v>
      </c>
      <c r="I584" s="445"/>
      <c r="J584" s="445"/>
      <c r="K584" s="26"/>
      <c r="L584" s="791" t="s">
        <v>130</v>
      </c>
      <c r="M584" s="791"/>
      <c r="N584" s="27" t="s">
        <v>15</v>
      </c>
      <c r="O584" s="28">
        <v>1.2500000000000001E-2</v>
      </c>
      <c r="P584" s="203">
        <f>SUMIF('Cjenik RS'!$C$11:$C$26,$B584,'Cjenik RS'!$D$11:$D$88)</f>
        <v>0</v>
      </c>
      <c r="Q584" s="29">
        <f>+P584*O584</f>
        <v>0</v>
      </c>
    </row>
    <row r="585" spans="1:17" ht="25.15" customHeight="1">
      <c r="A585" s="14"/>
      <c r="B585" s="15" t="str">
        <f>'Obrazac kalkulacije'!$B$11</f>
        <v>Vozila, strojevi i oprema:</v>
      </c>
      <c r="C585" s="15"/>
      <c r="D585" s="14"/>
      <c r="E585" s="14"/>
      <c r="F585" s="203"/>
      <c r="G585" s="16">
        <f>SUM(G586:G596)</f>
        <v>6.0220833333333337</v>
      </c>
      <c r="K585" s="14"/>
      <c r="L585" s="15" t="str">
        <f>'Obrazac kalkulacije'!$B$11</f>
        <v>Vozila, strojevi i oprema:</v>
      </c>
      <c r="M585" s="15"/>
      <c r="N585" s="14"/>
      <c r="O585" s="14"/>
      <c r="P585" s="203"/>
      <c r="Q585" s="16">
        <f>SUM(Q586:Q596)</f>
        <v>5.6642714499999993</v>
      </c>
    </row>
    <row r="586" spans="1:17" ht="25.15" customHeight="1">
      <c r="A586" s="49"/>
      <c r="B586" s="799" t="s">
        <v>144</v>
      </c>
      <c r="C586" s="799"/>
      <c r="D586" s="50" t="s">
        <v>15</v>
      </c>
      <c r="E586" s="28">
        <f t="shared" ref="E586:E596" si="14">H586/H$581</f>
        <v>3.3333333333333332E-4</v>
      </c>
      <c r="F586" s="201">
        <f>SUMIF('Cjenik VSO'!$B$9:$B$85,$B586,'Cjenik VSO'!$C$9:$C$85)</f>
        <v>718.97</v>
      </c>
      <c r="G586" s="52">
        <f t="shared" ref="G586:G596" si="15">E586*F586</f>
        <v>0.23965666666666666</v>
      </c>
      <c r="H586" s="445">
        <v>1</v>
      </c>
      <c r="I586" s="445"/>
      <c r="J586" s="445"/>
      <c r="K586" s="49"/>
      <c r="L586" s="800" t="s">
        <v>144</v>
      </c>
      <c r="M586" s="800"/>
      <c r="N586" s="50" t="s">
        <v>15</v>
      </c>
      <c r="O586" s="83">
        <v>3.1300000000000002E-4</v>
      </c>
      <c r="P586" s="201">
        <f>SUMIF('Cjenik VSO'!$B$9:$B$85,$B586,'Cjenik VSO'!$C$9:$C$85)</f>
        <v>718.97</v>
      </c>
      <c r="Q586" s="52">
        <f t="shared" ref="Q586:Q596" si="16">O586*P586</f>
        <v>0.22503761000000003</v>
      </c>
    </row>
    <row r="587" spans="1:17" ht="25.15" customHeight="1">
      <c r="A587" s="49"/>
      <c r="B587" s="799" t="s">
        <v>133</v>
      </c>
      <c r="C587" s="799"/>
      <c r="D587" s="50" t="s">
        <v>15</v>
      </c>
      <c r="E587" s="28">
        <f t="shared" si="14"/>
        <v>6.6666666666666664E-4</v>
      </c>
      <c r="F587" s="201">
        <f>SUMIF('Cjenik VSO'!$B$9:$B$85,$B587,'Cjenik VSO'!$C$9:$C$85)</f>
        <v>328.73</v>
      </c>
      <c r="G587" s="52">
        <f t="shared" si="15"/>
        <v>0.21915333333333334</v>
      </c>
      <c r="H587" s="445">
        <v>2</v>
      </c>
      <c r="I587" s="445"/>
      <c r="J587" s="445"/>
      <c r="K587" s="49"/>
      <c r="L587" s="799" t="s">
        <v>133</v>
      </c>
      <c r="M587" s="799"/>
      <c r="N587" s="50" t="s">
        <v>15</v>
      </c>
      <c r="O587" s="83">
        <v>6.4700000000000001E-4</v>
      </c>
      <c r="P587" s="201">
        <f>SUMIF('Cjenik VSO'!$B$9:$B$85,$B587,'Cjenik VSO'!$C$9:$C$85)</f>
        <v>328.73</v>
      </c>
      <c r="Q587" s="52">
        <f t="shared" si="16"/>
        <v>0.21268831000000002</v>
      </c>
    </row>
    <row r="588" spans="1:17" ht="25.15" customHeight="1">
      <c r="A588" s="49"/>
      <c r="B588" s="799" t="s">
        <v>134</v>
      </c>
      <c r="C588" s="799"/>
      <c r="D588" s="50" t="s">
        <v>15</v>
      </c>
      <c r="E588" s="28">
        <f t="shared" si="14"/>
        <v>6.6666666666666664E-4</v>
      </c>
      <c r="F588" s="201">
        <f>SUMIF('Cjenik VSO'!$B$9:$B$85,$B588,'Cjenik VSO'!$C$9:$C$85)</f>
        <v>62.67</v>
      </c>
      <c r="G588" s="52">
        <f t="shared" si="15"/>
        <v>4.1779999999999998E-2</v>
      </c>
      <c r="H588" s="445">
        <v>2</v>
      </c>
      <c r="I588" s="445"/>
      <c r="J588" s="445"/>
      <c r="K588" s="49"/>
      <c r="L588" s="799" t="s">
        <v>134</v>
      </c>
      <c r="M588" s="799"/>
      <c r="N588" s="50" t="s">
        <v>15</v>
      </c>
      <c r="O588" s="83">
        <v>6.4700000000000001E-4</v>
      </c>
      <c r="P588" s="201">
        <f>SUMIF('Cjenik VSO'!$B$9:$B$85,$B588,'Cjenik VSO'!$C$9:$C$85)</f>
        <v>62.67</v>
      </c>
      <c r="Q588" s="52">
        <f t="shared" si="16"/>
        <v>4.0547489999999999E-2</v>
      </c>
    </row>
    <row r="589" spans="1:17" ht="25.15" customHeight="1">
      <c r="A589" s="49"/>
      <c r="B589" s="799" t="s">
        <v>142</v>
      </c>
      <c r="C589" s="799"/>
      <c r="D589" s="50" t="s">
        <v>15</v>
      </c>
      <c r="E589" s="28">
        <f t="shared" si="14"/>
        <v>6.6666666666666664E-4</v>
      </c>
      <c r="F589" s="201">
        <f>SUMIF('Cjenik VSO'!$B$9:$B$85,$B589,'Cjenik VSO'!$C$9:$C$85)</f>
        <v>291.72000000000003</v>
      </c>
      <c r="G589" s="52">
        <f t="shared" si="15"/>
        <v>0.19448000000000001</v>
      </c>
      <c r="H589" s="445">
        <v>2</v>
      </c>
      <c r="I589" s="445"/>
      <c r="J589" s="445"/>
      <c r="K589" s="49"/>
      <c r="L589" s="799" t="s">
        <v>142</v>
      </c>
      <c r="M589" s="799"/>
      <c r="N589" s="50" t="s">
        <v>15</v>
      </c>
      <c r="O589" s="83">
        <v>7.0299999999999996E-4</v>
      </c>
      <c r="P589" s="201">
        <f>SUMIF('Cjenik VSO'!$B$9:$B$85,$B589,'Cjenik VSO'!$C$9:$C$85)</f>
        <v>291.72000000000003</v>
      </c>
      <c r="Q589" s="52">
        <f t="shared" si="16"/>
        <v>0.20507916000000001</v>
      </c>
    </row>
    <row r="590" spans="1:17" ht="25.15" customHeight="1">
      <c r="A590" s="49"/>
      <c r="B590" s="799" t="s">
        <v>143</v>
      </c>
      <c r="C590" s="799"/>
      <c r="D590" s="50" t="s">
        <v>15</v>
      </c>
      <c r="E590" s="28">
        <f t="shared" si="14"/>
        <v>3.0000000000000001E-3</v>
      </c>
      <c r="F590" s="201">
        <f>SUMIF('Cjenik VSO'!$B$9:$B$85,$B590,'Cjenik VSO'!$C$9:$C$85)</f>
        <v>355.64</v>
      </c>
      <c r="G590" s="52">
        <f t="shared" si="15"/>
        <v>1.0669200000000001</v>
      </c>
      <c r="H590" s="445">
        <v>9</v>
      </c>
      <c r="I590" s="445"/>
      <c r="J590" s="445"/>
      <c r="K590" s="49"/>
      <c r="L590" s="799" t="s">
        <v>143</v>
      </c>
      <c r="M590" s="799"/>
      <c r="N590" s="50" t="s">
        <v>15</v>
      </c>
      <c r="O590" s="83">
        <v>2.813E-3</v>
      </c>
      <c r="P590" s="201">
        <f>SUMIF('Cjenik VSO'!$B$9:$B$85,$B590,'Cjenik VSO'!$C$9:$C$85)</f>
        <v>355.64</v>
      </c>
      <c r="Q590" s="52">
        <f t="shared" si="16"/>
        <v>1.0004153199999999</v>
      </c>
    </row>
    <row r="591" spans="1:17" ht="25.15" customHeight="1">
      <c r="A591" s="49"/>
      <c r="B591" s="799" t="s">
        <v>165</v>
      </c>
      <c r="C591" s="799"/>
      <c r="D591" s="50" t="s">
        <v>15</v>
      </c>
      <c r="E591" s="28">
        <f t="shared" si="14"/>
        <v>2.6666666666666666E-3</v>
      </c>
      <c r="F591" s="201">
        <f>SUMIF('Cjenik VSO'!$B$9:$B$85,$B591,'Cjenik VSO'!$C$9:$C$85)</f>
        <v>693.43</v>
      </c>
      <c r="G591" s="52">
        <f t="shared" si="15"/>
        <v>1.8491466666666665</v>
      </c>
      <c r="H591" s="445">
        <v>8</v>
      </c>
      <c r="I591" s="445"/>
      <c r="J591" s="445"/>
      <c r="K591" s="49"/>
      <c r="L591" s="799" t="s">
        <v>165</v>
      </c>
      <c r="M591" s="799"/>
      <c r="N591" s="50" t="s">
        <v>15</v>
      </c>
      <c r="O591" s="83">
        <v>2.5000000000000001E-3</v>
      </c>
      <c r="P591" s="201">
        <f>SUMIF('Cjenik VSO'!$B$9:$B$85,$B591,'Cjenik VSO'!$C$9:$C$85)</f>
        <v>693.43</v>
      </c>
      <c r="Q591" s="52">
        <f t="shared" si="16"/>
        <v>1.7335749999999999</v>
      </c>
    </row>
    <row r="592" spans="1:17" ht="25.15" customHeight="1">
      <c r="A592" s="49"/>
      <c r="B592" s="799" t="s">
        <v>156</v>
      </c>
      <c r="C592" s="799"/>
      <c r="D592" s="50" t="s">
        <v>15</v>
      </c>
      <c r="E592" s="28">
        <f t="shared" si="14"/>
        <v>1.3333333333333333E-3</v>
      </c>
      <c r="F592" s="201">
        <f>SUMIF('Cjenik VSO'!$B$9:$B$85,$B592,'Cjenik VSO'!$C$9:$C$85)</f>
        <v>240.85</v>
      </c>
      <c r="G592" s="52">
        <f t="shared" si="15"/>
        <v>0.32113333333333333</v>
      </c>
      <c r="H592" s="445">
        <v>4</v>
      </c>
      <c r="I592" s="445"/>
      <c r="J592" s="445"/>
      <c r="K592" s="49"/>
      <c r="L592" s="799" t="s">
        <v>156</v>
      </c>
      <c r="M592" s="799"/>
      <c r="N592" s="50" t="s">
        <v>15</v>
      </c>
      <c r="O592" s="83">
        <v>1.25E-3</v>
      </c>
      <c r="P592" s="201">
        <f>SUMIF('Cjenik VSO'!$B$9:$B$85,$B592,'Cjenik VSO'!$C$9:$C$85)</f>
        <v>240.85</v>
      </c>
      <c r="Q592" s="52">
        <f t="shared" si="16"/>
        <v>0.30106250000000001</v>
      </c>
    </row>
    <row r="593" spans="1:17" ht="25.15" customHeight="1">
      <c r="A593" s="49"/>
      <c r="B593" s="799" t="s">
        <v>148</v>
      </c>
      <c r="C593" s="799"/>
      <c r="D593" s="50" t="s">
        <v>15</v>
      </c>
      <c r="E593" s="28">
        <f t="shared" si="14"/>
        <v>2.3333333333333335E-3</v>
      </c>
      <c r="F593" s="201">
        <f>SUMIF('Cjenik VSO'!$B$9:$B$85,$B593,'Cjenik VSO'!$C$9:$C$85)</f>
        <v>199.57</v>
      </c>
      <c r="G593" s="52">
        <f t="shared" si="15"/>
        <v>0.46566333333333337</v>
      </c>
      <c r="H593" s="445">
        <v>7</v>
      </c>
      <c r="I593" s="445"/>
      <c r="J593" s="445"/>
      <c r="K593" s="49"/>
      <c r="L593" s="799" t="s">
        <v>148</v>
      </c>
      <c r="M593" s="799"/>
      <c r="N593" s="50" t="s">
        <v>15</v>
      </c>
      <c r="O593" s="83">
        <v>1.25E-3</v>
      </c>
      <c r="P593" s="201">
        <f>SUMIF('Cjenik VSO'!$B$9:$B$85,$B593,'Cjenik VSO'!$C$9:$C$85)</f>
        <v>199.57</v>
      </c>
      <c r="Q593" s="52">
        <f t="shared" si="16"/>
        <v>0.2494625</v>
      </c>
    </row>
    <row r="594" spans="1:17" ht="25.15" customHeight="1">
      <c r="A594" s="49"/>
      <c r="B594" s="799" t="s">
        <v>157</v>
      </c>
      <c r="C594" s="799"/>
      <c r="D594" s="50" t="s">
        <v>15</v>
      </c>
      <c r="E594" s="28">
        <f t="shared" si="14"/>
        <v>4.6666666666666671E-3</v>
      </c>
      <c r="F594" s="201">
        <f>SUMIF('Cjenik VSO'!$B$9:$B$85,$B594,'Cjenik VSO'!$C$9:$C$85)</f>
        <v>269.36</v>
      </c>
      <c r="G594" s="52">
        <f t="shared" si="15"/>
        <v>1.2570133333333335</v>
      </c>
      <c r="H594" s="445">
        <v>14</v>
      </c>
      <c r="I594" s="445"/>
      <c r="J594" s="445"/>
      <c r="K594" s="49"/>
      <c r="L594" s="799" t="s">
        <v>157</v>
      </c>
      <c r="M594" s="799"/>
      <c r="N594" s="50" t="s">
        <v>15</v>
      </c>
      <c r="O594" s="83">
        <v>5.0000000000000001E-3</v>
      </c>
      <c r="P594" s="201">
        <f>SUMIF('Cjenik VSO'!$B$9:$B$85,$B594,'Cjenik VSO'!$C$9:$C$85)</f>
        <v>269.36</v>
      </c>
      <c r="Q594" s="52">
        <f t="shared" si="16"/>
        <v>1.3468</v>
      </c>
    </row>
    <row r="595" spans="1:17" ht="25.15" customHeight="1">
      <c r="A595" s="49"/>
      <c r="B595" s="799" t="s">
        <v>149</v>
      </c>
      <c r="C595" s="799"/>
      <c r="D595" s="50" t="s">
        <v>15</v>
      </c>
      <c r="E595" s="28">
        <f t="shared" si="14"/>
        <v>6.6666666666666664E-4</v>
      </c>
      <c r="F595" s="201">
        <f>SUMIF('Cjenik VSO'!$B$9:$B$85,$B595,'Cjenik VSO'!$C$9:$C$85)</f>
        <v>68.709999999999994</v>
      </c>
      <c r="G595" s="52">
        <f t="shared" si="15"/>
        <v>4.5806666666666662E-2</v>
      </c>
      <c r="H595" s="445">
        <v>2</v>
      </c>
      <c r="I595" s="445"/>
      <c r="J595" s="445"/>
      <c r="K595" s="49"/>
      <c r="L595" s="799" t="s">
        <v>149</v>
      </c>
      <c r="M595" s="799"/>
      <c r="N595" s="50" t="s">
        <v>15</v>
      </c>
      <c r="O595" s="83">
        <v>7.0299999999999996E-4</v>
      </c>
      <c r="P595" s="201">
        <f>SUMIF('Cjenik VSO'!$B$9:$B$85,$B595,'Cjenik VSO'!$C$9:$C$85)</f>
        <v>68.709999999999994</v>
      </c>
      <c r="Q595" s="52">
        <f t="shared" si="16"/>
        <v>4.8303129999999993E-2</v>
      </c>
    </row>
    <row r="596" spans="1:17" ht="25.15" customHeight="1">
      <c r="A596" s="54"/>
      <c r="B596" s="804" t="s">
        <v>150</v>
      </c>
      <c r="C596" s="804"/>
      <c r="D596" s="55" t="s">
        <v>15</v>
      </c>
      <c r="E596" s="28">
        <f t="shared" si="14"/>
        <v>3.0000000000000001E-3</v>
      </c>
      <c r="F596" s="202">
        <f>SUMIF('Cjenik VSO'!$B$9:$B$85,$B596,'Cjenik VSO'!$C$9:$C$85)</f>
        <v>107.11</v>
      </c>
      <c r="G596" s="57">
        <f t="shared" si="15"/>
        <v>0.32133</v>
      </c>
      <c r="H596" s="445">
        <v>9</v>
      </c>
      <c r="I596" s="445"/>
      <c r="J596" s="445"/>
      <c r="K596" s="54"/>
      <c r="L596" s="804" t="s">
        <v>150</v>
      </c>
      <c r="M596" s="804"/>
      <c r="N596" s="55" t="s">
        <v>15</v>
      </c>
      <c r="O596" s="79">
        <v>2.813E-3</v>
      </c>
      <c r="P596" s="202">
        <f>SUMIF('Cjenik VSO'!$B$9:$B$85,$B596,'Cjenik VSO'!$C$9:$C$85)</f>
        <v>107.11</v>
      </c>
      <c r="Q596" s="57">
        <f t="shared" si="16"/>
        <v>0.30130043000000001</v>
      </c>
    </row>
    <row r="597" spans="1:17" ht="25.15" customHeight="1">
      <c r="A597" s="14"/>
      <c r="B597" s="802" t="str">
        <f>'Obrazac kalkulacije'!$B$15</f>
        <v>Materijali:</v>
      </c>
      <c r="C597" s="802"/>
      <c r="D597" s="14"/>
      <c r="E597" s="14"/>
      <c r="F597" s="203"/>
      <c r="G597" s="16">
        <f>SUM(G598:G599)</f>
        <v>2.476</v>
      </c>
      <c r="K597" s="14"/>
      <c r="L597" s="802" t="str">
        <f>'Obrazac kalkulacije'!$B$15</f>
        <v>Materijali:</v>
      </c>
      <c r="M597" s="802"/>
      <c r="N597" s="14"/>
      <c r="O597" s="14"/>
      <c r="P597" s="203"/>
      <c r="Q597" s="16">
        <f>SUM(Q598:Q599)</f>
        <v>2.476</v>
      </c>
    </row>
    <row r="598" spans="1:17" ht="25.15" customHeight="1">
      <c r="A598" s="70"/>
      <c r="B598" s="803" t="str">
        <f>'Cjenik M'!$B$18</f>
        <v xml:space="preserve">Cement 25 kg </v>
      </c>
      <c r="C598" s="803"/>
      <c r="D598" s="71" t="str">
        <f>'Cjenik M'!$C$18</f>
        <v>vreća</v>
      </c>
      <c r="E598" s="72">
        <v>7.4999999999999997E-2</v>
      </c>
      <c r="F598" s="213">
        <f>'Cjenik M'!$D$18</f>
        <v>19.36</v>
      </c>
      <c r="G598" s="73">
        <f>+F598*E598</f>
        <v>1.452</v>
      </c>
      <c r="K598" s="70"/>
      <c r="L598" s="814" t="str">
        <f>'Cjenik M'!$B$18</f>
        <v xml:space="preserve">Cement 25 kg </v>
      </c>
      <c r="M598" s="814"/>
      <c r="N598" s="71" t="str">
        <f>'Cjenik M'!$C$18</f>
        <v>vreća</v>
      </c>
      <c r="O598" s="72">
        <v>7.4999999999999997E-2</v>
      </c>
      <c r="P598" s="213">
        <f>'Cjenik M'!$D$18</f>
        <v>19.36</v>
      </c>
      <c r="Q598" s="73">
        <f>+P598*O598</f>
        <v>1.452</v>
      </c>
    </row>
    <row r="599" spans="1:17" ht="25.15" customHeight="1" thickBot="1">
      <c r="A599" s="67"/>
      <c r="B599" s="801" t="str">
        <f>'Cjenik M'!$B$21</f>
        <v>PVC koljeno 40x90</v>
      </c>
      <c r="C599" s="801"/>
      <c r="D599" s="60" t="str">
        <f>'Cjenik M'!$C$21</f>
        <v>kom.</v>
      </c>
      <c r="E599" s="74">
        <v>0.4</v>
      </c>
      <c r="F599" s="208">
        <f>'Cjenik M'!$D$21</f>
        <v>2.56</v>
      </c>
      <c r="G599" s="63">
        <f>+F599*E599</f>
        <v>1.024</v>
      </c>
      <c r="K599" s="67"/>
      <c r="L599" s="801" t="str">
        <f>'Cjenik M'!$B$21</f>
        <v>PVC koljeno 40x90</v>
      </c>
      <c r="M599" s="801"/>
      <c r="N599" s="60" t="str">
        <f>'Cjenik M'!$C$21</f>
        <v>kom.</v>
      </c>
      <c r="O599" s="74">
        <v>0.4</v>
      </c>
      <c r="P599" s="208">
        <f>'Cjenik M'!$D$21</f>
        <v>2.56</v>
      </c>
      <c r="Q599" s="63">
        <f>+P599*O599</f>
        <v>1.024</v>
      </c>
    </row>
    <row r="600" spans="1:17" ht="25.15" customHeight="1" thickTop="1" thickBot="1">
      <c r="B600" s="40"/>
      <c r="C600" s="20"/>
      <c r="D600" s="21"/>
      <c r="E600" s="118" t="str">
        <f>'Obrazac kalkulacije'!$E$18</f>
        <v>Ukupno (kn):</v>
      </c>
      <c r="F600" s="214"/>
      <c r="G600" s="22">
        <f>ROUND(SUM(G583+G585+G597),2)</f>
        <v>8.5</v>
      </c>
      <c r="H600" s="217"/>
      <c r="I600" s="602"/>
      <c r="J600" s="602"/>
      <c r="L600" s="40"/>
      <c r="M600" s="20"/>
      <c r="N600" s="21"/>
      <c r="O600" s="118" t="str">
        <f>'Obrazac kalkulacije'!$E$18</f>
        <v>Ukupno (kn):</v>
      </c>
      <c r="P600" s="214"/>
      <c r="Q600" s="22">
        <f>ROUND(SUM(Q583+Q585+Q597),2)</f>
        <v>8.14</v>
      </c>
    </row>
    <row r="601" spans="1:17" ht="25.15" customHeight="1" thickTop="1" thickBot="1">
      <c r="E601" s="23" t="str">
        <f>'Obrazac kalkulacije'!$E$19</f>
        <v>PDV:</v>
      </c>
      <c r="F601" s="207">
        <f>'Obrazac kalkulacije'!$F$19</f>
        <v>0.25</v>
      </c>
      <c r="G601" s="24">
        <f>G600*F601</f>
        <v>2.125</v>
      </c>
      <c r="H601" s="446"/>
      <c r="I601" s="446"/>
      <c r="J601" s="446"/>
      <c r="O601" s="23" t="str">
        <f>'Obrazac kalkulacije'!$E$19</f>
        <v>PDV:</v>
      </c>
      <c r="P601" s="207">
        <f>'Obrazac kalkulacije'!$F$19</f>
        <v>0.25</v>
      </c>
      <c r="Q601" s="24">
        <f>Q600*P601</f>
        <v>2.0350000000000001</v>
      </c>
    </row>
    <row r="602" spans="1:17" ht="25.15" customHeight="1" thickTop="1" thickBot="1">
      <c r="E602" s="119" t="str">
        <f>'Obrazac kalkulacije'!$E$20</f>
        <v>Sveukupno (kn):</v>
      </c>
      <c r="F602" s="215"/>
      <c r="G602" s="24">
        <f>ROUND(SUM(G600:G601),2)</f>
        <v>10.63</v>
      </c>
      <c r="H602" s="447"/>
      <c r="I602" s="447"/>
      <c r="J602" s="447"/>
      <c r="O602" s="119" t="str">
        <f>'Obrazac kalkulacije'!$E$20</f>
        <v>Sveukupno (kn):</v>
      </c>
      <c r="P602" s="215"/>
      <c r="Q602" s="24">
        <f>ROUND(SUM(Q600:Q601),2)</f>
        <v>10.18</v>
      </c>
    </row>
    <row r="603" spans="1:17" ht="15" customHeight="1" thickTop="1"/>
    <row r="604" spans="1:17" ht="15" customHeight="1"/>
    <row r="605" spans="1:17" ht="15" customHeight="1"/>
    <row r="606" spans="1:17" ht="15" customHeight="1">
      <c r="C606" s="3" t="str">
        <f>'Obrazac kalkulacije'!$C$24</f>
        <v>IZVODITELJ:</v>
      </c>
      <c r="F606" s="780" t="str">
        <f>'Obrazac kalkulacije'!$F$24</f>
        <v>NARUČITELJ:</v>
      </c>
      <c r="G606" s="780"/>
      <c r="M606" s="3" t="str">
        <f>'Obrazac kalkulacije'!$C$24</f>
        <v>IZVODITELJ:</v>
      </c>
      <c r="P606" s="780" t="str">
        <f>'Obrazac kalkulacije'!$F$24</f>
        <v>NARUČITELJ:</v>
      </c>
      <c r="Q606" s="780"/>
    </row>
    <row r="607" spans="1:17" ht="25.15" customHeight="1">
      <c r="C607" s="3" t="str">
        <f>'Obrazac kalkulacije'!$C$25</f>
        <v>__________________</v>
      </c>
      <c r="F607" s="780" t="str">
        <f>'Obrazac kalkulacije'!$F$25</f>
        <v>___________________</v>
      </c>
      <c r="G607" s="780"/>
      <c r="M607" s="3" t="str">
        <f>'Obrazac kalkulacije'!$C$25</f>
        <v>__________________</v>
      </c>
      <c r="P607" s="780" t="str">
        <f>'Obrazac kalkulacije'!$F$25</f>
        <v>___________________</v>
      </c>
      <c r="Q607" s="780"/>
    </row>
    <row r="608" spans="1:17" ht="15" customHeight="1">
      <c r="G608" s="25"/>
      <c r="Q608" s="25"/>
    </row>
    <row r="609" spans="1:20" ht="15" customHeight="1"/>
    <row r="610" spans="1:20" ht="15" customHeight="1">
      <c r="A610" s="115"/>
      <c r="B610" s="116" t="s">
        <v>17</v>
      </c>
      <c r="C610" s="117" t="s">
        <v>18</v>
      </c>
      <c r="D610" s="117"/>
      <c r="E610" s="117"/>
      <c r="F610" s="211"/>
      <c r="G610" s="117"/>
      <c r="K610" s="115"/>
      <c r="L610" s="116" t="s">
        <v>17</v>
      </c>
      <c r="M610" s="117" t="s">
        <v>18</v>
      </c>
      <c r="N610" s="117"/>
      <c r="O610" s="117"/>
      <c r="P610" s="211"/>
      <c r="Q610" s="117"/>
    </row>
    <row r="611" spans="1:20" ht="15" customHeight="1">
      <c r="A611" s="31"/>
      <c r="B611" s="32" t="s">
        <v>22</v>
      </c>
      <c r="C611" s="7" t="s">
        <v>23</v>
      </c>
      <c r="D611" s="7"/>
      <c r="E611" s="7"/>
      <c r="F611" s="212"/>
      <c r="G611" s="7"/>
      <c r="K611" s="31"/>
      <c r="L611" s="32" t="s">
        <v>22</v>
      </c>
      <c r="M611" s="7" t="s">
        <v>23</v>
      </c>
      <c r="N611" s="7"/>
      <c r="O611" s="7"/>
      <c r="P611" s="212"/>
      <c r="Q611" s="7"/>
    </row>
    <row r="612" spans="1:20" ht="15" customHeight="1">
      <c r="A612" s="41"/>
      <c r="B612" s="42" t="s">
        <v>45</v>
      </c>
      <c r="C612" s="43" t="s">
        <v>46</v>
      </c>
      <c r="D612" s="43"/>
      <c r="E612" s="43"/>
      <c r="F612" s="209"/>
      <c r="G612" s="43"/>
      <c r="K612" s="41"/>
      <c r="L612" s="42" t="s">
        <v>45</v>
      </c>
      <c r="M612" s="43" t="s">
        <v>46</v>
      </c>
      <c r="N612" s="43"/>
      <c r="O612" s="43"/>
      <c r="P612" s="209"/>
      <c r="Q612" s="43"/>
    </row>
    <row r="613" spans="1:20" ht="150" customHeight="1">
      <c r="A613" s="33"/>
      <c r="B613" s="443" t="s">
        <v>47</v>
      </c>
      <c r="C613" s="792" t="s">
        <v>175</v>
      </c>
      <c r="D613" s="792"/>
      <c r="E613" s="792"/>
      <c r="F613" s="792"/>
      <c r="G613" s="792"/>
      <c r="K613" s="33"/>
      <c r="L613" s="34" t="s">
        <v>47</v>
      </c>
      <c r="M613" s="795" t="s">
        <v>176</v>
      </c>
      <c r="N613" s="795"/>
      <c r="O613" s="795"/>
      <c r="P613" s="795"/>
      <c r="Q613" s="795"/>
    </row>
    <row r="614" spans="1:20" ht="15" customHeight="1" thickBot="1"/>
    <row r="615" spans="1:20" ht="30" customHeight="1" thickTop="1" thickBot="1">
      <c r="A615" s="8"/>
      <c r="B615" s="797" t="str">
        <f>'Obrazac kalkulacije'!$B$6:$C$6</f>
        <v>Opis</v>
      </c>
      <c r="C615" s="797"/>
      <c r="D615" s="8" t="str">
        <f>'Obrazac kalkulacije'!$D$6</f>
        <v>Jed.
mjere</v>
      </c>
      <c r="E615" s="8" t="str">
        <f>'Obrazac kalkulacije'!$E$6</f>
        <v>Normativ</v>
      </c>
      <c r="F615" s="8" t="str">
        <f>'Obrazac kalkulacije'!$F$6</f>
        <v>Jed.
cijena</v>
      </c>
      <c r="G615" s="8" t="str">
        <f>'Obrazac kalkulacije'!$G$6</f>
        <v>Iznos</v>
      </c>
      <c r="H615" s="3">
        <v>350</v>
      </c>
      <c r="K615" s="8"/>
      <c r="L615" s="797" t="e">
        <f>'Obrazac kalkulacije'!$B$6:$C$6</f>
        <v>#VALUE!</v>
      </c>
      <c r="M615" s="797"/>
      <c r="N615" s="8" t="str">
        <f>'Obrazac kalkulacije'!$D$6</f>
        <v>Jed.
mjere</v>
      </c>
      <c r="O615" s="8" t="str">
        <f>'Obrazac kalkulacije'!$E$6</f>
        <v>Normativ</v>
      </c>
      <c r="P615" s="8" t="str">
        <f>'Obrazac kalkulacije'!$F$6</f>
        <v>Jed.
cijena</v>
      </c>
      <c r="Q615" s="8" t="str">
        <f>'Obrazac kalkulacije'!$G$6</f>
        <v>Iznos</v>
      </c>
    </row>
    <row r="616" spans="1:20" ht="4.5" customHeight="1" thickTop="1">
      <c r="B616" s="35"/>
      <c r="C616" s="1"/>
      <c r="D616" s="9"/>
      <c r="E616" s="11"/>
      <c r="F616" s="205"/>
      <c r="G616" s="13"/>
      <c r="L616" s="35"/>
      <c r="M616" s="1"/>
      <c r="N616" s="9"/>
      <c r="O616" s="11"/>
      <c r="P616" s="205"/>
      <c r="Q616" s="13"/>
    </row>
    <row r="617" spans="1:20" ht="25.15" customHeight="1">
      <c r="A617" s="14"/>
      <c r="B617" s="784" t="str">
        <f>'Obrazac kalkulacije'!$B$8</f>
        <v>Radna snaga:</v>
      </c>
      <c r="C617" s="784"/>
      <c r="D617" s="14"/>
      <c r="E617" s="14"/>
      <c r="F617" s="206"/>
      <c r="G617" s="16">
        <f>SUM(G618:G618)</f>
        <v>0</v>
      </c>
      <c r="K617" s="14"/>
      <c r="L617" s="784" t="str">
        <f>'Obrazac kalkulacije'!$B$8</f>
        <v>Radna snaga:</v>
      </c>
      <c r="M617" s="784"/>
      <c r="N617" s="14"/>
      <c r="O617" s="14"/>
      <c r="P617" s="206"/>
      <c r="Q617" s="16">
        <f>SUM(Q618:Q618)</f>
        <v>0</v>
      </c>
    </row>
    <row r="618" spans="1:20" ht="25.15" customHeight="1">
      <c r="A618" s="26"/>
      <c r="B618" s="791" t="s">
        <v>130</v>
      </c>
      <c r="C618" s="791"/>
      <c r="D618" s="27" t="s">
        <v>15</v>
      </c>
      <c r="E618" s="28">
        <f>H618/H$615</f>
        <v>0.11428571428571428</v>
      </c>
      <c r="F618" s="203">
        <f>SUMIF('Cjenik RS'!$C$11:$C$26,$B618,'Cjenik RS'!$D$11:$D$88)</f>
        <v>0</v>
      </c>
      <c r="G618" s="29">
        <f>+F618*E618</f>
        <v>0</v>
      </c>
      <c r="H618" s="445">
        <v>40</v>
      </c>
      <c r="I618" s="445"/>
      <c r="J618" s="445"/>
      <c r="K618" s="26"/>
      <c r="L618" s="791" t="s">
        <v>130</v>
      </c>
      <c r="M618" s="791"/>
      <c r="N618" s="27" t="s">
        <v>15</v>
      </c>
      <c r="O618" s="28">
        <v>0.1</v>
      </c>
      <c r="P618" s="203">
        <f>SUMIF('Cjenik RS'!$C$11:$C$26,$B618,'Cjenik RS'!$D$11:$D$88)</f>
        <v>0</v>
      </c>
      <c r="Q618" s="29">
        <f>+P618*O618</f>
        <v>0</v>
      </c>
    </row>
    <row r="619" spans="1:20" ht="25.15" customHeight="1">
      <c r="A619" s="14"/>
      <c r="B619" s="784" t="str">
        <f>'Obrazac kalkulacije'!$B$11</f>
        <v>Vozila, strojevi i oprema:</v>
      </c>
      <c r="C619" s="784"/>
      <c r="D619" s="14"/>
      <c r="E619" s="14"/>
      <c r="F619" s="203"/>
      <c r="G619" s="16">
        <f>SUM(G620:G630)</f>
        <v>51.61785714285714</v>
      </c>
      <c r="K619" s="14"/>
      <c r="L619" s="784" t="str">
        <f>'Obrazac kalkulacije'!$B$11</f>
        <v>Vozila, strojevi i oprema:</v>
      </c>
      <c r="M619" s="784"/>
      <c r="N619" s="14"/>
      <c r="O619" s="14"/>
      <c r="P619" s="203"/>
      <c r="Q619" s="16">
        <f>SUM(Q620:Q630)</f>
        <v>45.387693749999997</v>
      </c>
    </row>
    <row r="620" spans="1:20" ht="25.15" customHeight="1">
      <c r="A620" s="49"/>
      <c r="B620" s="799" t="s">
        <v>144</v>
      </c>
      <c r="C620" s="799"/>
      <c r="D620" s="50" t="s">
        <v>15</v>
      </c>
      <c r="E620" s="28">
        <f t="shared" ref="E620:E630" si="17">H620/H$615</f>
        <v>2.8571428571428571E-3</v>
      </c>
      <c r="F620" s="201">
        <f>SUMIF('Cjenik VSO'!$B$9:$B$85,$B620,'Cjenik VSO'!$C$9:$C$85)</f>
        <v>718.97</v>
      </c>
      <c r="G620" s="52">
        <f t="shared" ref="G620:G630" si="18">E620*F620</f>
        <v>2.0542000000000002</v>
      </c>
      <c r="H620" s="445">
        <v>1</v>
      </c>
      <c r="I620" s="445"/>
      <c r="J620" s="445"/>
      <c r="K620" s="49"/>
      <c r="L620" s="800" t="s">
        <v>144</v>
      </c>
      <c r="M620" s="800"/>
      <c r="N620" s="50" t="s">
        <v>15</v>
      </c>
      <c r="O620" s="83">
        <v>2.5000000000000001E-3</v>
      </c>
      <c r="P620" s="201">
        <f>SUMIF('Cjenik VSO'!$B$9:$B$85,$B620,'Cjenik VSO'!$C$9:$C$85)</f>
        <v>718.97</v>
      </c>
      <c r="Q620" s="52">
        <f t="shared" ref="Q620:Q630" si="19">O620*P620</f>
        <v>1.7974250000000001</v>
      </c>
      <c r="S620" s="2">
        <f>G620*1.6</f>
        <v>3.2867200000000008</v>
      </c>
      <c r="T620" s="218">
        <f t="shared" ref="T620:T630" si="20">S620-G620</f>
        <v>1.2325200000000005</v>
      </c>
    </row>
    <row r="621" spans="1:20" ht="25.15" customHeight="1">
      <c r="A621" s="49"/>
      <c r="B621" s="799" t="s">
        <v>133</v>
      </c>
      <c r="C621" s="799"/>
      <c r="D621" s="50" t="s">
        <v>15</v>
      </c>
      <c r="E621" s="28">
        <f t="shared" si="17"/>
        <v>5.7142857142857143E-3</v>
      </c>
      <c r="F621" s="201">
        <f>SUMIF('Cjenik VSO'!$B$9:$B$85,$B621,'Cjenik VSO'!$C$9:$C$85)</f>
        <v>328.73</v>
      </c>
      <c r="G621" s="52">
        <f t="shared" si="18"/>
        <v>1.878457142857143</v>
      </c>
      <c r="H621" s="445">
        <v>2</v>
      </c>
      <c r="I621" s="445"/>
      <c r="J621" s="445"/>
      <c r="K621" s="49"/>
      <c r="L621" s="799" t="s">
        <v>133</v>
      </c>
      <c r="M621" s="799"/>
      <c r="N621" s="50" t="s">
        <v>15</v>
      </c>
      <c r="O621" s="83">
        <v>5.3749999999999996E-3</v>
      </c>
      <c r="P621" s="201">
        <f>SUMIF('Cjenik VSO'!$B$9:$B$85,$B621,'Cjenik VSO'!$C$9:$C$85)</f>
        <v>328.73</v>
      </c>
      <c r="Q621" s="52">
        <f t="shared" si="19"/>
        <v>1.7669237499999999</v>
      </c>
      <c r="S621" s="2">
        <f t="shared" ref="S621:S630" si="21">G621*1.6</f>
        <v>3.005531428571429</v>
      </c>
      <c r="T621" s="218">
        <f t="shared" si="20"/>
        <v>1.1270742857142859</v>
      </c>
    </row>
    <row r="622" spans="1:20" ht="25.15" customHeight="1">
      <c r="A622" s="49"/>
      <c r="B622" s="799" t="s">
        <v>134</v>
      </c>
      <c r="C622" s="799"/>
      <c r="D622" s="50" t="s">
        <v>15</v>
      </c>
      <c r="E622" s="28">
        <f t="shared" si="17"/>
        <v>5.7142857142857143E-3</v>
      </c>
      <c r="F622" s="201">
        <f>SUMIF('Cjenik VSO'!$B$9:$B$85,$B622,'Cjenik VSO'!$C$9:$C$85)</f>
        <v>62.67</v>
      </c>
      <c r="G622" s="52">
        <f t="shared" si="18"/>
        <v>0.35811428571428572</v>
      </c>
      <c r="H622" s="445">
        <v>2</v>
      </c>
      <c r="I622" s="445"/>
      <c r="J622" s="445"/>
      <c r="K622" s="49"/>
      <c r="L622" s="799" t="s">
        <v>134</v>
      </c>
      <c r="M622" s="799"/>
      <c r="N622" s="50" t="s">
        <v>15</v>
      </c>
      <c r="O622" s="83">
        <v>5.3749999999999996E-3</v>
      </c>
      <c r="P622" s="201">
        <f>SUMIF('Cjenik VSO'!$B$9:$B$85,$B622,'Cjenik VSO'!$C$9:$C$85)</f>
        <v>62.67</v>
      </c>
      <c r="Q622" s="52">
        <f t="shared" si="19"/>
        <v>0.33685124999999999</v>
      </c>
      <c r="S622" s="2">
        <f t="shared" si="21"/>
        <v>0.57298285714285713</v>
      </c>
      <c r="T622" s="218">
        <f t="shared" si="20"/>
        <v>0.21486857142857141</v>
      </c>
    </row>
    <row r="623" spans="1:20" ht="25.15" customHeight="1">
      <c r="A623" s="49"/>
      <c r="B623" s="799" t="s">
        <v>142</v>
      </c>
      <c r="C623" s="799"/>
      <c r="D623" s="50" t="s">
        <v>15</v>
      </c>
      <c r="E623" s="28">
        <f t="shared" si="17"/>
        <v>5.7142857142857143E-3</v>
      </c>
      <c r="F623" s="201">
        <f>SUMIF('Cjenik VSO'!$B$9:$B$85,$B623,'Cjenik VSO'!$C$9:$C$85)</f>
        <v>291.72000000000003</v>
      </c>
      <c r="G623" s="52">
        <f t="shared" si="18"/>
        <v>1.6669714285714288</v>
      </c>
      <c r="H623" s="445">
        <v>2</v>
      </c>
      <c r="I623" s="445"/>
      <c r="J623" s="445"/>
      <c r="K623" s="49"/>
      <c r="L623" s="799" t="s">
        <v>142</v>
      </c>
      <c r="M623" s="799"/>
      <c r="N623" s="50" t="s">
        <v>15</v>
      </c>
      <c r="O623" s="83">
        <v>5.6249999999999998E-3</v>
      </c>
      <c r="P623" s="201">
        <f>SUMIF('Cjenik VSO'!$B$9:$B$85,$B623,'Cjenik VSO'!$C$9:$C$85)</f>
        <v>291.72000000000003</v>
      </c>
      <c r="Q623" s="52">
        <f t="shared" si="19"/>
        <v>1.6409250000000002</v>
      </c>
      <c r="S623" s="2">
        <f t="shared" si="21"/>
        <v>2.667154285714286</v>
      </c>
      <c r="T623" s="218">
        <f t="shared" si="20"/>
        <v>1.0001828571428573</v>
      </c>
    </row>
    <row r="624" spans="1:20" ht="25.15" customHeight="1">
      <c r="A624" s="49"/>
      <c r="B624" s="799" t="s">
        <v>143</v>
      </c>
      <c r="C624" s="799"/>
      <c r="D624" s="50" t="s">
        <v>15</v>
      </c>
      <c r="E624" s="28">
        <f t="shared" si="17"/>
        <v>2.5714285714285714E-2</v>
      </c>
      <c r="F624" s="201">
        <f>SUMIF('Cjenik VSO'!$B$9:$B$85,$B624,'Cjenik VSO'!$C$9:$C$85)</f>
        <v>355.64</v>
      </c>
      <c r="G624" s="52">
        <f t="shared" si="18"/>
        <v>9.1450285714285702</v>
      </c>
      <c r="H624" s="445">
        <v>9</v>
      </c>
      <c r="I624" s="445"/>
      <c r="J624" s="445"/>
      <c r="K624" s="49"/>
      <c r="L624" s="799" t="s">
        <v>143</v>
      </c>
      <c r="M624" s="799"/>
      <c r="N624" s="50" t="s">
        <v>15</v>
      </c>
      <c r="O624" s="83">
        <v>2.2499999999999999E-2</v>
      </c>
      <c r="P624" s="201">
        <f>SUMIF('Cjenik VSO'!$B$9:$B$85,$B624,'Cjenik VSO'!$C$9:$C$85)</f>
        <v>355.64</v>
      </c>
      <c r="Q624" s="52">
        <f t="shared" si="19"/>
        <v>8.0018999999999991</v>
      </c>
      <c r="S624" s="2">
        <f t="shared" si="21"/>
        <v>14.632045714285713</v>
      </c>
      <c r="T624" s="218">
        <f t="shared" si="20"/>
        <v>5.4870171428571428</v>
      </c>
    </row>
    <row r="625" spans="1:20" ht="25.15" customHeight="1">
      <c r="A625" s="49"/>
      <c r="B625" s="799" t="s">
        <v>165</v>
      </c>
      <c r="C625" s="799"/>
      <c r="D625" s="50" t="s">
        <v>15</v>
      </c>
      <c r="E625" s="28">
        <f t="shared" si="17"/>
        <v>2.2857142857142857E-2</v>
      </c>
      <c r="F625" s="201">
        <f>SUMIF('Cjenik VSO'!$B$9:$B$85,$B625,'Cjenik VSO'!$C$9:$C$85)</f>
        <v>693.43</v>
      </c>
      <c r="G625" s="52">
        <f t="shared" si="18"/>
        <v>15.849828571428571</v>
      </c>
      <c r="H625" s="445">
        <v>8</v>
      </c>
      <c r="I625" s="445"/>
      <c r="J625" s="445"/>
      <c r="K625" s="49"/>
      <c r="L625" s="799" t="s">
        <v>165</v>
      </c>
      <c r="M625" s="799"/>
      <c r="N625" s="50" t="s">
        <v>15</v>
      </c>
      <c r="O625" s="83">
        <v>0.02</v>
      </c>
      <c r="P625" s="201">
        <f>SUMIF('Cjenik VSO'!$B$9:$B$85,$B625,'Cjenik VSO'!$C$9:$C$85)</f>
        <v>693.43</v>
      </c>
      <c r="Q625" s="52">
        <f t="shared" si="19"/>
        <v>13.868599999999999</v>
      </c>
      <c r="S625" s="2">
        <f t="shared" si="21"/>
        <v>25.359725714285716</v>
      </c>
      <c r="T625" s="218">
        <f t="shared" si="20"/>
        <v>9.5098971428571453</v>
      </c>
    </row>
    <row r="626" spans="1:20" ht="25.15" customHeight="1">
      <c r="A626" s="49"/>
      <c r="B626" s="799" t="s">
        <v>156</v>
      </c>
      <c r="C626" s="799"/>
      <c r="D626" s="50" t="s">
        <v>15</v>
      </c>
      <c r="E626" s="28">
        <f t="shared" si="17"/>
        <v>1.1428571428571429E-2</v>
      </c>
      <c r="F626" s="201">
        <f>SUMIF('Cjenik VSO'!$B$9:$B$85,$B626,'Cjenik VSO'!$C$9:$C$85)</f>
        <v>240.85</v>
      </c>
      <c r="G626" s="52">
        <f t="shared" si="18"/>
        <v>2.7525714285714287</v>
      </c>
      <c r="H626" s="445">
        <v>4</v>
      </c>
      <c r="I626" s="445"/>
      <c r="J626" s="445"/>
      <c r="K626" s="49"/>
      <c r="L626" s="799" t="s">
        <v>156</v>
      </c>
      <c r="M626" s="799"/>
      <c r="N626" s="50" t="s">
        <v>15</v>
      </c>
      <c r="O626" s="83">
        <v>0.01</v>
      </c>
      <c r="P626" s="201">
        <f>SUMIF('Cjenik VSO'!$B$9:$B$85,$B626,'Cjenik VSO'!$C$9:$C$85)</f>
        <v>240.85</v>
      </c>
      <c r="Q626" s="52">
        <f t="shared" si="19"/>
        <v>2.4085000000000001</v>
      </c>
      <c r="S626" s="2">
        <f t="shared" si="21"/>
        <v>4.4041142857142859</v>
      </c>
      <c r="T626" s="218">
        <f t="shared" si="20"/>
        <v>1.6515428571428572</v>
      </c>
    </row>
    <row r="627" spans="1:20" ht="25.15" customHeight="1">
      <c r="A627" s="49"/>
      <c r="B627" s="799" t="s">
        <v>148</v>
      </c>
      <c r="C627" s="799"/>
      <c r="D627" s="50" t="s">
        <v>15</v>
      </c>
      <c r="E627" s="28">
        <f t="shared" si="17"/>
        <v>0.02</v>
      </c>
      <c r="F627" s="201">
        <f>SUMIF('Cjenik VSO'!$B$9:$B$85,$B627,'Cjenik VSO'!$C$9:$C$85)</f>
        <v>199.57</v>
      </c>
      <c r="G627" s="52">
        <f t="shared" si="18"/>
        <v>3.9914000000000001</v>
      </c>
      <c r="H627" s="445">
        <v>7</v>
      </c>
      <c r="I627" s="445"/>
      <c r="J627" s="445"/>
      <c r="K627" s="49"/>
      <c r="L627" s="799" t="s">
        <v>148</v>
      </c>
      <c r="M627" s="799"/>
      <c r="N627" s="50" t="s">
        <v>15</v>
      </c>
      <c r="O627" s="83">
        <v>0.01</v>
      </c>
      <c r="P627" s="201">
        <f>SUMIF('Cjenik VSO'!$B$9:$B$85,$B627,'Cjenik VSO'!$C$9:$C$85)</f>
        <v>199.57</v>
      </c>
      <c r="Q627" s="52">
        <f t="shared" si="19"/>
        <v>1.9957</v>
      </c>
      <c r="S627" s="2">
        <f t="shared" si="21"/>
        <v>6.3862400000000008</v>
      </c>
      <c r="T627" s="218">
        <f t="shared" si="20"/>
        <v>2.3948400000000007</v>
      </c>
    </row>
    <row r="628" spans="1:20" ht="25.15" customHeight="1">
      <c r="A628" s="49"/>
      <c r="B628" s="799" t="s">
        <v>157</v>
      </c>
      <c r="C628" s="799"/>
      <c r="D628" s="50" t="s">
        <v>15</v>
      </c>
      <c r="E628" s="28">
        <f t="shared" si="17"/>
        <v>0.04</v>
      </c>
      <c r="F628" s="201">
        <f>SUMIF('Cjenik VSO'!$B$9:$B$85,$B628,'Cjenik VSO'!$C$9:$C$85)</f>
        <v>269.36</v>
      </c>
      <c r="G628" s="52">
        <f t="shared" si="18"/>
        <v>10.7744</v>
      </c>
      <c r="H628" s="445">
        <v>14</v>
      </c>
      <c r="I628" s="445"/>
      <c r="J628" s="445"/>
      <c r="K628" s="49"/>
      <c r="L628" s="799" t="s">
        <v>157</v>
      </c>
      <c r="M628" s="799"/>
      <c r="N628" s="50" t="s">
        <v>15</v>
      </c>
      <c r="O628" s="83">
        <v>0.04</v>
      </c>
      <c r="P628" s="201">
        <f>SUMIF('Cjenik VSO'!$B$9:$B$85,$B628,'Cjenik VSO'!$C$9:$C$85)</f>
        <v>269.36</v>
      </c>
      <c r="Q628" s="52">
        <f t="shared" si="19"/>
        <v>10.7744</v>
      </c>
      <c r="S628" s="2">
        <f t="shared" si="21"/>
        <v>17.239039999999999</v>
      </c>
      <c r="T628" s="218">
        <f t="shared" si="20"/>
        <v>6.4646399999999993</v>
      </c>
    </row>
    <row r="629" spans="1:20" ht="25.15" customHeight="1">
      <c r="A629" s="49"/>
      <c r="B629" s="799" t="s">
        <v>149</v>
      </c>
      <c r="C629" s="799"/>
      <c r="D629" s="50" t="s">
        <v>15</v>
      </c>
      <c r="E629" s="28">
        <f t="shared" si="17"/>
        <v>5.7142857142857143E-3</v>
      </c>
      <c r="F629" s="201">
        <f>SUMIF('Cjenik VSO'!$B$9:$B$85,$B629,'Cjenik VSO'!$C$9:$C$85)</f>
        <v>68.709999999999994</v>
      </c>
      <c r="G629" s="52">
        <f t="shared" si="18"/>
        <v>0.39262857142857138</v>
      </c>
      <c r="H629" s="445">
        <v>2</v>
      </c>
      <c r="I629" s="445"/>
      <c r="J629" s="445"/>
      <c r="K629" s="49"/>
      <c r="L629" s="799" t="s">
        <v>149</v>
      </c>
      <c r="M629" s="799"/>
      <c r="N629" s="50" t="s">
        <v>15</v>
      </c>
      <c r="O629" s="83">
        <v>5.6249999999999998E-3</v>
      </c>
      <c r="P629" s="201">
        <f>SUMIF('Cjenik VSO'!$B$9:$B$85,$B629,'Cjenik VSO'!$C$9:$C$85)</f>
        <v>68.709999999999994</v>
      </c>
      <c r="Q629" s="52">
        <f t="shared" si="19"/>
        <v>0.38649374999999997</v>
      </c>
      <c r="S629" s="2">
        <f t="shared" si="21"/>
        <v>0.62820571428571426</v>
      </c>
      <c r="T629" s="218">
        <f t="shared" si="20"/>
        <v>0.23557714285714287</v>
      </c>
    </row>
    <row r="630" spans="1:20" ht="25.15" customHeight="1">
      <c r="A630" s="54"/>
      <c r="B630" s="804" t="s">
        <v>150</v>
      </c>
      <c r="C630" s="804"/>
      <c r="D630" s="55" t="s">
        <v>15</v>
      </c>
      <c r="E630" s="28">
        <f t="shared" si="17"/>
        <v>2.5714285714285714E-2</v>
      </c>
      <c r="F630" s="202">
        <f>SUMIF('Cjenik VSO'!$B$9:$B$85,$B630,'Cjenik VSO'!$C$9:$C$85)</f>
        <v>107.11</v>
      </c>
      <c r="G630" s="57">
        <f t="shared" si="18"/>
        <v>2.754257142857143</v>
      </c>
      <c r="H630" s="445">
        <v>9</v>
      </c>
      <c r="I630" s="445"/>
      <c r="J630" s="445"/>
      <c r="K630" s="54"/>
      <c r="L630" s="804" t="s">
        <v>150</v>
      </c>
      <c r="M630" s="804"/>
      <c r="N630" s="55" t="s">
        <v>15</v>
      </c>
      <c r="O630" s="79">
        <v>2.2499999999999999E-2</v>
      </c>
      <c r="P630" s="202">
        <f>SUMIF('Cjenik VSO'!$B$9:$B$85,$B630,'Cjenik VSO'!$C$9:$C$85)</f>
        <v>107.11</v>
      </c>
      <c r="Q630" s="57">
        <f t="shared" si="19"/>
        <v>2.4099749999999998</v>
      </c>
      <c r="S630" s="2">
        <f t="shared" si="21"/>
        <v>4.4068114285714293</v>
      </c>
      <c r="T630" s="218">
        <f t="shared" si="20"/>
        <v>1.6525542857142863</v>
      </c>
    </row>
    <row r="631" spans="1:20" ht="25.15" customHeight="1">
      <c r="A631" s="14"/>
      <c r="B631" s="784" t="str">
        <f>'Obrazac kalkulacije'!$B$15</f>
        <v>Materijali:</v>
      </c>
      <c r="C631" s="784"/>
      <c r="D631" s="14"/>
      <c r="E631" s="14"/>
      <c r="F631" s="203"/>
      <c r="G631" s="16">
        <f>SUM(G632:G633)</f>
        <v>15.04</v>
      </c>
      <c r="K631" s="14"/>
      <c r="L631" s="784" t="str">
        <f>'Obrazac kalkulacije'!$B$15</f>
        <v>Materijali:</v>
      </c>
      <c r="M631" s="784"/>
      <c r="N631" s="14"/>
      <c r="O631" s="14"/>
      <c r="P631" s="203"/>
      <c r="Q631" s="16">
        <f>SUM(Q632:Q633)</f>
        <v>15.04</v>
      </c>
      <c r="T631" s="218">
        <f>SUM(T620:T630)</f>
        <v>30.970714285714294</v>
      </c>
    </row>
    <row r="632" spans="1:20" ht="25.15" customHeight="1">
      <c r="A632" s="10"/>
      <c r="B632" s="800" t="str">
        <f>'Cjenik M'!$B$14</f>
        <v>Zaštitna folija PVC 6*4 m</v>
      </c>
      <c r="C632" s="800"/>
      <c r="D632" s="18" t="str">
        <f>'Cjenik M'!$C$14</f>
        <v>kom.</v>
      </c>
      <c r="E632" s="114">
        <v>1</v>
      </c>
      <c r="F632" s="210">
        <f>'Cjenik M'!$D$14</f>
        <v>4.8</v>
      </c>
      <c r="G632" s="19">
        <f>E632*F632</f>
        <v>4.8</v>
      </c>
      <c r="K632" s="10"/>
      <c r="L632" s="800" t="str">
        <f>'Cjenik M'!$B$14</f>
        <v>Zaštitna folija PVC 6*4 m</v>
      </c>
      <c r="M632" s="800"/>
      <c r="N632" s="18" t="str">
        <f>'Cjenik M'!$C$14</f>
        <v>kom.</v>
      </c>
      <c r="O632" s="69">
        <v>1</v>
      </c>
      <c r="P632" s="210">
        <f>'Cjenik M'!$D$14</f>
        <v>4.8</v>
      </c>
      <c r="Q632" s="19">
        <f>O632*P632</f>
        <v>4.8</v>
      </c>
    </row>
    <row r="633" spans="1:20" ht="25.15" customHeight="1" thickBot="1">
      <c r="A633" s="67"/>
      <c r="B633" s="801" t="str">
        <f>'Cjenik M'!$B$21</f>
        <v>PVC koljeno 40x90</v>
      </c>
      <c r="C633" s="801"/>
      <c r="D633" s="50" t="str">
        <f>'Cjenik M'!$C$21</f>
        <v>kom.</v>
      </c>
      <c r="E633" s="68">
        <v>4</v>
      </c>
      <c r="F633" s="201">
        <f>'Cjenik M'!$D$21</f>
        <v>2.56</v>
      </c>
      <c r="G633" s="53">
        <f>+F633*E633</f>
        <v>10.24</v>
      </c>
      <c r="K633" s="67"/>
      <c r="L633" s="801" t="str">
        <f>'Cjenik M'!$B$21</f>
        <v>PVC koljeno 40x90</v>
      </c>
      <c r="M633" s="801"/>
      <c r="N633" s="50" t="str">
        <f>'Cjenik M'!$C$21</f>
        <v>kom.</v>
      </c>
      <c r="O633" s="68">
        <v>4</v>
      </c>
      <c r="P633" s="201">
        <f>'Cjenik M'!$D$21</f>
        <v>2.56</v>
      </c>
      <c r="Q633" s="53">
        <f>+P633*O633</f>
        <v>10.24</v>
      </c>
    </row>
    <row r="634" spans="1:20" ht="25.15" customHeight="1" thickTop="1" thickBot="1">
      <c r="B634" s="40"/>
      <c r="C634" s="20"/>
      <c r="D634" s="21"/>
      <c r="E634" s="118" t="str">
        <f>'Obrazac kalkulacije'!$E$18</f>
        <v>Ukupno (kn):</v>
      </c>
      <c r="F634" s="214"/>
      <c r="G634" s="22">
        <f>ROUND(SUM(G617+G619+G631),2)</f>
        <v>66.66</v>
      </c>
      <c r="H634" s="217"/>
      <c r="I634" s="602"/>
      <c r="J634" s="602"/>
      <c r="L634" s="40"/>
      <c r="M634" s="20"/>
      <c r="N634" s="21"/>
      <c r="O634" s="118" t="str">
        <f>'Obrazac kalkulacije'!$E$18</f>
        <v>Ukupno (kn):</v>
      </c>
      <c r="P634" s="214"/>
      <c r="Q634" s="22">
        <f>ROUND(SUM(Q617+Q619+Q631),2)</f>
        <v>60.43</v>
      </c>
    </row>
    <row r="635" spans="1:20" ht="25.15" customHeight="1" thickTop="1" thickBot="1">
      <c r="E635" s="23" t="str">
        <f>'Obrazac kalkulacije'!$E$19</f>
        <v>PDV:</v>
      </c>
      <c r="F635" s="207">
        <f>'Obrazac kalkulacije'!$F$19</f>
        <v>0.25</v>
      </c>
      <c r="G635" s="24">
        <f>G634*F635</f>
        <v>16.664999999999999</v>
      </c>
      <c r="H635" s="446"/>
      <c r="I635" s="446"/>
      <c r="J635" s="446"/>
      <c r="O635" s="23" t="str">
        <f>'Obrazac kalkulacije'!$E$19</f>
        <v>PDV:</v>
      </c>
      <c r="P635" s="207">
        <f>'Obrazac kalkulacije'!$F$19</f>
        <v>0.25</v>
      </c>
      <c r="Q635" s="24">
        <f>Q634*P635</f>
        <v>15.1075</v>
      </c>
    </row>
    <row r="636" spans="1:20" ht="25.15" customHeight="1" thickTop="1" thickBot="1">
      <c r="E636" s="119" t="str">
        <f>'Obrazac kalkulacije'!$E$20</f>
        <v>Sveukupno (kn):</v>
      </c>
      <c r="F636" s="215"/>
      <c r="G636" s="24">
        <f>ROUND(SUM(G634:G635),2)</f>
        <v>83.33</v>
      </c>
      <c r="H636" s="447"/>
      <c r="I636" s="447"/>
      <c r="J636" s="447"/>
      <c r="O636" s="119" t="str">
        <f>'Obrazac kalkulacije'!$E$20</f>
        <v>Sveukupno (kn):</v>
      </c>
      <c r="P636" s="215"/>
      <c r="Q636" s="24">
        <f>ROUND(SUM(Q634:Q635),2)</f>
        <v>75.540000000000006</v>
      </c>
    </row>
    <row r="637" spans="1:20" ht="15" customHeight="1" thickTop="1"/>
    <row r="638" spans="1:20" ht="15" customHeight="1"/>
    <row r="639" spans="1:20" ht="15" customHeight="1"/>
    <row r="640" spans="1:20" ht="15" customHeight="1">
      <c r="C640" s="3" t="str">
        <f>'Obrazac kalkulacije'!$C$24</f>
        <v>IZVODITELJ:</v>
      </c>
      <c r="F640" s="780" t="str">
        <f>'Obrazac kalkulacije'!$F$24</f>
        <v>NARUČITELJ:</v>
      </c>
      <c r="G640" s="780"/>
      <c r="M640" s="3" t="str">
        <f>'Obrazac kalkulacije'!$C$24</f>
        <v>IZVODITELJ:</v>
      </c>
      <c r="P640" s="780" t="str">
        <f>'Obrazac kalkulacije'!$F$24</f>
        <v>NARUČITELJ:</v>
      </c>
      <c r="Q640" s="780"/>
    </row>
    <row r="641" spans="1:17" ht="25.15" customHeight="1">
      <c r="C641" s="3" t="str">
        <f>'Obrazac kalkulacije'!$C$25</f>
        <v>__________________</v>
      </c>
      <c r="F641" s="780" t="str">
        <f>'Obrazac kalkulacije'!$F$25</f>
        <v>___________________</v>
      </c>
      <c r="G641" s="780"/>
      <c r="M641" s="3" t="str">
        <f>'Obrazac kalkulacije'!$C$25</f>
        <v>__________________</v>
      </c>
      <c r="P641" s="780" t="str">
        <f>'Obrazac kalkulacije'!$F$25</f>
        <v>___________________</v>
      </c>
      <c r="Q641" s="780"/>
    </row>
    <row r="642" spans="1:17" ht="15" customHeight="1">
      <c r="G642" s="25"/>
      <c r="Q642" s="25"/>
    </row>
    <row r="643" spans="1:17" ht="15" customHeight="1"/>
    <row r="644" spans="1:17" ht="15" customHeight="1">
      <c r="A644" s="115"/>
      <c r="B644" s="116" t="s">
        <v>17</v>
      </c>
      <c r="C644" s="117" t="s">
        <v>18</v>
      </c>
      <c r="D644" s="117"/>
      <c r="E644" s="117"/>
      <c r="F644" s="211"/>
      <c r="G644" s="117"/>
      <c r="K644" s="115"/>
      <c r="L644" s="116" t="s">
        <v>17</v>
      </c>
      <c r="M644" s="117" t="s">
        <v>18</v>
      </c>
      <c r="N644" s="117"/>
      <c r="O644" s="117"/>
      <c r="P644" s="211"/>
      <c r="Q644" s="117"/>
    </row>
    <row r="645" spans="1:17" ht="15" customHeight="1">
      <c r="A645" s="31"/>
      <c r="B645" s="32" t="s">
        <v>22</v>
      </c>
      <c r="C645" s="7" t="s">
        <v>23</v>
      </c>
      <c r="D645" s="7"/>
      <c r="E645" s="7"/>
      <c r="F645" s="212"/>
      <c r="G645" s="7"/>
      <c r="K645" s="31"/>
      <c r="L645" s="32" t="s">
        <v>22</v>
      </c>
      <c r="M645" s="7" t="s">
        <v>23</v>
      </c>
      <c r="N645" s="7"/>
      <c r="O645" s="7"/>
      <c r="P645" s="212"/>
      <c r="Q645" s="7"/>
    </row>
    <row r="646" spans="1:17" ht="15" customHeight="1">
      <c r="A646" s="41"/>
      <c r="B646" s="42" t="s">
        <v>45</v>
      </c>
      <c r="C646" s="43" t="s">
        <v>46</v>
      </c>
      <c r="D646" s="43"/>
      <c r="E646" s="43"/>
      <c r="F646" s="209"/>
      <c r="G646" s="43"/>
      <c r="K646" s="41"/>
      <c r="L646" s="42" t="s">
        <v>45</v>
      </c>
      <c r="M646" s="43" t="s">
        <v>46</v>
      </c>
      <c r="N646" s="43"/>
      <c r="O646" s="43"/>
      <c r="P646" s="209"/>
      <c r="Q646" s="43"/>
    </row>
    <row r="647" spans="1:17" ht="150" customHeight="1">
      <c r="A647" s="33"/>
      <c r="B647" s="443" t="s">
        <v>48</v>
      </c>
      <c r="C647" s="792" t="s">
        <v>177</v>
      </c>
      <c r="D647" s="792"/>
      <c r="E647" s="792"/>
      <c r="F647" s="792"/>
      <c r="G647" s="792"/>
      <c r="K647" s="33"/>
      <c r="L647" s="34" t="s">
        <v>48</v>
      </c>
      <c r="M647" s="795" t="s">
        <v>178</v>
      </c>
      <c r="N647" s="795"/>
      <c r="O647" s="795"/>
      <c r="P647" s="795"/>
      <c r="Q647" s="795"/>
    </row>
    <row r="648" spans="1:17" ht="15" customHeight="1" thickBot="1"/>
    <row r="649" spans="1:17" ht="30" customHeight="1" thickTop="1" thickBot="1">
      <c r="A649" s="8"/>
      <c r="B649" s="797" t="str">
        <f>'Obrazac kalkulacije'!$B$6:$C$6</f>
        <v>Opis</v>
      </c>
      <c r="C649" s="797"/>
      <c r="D649" s="8" t="str">
        <f>'Obrazac kalkulacije'!$D$6</f>
        <v>Jed.
mjere</v>
      </c>
      <c r="E649" s="8" t="str">
        <f>'Obrazac kalkulacije'!$E$6</f>
        <v>Normativ</v>
      </c>
      <c r="F649" s="8" t="str">
        <f>'Obrazac kalkulacije'!$F$6</f>
        <v>Jed.
cijena</v>
      </c>
      <c r="G649" s="8" t="str">
        <f>'Obrazac kalkulacije'!$G$6</f>
        <v>Iznos</v>
      </c>
      <c r="K649" s="8"/>
      <c r="L649" s="797" t="e">
        <f>'Obrazac kalkulacije'!$B$6:$C$6</f>
        <v>#VALUE!</v>
      </c>
      <c r="M649" s="797"/>
      <c r="N649" s="8" t="str">
        <f>'Obrazac kalkulacije'!$D$6</f>
        <v>Jed.
mjere</v>
      </c>
      <c r="O649" s="8" t="str">
        <f>'Obrazac kalkulacije'!$E$6</f>
        <v>Normativ</v>
      </c>
      <c r="P649" s="8" t="str">
        <f>'Obrazac kalkulacije'!$F$6</f>
        <v>Jed.
cijena</v>
      </c>
      <c r="Q649" s="8" t="str">
        <f>'Obrazac kalkulacije'!$G$6</f>
        <v>Iznos</v>
      </c>
    </row>
    <row r="650" spans="1:17" ht="4.5" customHeight="1" thickTop="1">
      <c r="B650" s="35"/>
      <c r="C650" s="1"/>
      <c r="D650" s="9"/>
      <c r="E650" s="11"/>
      <c r="F650" s="205"/>
      <c r="G650" s="13"/>
      <c r="L650" s="35"/>
      <c r="M650" s="1"/>
      <c r="N650" s="9"/>
      <c r="O650" s="11"/>
      <c r="P650" s="205"/>
      <c r="Q650" s="13"/>
    </row>
    <row r="651" spans="1:17" ht="25.15" customHeight="1">
      <c r="A651" s="14"/>
      <c r="B651" s="15" t="str">
        <f>'Obrazac kalkulacije'!$B$8</f>
        <v>Radna snaga:</v>
      </c>
      <c r="C651" s="15"/>
      <c r="D651" s="14"/>
      <c r="E651" s="14"/>
      <c r="F651" s="206"/>
      <c r="G651" s="16">
        <f>SUM(G652:G652)</f>
        <v>0</v>
      </c>
      <c r="K651" s="14"/>
      <c r="L651" s="15" t="str">
        <f>'Obrazac kalkulacije'!$B$8</f>
        <v>Radna snaga:</v>
      </c>
      <c r="M651" s="15"/>
      <c r="N651" s="14"/>
      <c r="O651" s="14"/>
      <c r="P651" s="206"/>
      <c r="Q651" s="16">
        <f>SUM(Q652:Q652)</f>
        <v>0</v>
      </c>
    </row>
    <row r="652" spans="1:17" ht="25.15" customHeight="1">
      <c r="A652" s="26"/>
      <c r="B652" s="791" t="s">
        <v>130</v>
      </c>
      <c r="C652" s="791"/>
      <c r="D652" s="27" t="s">
        <v>15</v>
      </c>
      <c r="E652" s="28">
        <v>0.11428571428571428</v>
      </c>
      <c r="F652" s="203">
        <f>SUMIF('Cjenik RS'!$C$11:$C$26,$B652,'Cjenik RS'!$D$11:$D$88)</f>
        <v>0</v>
      </c>
      <c r="G652" s="29">
        <f>+F652*E652</f>
        <v>0</v>
      </c>
      <c r="K652" s="26"/>
      <c r="L652" s="791" t="s">
        <v>130</v>
      </c>
      <c r="M652" s="791"/>
      <c r="N652" s="27" t="s">
        <v>15</v>
      </c>
      <c r="O652" s="28">
        <v>0.1</v>
      </c>
      <c r="P652" s="203">
        <f>SUMIF('Cjenik RS'!$C$11:$C$26,$B652,'Cjenik RS'!$D$11:$D$88)</f>
        <v>0</v>
      </c>
      <c r="Q652" s="29">
        <f>+P652*O652</f>
        <v>0</v>
      </c>
    </row>
    <row r="653" spans="1:17" ht="25.15" customHeight="1">
      <c r="A653" s="14"/>
      <c r="B653" s="15" t="str">
        <f>'Obrazac kalkulacije'!$B$11</f>
        <v>Vozila, strojevi i oprema:</v>
      </c>
      <c r="C653" s="15"/>
      <c r="D653" s="14"/>
      <c r="E653" s="14"/>
      <c r="F653" s="203"/>
      <c r="G653" s="16">
        <f>SUM(G654:G664)</f>
        <v>51.61785714285714</v>
      </c>
      <c r="K653" s="14"/>
      <c r="L653" s="15" t="str">
        <f>'Obrazac kalkulacije'!$B$11</f>
        <v>Vozila, strojevi i oprema:</v>
      </c>
      <c r="M653" s="15"/>
      <c r="N653" s="14"/>
      <c r="O653" s="14"/>
      <c r="P653" s="203"/>
      <c r="Q653" s="16">
        <f>SUM(Q654:Q664)</f>
        <v>45.387693749999997</v>
      </c>
    </row>
    <row r="654" spans="1:17" ht="25.15" customHeight="1">
      <c r="A654" s="49"/>
      <c r="B654" s="799" t="s">
        <v>144</v>
      </c>
      <c r="C654" s="799"/>
      <c r="D654" s="50" t="s">
        <v>15</v>
      </c>
      <c r="E654" s="83">
        <v>2.8571428571428571E-3</v>
      </c>
      <c r="F654" s="201">
        <f>SUMIF('Cjenik VSO'!$B$9:$B$85,$B654,'Cjenik VSO'!$C$9:$C$85)</f>
        <v>718.97</v>
      </c>
      <c r="G654" s="52">
        <f t="shared" ref="G654:G664" si="22">E654*F654</f>
        <v>2.0542000000000002</v>
      </c>
      <c r="K654" s="49"/>
      <c r="L654" s="800" t="s">
        <v>144</v>
      </c>
      <c r="M654" s="800"/>
      <c r="N654" s="50" t="s">
        <v>15</v>
      </c>
      <c r="O654" s="83">
        <v>2.5000000000000001E-3</v>
      </c>
      <c r="P654" s="201">
        <f>SUMIF('Cjenik VSO'!$B$9:$B$85,$B654,'Cjenik VSO'!$C$9:$C$85)</f>
        <v>718.97</v>
      </c>
      <c r="Q654" s="52">
        <f t="shared" ref="Q654:Q664" si="23">O654*P654</f>
        <v>1.7974250000000001</v>
      </c>
    </row>
    <row r="655" spans="1:17" ht="25.15" customHeight="1">
      <c r="A655" s="49"/>
      <c r="B655" s="799" t="s">
        <v>133</v>
      </c>
      <c r="C655" s="799"/>
      <c r="D655" s="50" t="s">
        <v>15</v>
      </c>
      <c r="E655" s="83">
        <v>5.7142857142857143E-3</v>
      </c>
      <c r="F655" s="201">
        <f>SUMIF('Cjenik VSO'!$B$9:$B$85,$B655,'Cjenik VSO'!$C$9:$C$85)</f>
        <v>328.73</v>
      </c>
      <c r="G655" s="52">
        <f t="shared" si="22"/>
        <v>1.878457142857143</v>
      </c>
      <c r="K655" s="49"/>
      <c r="L655" s="799" t="s">
        <v>133</v>
      </c>
      <c r="M655" s="799"/>
      <c r="N655" s="50" t="s">
        <v>15</v>
      </c>
      <c r="O655" s="83">
        <v>5.3749999999999996E-3</v>
      </c>
      <c r="P655" s="201">
        <f>SUMIF('Cjenik VSO'!$B$9:$B$85,$B655,'Cjenik VSO'!$C$9:$C$85)</f>
        <v>328.73</v>
      </c>
      <c r="Q655" s="52">
        <f t="shared" si="23"/>
        <v>1.7669237499999999</v>
      </c>
    </row>
    <row r="656" spans="1:17" ht="25.15" customHeight="1">
      <c r="A656" s="49"/>
      <c r="B656" s="799" t="s">
        <v>134</v>
      </c>
      <c r="C656" s="799"/>
      <c r="D656" s="50" t="s">
        <v>15</v>
      </c>
      <c r="E656" s="83">
        <v>5.7142857142857143E-3</v>
      </c>
      <c r="F656" s="201">
        <f>SUMIF('Cjenik VSO'!$B$9:$B$85,$B656,'Cjenik VSO'!$C$9:$C$85)</f>
        <v>62.67</v>
      </c>
      <c r="G656" s="52">
        <f t="shared" si="22"/>
        <v>0.35811428571428572</v>
      </c>
      <c r="K656" s="49"/>
      <c r="L656" s="799" t="s">
        <v>134</v>
      </c>
      <c r="M656" s="799"/>
      <c r="N656" s="50" t="s">
        <v>15</v>
      </c>
      <c r="O656" s="83">
        <v>5.3749999999999996E-3</v>
      </c>
      <c r="P656" s="201">
        <f>SUMIF('Cjenik VSO'!$B$9:$B$85,$B656,'Cjenik VSO'!$C$9:$C$85)</f>
        <v>62.67</v>
      </c>
      <c r="Q656" s="52">
        <f t="shared" si="23"/>
        <v>0.33685124999999999</v>
      </c>
    </row>
    <row r="657" spans="1:17" ht="25.15" customHeight="1">
      <c r="A657" s="49"/>
      <c r="B657" s="799" t="s">
        <v>142</v>
      </c>
      <c r="C657" s="799"/>
      <c r="D657" s="50" t="s">
        <v>15</v>
      </c>
      <c r="E657" s="83">
        <v>5.7142857142857143E-3</v>
      </c>
      <c r="F657" s="201">
        <f>SUMIF('Cjenik VSO'!$B$9:$B$85,$B657,'Cjenik VSO'!$C$9:$C$85)</f>
        <v>291.72000000000003</v>
      </c>
      <c r="G657" s="52">
        <f t="shared" si="22"/>
        <v>1.6669714285714288</v>
      </c>
      <c r="K657" s="49"/>
      <c r="L657" s="799" t="s">
        <v>142</v>
      </c>
      <c r="M657" s="799"/>
      <c r="N657" s="50" t="s">
        <v>15</v>
      </c>
      <c r="O657" s="83">
        <v>5.6249999999999998E-3</v>
      </c>
      <c r="P657" s="201">
        <f>SUMIF('Cjenik VSO'!$B$9:$B$85,$B657,'Cjenik VSO'!$C$9:$C$85)</f>
        <v>291.72000000000003</v>
      </c>
      <c r="Q657" s="52">
        <f t="shared" si="23"/>
        <v>1.6409250000000002</v>
      </c>
    </row>
    <row r="658" spans="1:17" ht="25.15" customHeight="1">
      <c r="A658" s="49"/>
      <c r="B658" s="799" t="s">
        <v>143</v>
      </c>
      <c r="C658" s="799"/>
      <c r="D658" s="50" t="s">
        <v>15</v>
      </c>
      <c r="E658" s="83">
        <v>2.5714285714285714E-2</v>
      </c>
      <c r="F658" s="201">
        <f>SUMIF('Cjenik VSO'!$B$9:$B$85,$B658,'Cjenik VSO'!$C$9:$C$85)</f>
        <v>355.64</v>
      </c>
      <c r="G658" s="52">
        <f t="shared" si="22"/>
        <v>9.1450285714285702</v>
      </c>
      <c r="K658" s="49"/>
      <c r="L658" s="799" t="s">
        <v>143</v>
      </c>
      <c r="M658" s="799"/>
      <c r="N658" s="50" t="s">
        <v>15</v>
      </c>
      <c r="O658" s="83">
        <v>2.2499999999999999E-2</v>
      </c>
      <c r="P658" s="201">
        <f>SUMIF('Cjenik VSO'!$B$9:$B$85,$B658,'Cjenik VSO'!$C$9:$C$85)</f>
        <v>355.64</v>
      </c>
      <c r="Q658" s="52">
        <f t="shared" si="23"/>
        <v>8.0018999999999991</v>
      </c>
    </row>
    <row r="659" spans="1:17" ht="25.15" customHeight="1">
      <c r="A659" s="49"/>
      <c r="B659" s="799" t="s">
        <v>165</v>
      </c>
      <c r="C659" s="799"/>
      <c r="D659" s="50" t="s">
        <v>15</v>
      </c>
      <c r="E659" s="83">
        <v>2.2857142857142857E-2</v>
      </c>
      <c r="F659" s="201">
        <f>SUMIF('Cjenik VSO'!$B$9:$B$85,$B659,'Cjenik VSO'!$C$9:$C$85)</f>
        <v>693.43</v>
      </c>
      <c r="G659" s="52">
        <f t="shared" si="22"/>
        <v>15.849828571428571</v>
      </c>
      <c r="K659" s="49"/>
      <c r="L659" s="799" t="s">
        <v>165</v>
      </c>
      <c r="M659" s="799"/>
      <c r="N659" s="50" t="s">
        <v>15</v>
      </c>
      <c r="O659" s="83">
        <v>0.02</v>
      </c>
      <c r="P659" s="201">
        <f>SUMIF('Cjenik VSO'!$B$9:$B$85,$B659,'Cjenik VSO'!$C$9:$C$85)</f>
        <v>693.43</v>
      </c>
      <c r="Q659" s="52">
        <f t="shared" si="23"/>
        <v>13.868599999999999</v>
      </c>
    </row>
    <row r="660" spans="1:17" ht="25.15" customHeight="1">
      <c r="A660" s="49"/>
      <c r="B660" s="799" t="s">
        <v>156</v>
      </c>
      <c r="C660" s="799"/>
      <c r="D660" s="50" t="s">
        <v>15</v>
      </c>
      <c r="E660" s="83">
        <v>1.1428571428571429E-2</v>
      </c>
      <c r="F660" s="201">
        <f>SUMIF('Cjenik VSO'!$B$9:$B$85,$B660,'Cjenik VSO'!$C$9:$C$85)</f>
        <v>240.85</v>
      </c>
      <c r="G660" s="52">
        <f t="shared" si="22"/>
        <v>2.7525714285714287</v>
      </c>
      <c r="K660" s="49"/>
      <c r="L660" s="799" t="s">
        <v>156</v>
      </c>
      <c r="M660" s="799"/>
      <c r="N660" s="50" t="s">
        <v>15</v>
      </c>
      <c r="O660" s="83">
        <v>0.01</v>
      </c>
      <c r="P660" s="201">
        <f>SUMIF('Cjenik VSO'!$B$9:$B$85,$B660,'Cjenik VSO'!$C$9:$C$85)</f>
        <v>240.85</v>
      </c>
      <c r="Q660" s="52">
        <f t="shared" si="23"/>
        <v>2.4085000000000001</v>
      </c>
    </row>
    <row r="661" spans="1:17" ht="25.15" customHeight="1">
      <c r="A661" s="49"/>
      <c r="B661" s="799" t="s">
        <v>148</v>
      </c>
      <c r="C661" s="799"/>
      <c r="D661" s="50" t="s">
        <v>15</v>
      </c>
      <c r="E661" s="83">
        <v>0.02</v>
      </c>
      <c r="F661" s="201">
        <f>SUMIF('Cjenik VSO'!$B$9:$B$85,$B661,'Cjenik VSO'!$C$9:$C$85)</f>
        <v>199.57</v>
      </c>
      <c r="G661" s="52">
        <f t="shared" si="22"/>
        <v>3.9914000000000001</v>
      </c>
      <c r="K661" s="49"/>
      <c r="L661" s="799" t="s">
        <v>148</v>
      </c>
      <c r="M661" s="799"/>
      <c r="N661" s="50" t="s">
        <v>15</v>
      </c>
      <c r="O661" s="83">
        <v>0.01</v>
      </c>
      <c r="P661" s="201">
        <f>SUMIF('Cjenik VSO'!$B$9:$B$85,$B661,'Cjenik VSO'!$C$9:$C$85)</f>
        <v>199.57</v>
      </c>
      <c r="Q661" s="52">
        <f t="shared" si="23"/>
        <v>1.9957</v>
      </c>
    </row>
    <row r="662" spans="1:17" ht="25.15" customHeight="1">
      <c r="A662" s="49"/>
      <c r="B662" s="799" t="s">
        <v>157</v>
      </c>
      <c r="C662" s="799"/>
      <c r="D662" s="50" t="s">
        <v>15</v>
      </c>
      <c r="E662" s="83">
        <v>0.04</v>
      </c>
      <c r="F662" s="201">
        <f>SUMIF('Cjenik VSO'!$B$9:$B$85,$B662,'Cjenik VSO'!$C$9:$C$85)</f>
        <v>269.36</v>
      </c>
      <c r="G662" s="52">
        <f t="shared" si="22"/>
        <v>10.7744</v>
      </c>
      <c r="K662" s="49"/>
      <c r="L662" s="799" t="s">
        <v>157</v>
      </c>
      <c r="M662" s="799"/>
      <c r="N662" s="50" t="s">
        <v>15</v>
      </c>
      <c r="O662" s="83">
        <v>0.04</v>
      </c>
      <c r="P662" s="201">
        <f>SUMIF('Cjenik VSO'!$B$9:$B$85,$B662,'Cjenik VSO'!$C$9:$C$85)</f>
        <v>269.36</v>
      </c>
      <c r="Q662" s="52">
        <f t="shared" si="23"/>
        <v>10.7744</v>
      </c>
    </row>
    <row r="663" spans="1:17" ht="25.15" customHeight="1">
      <c r="A663" s="49"/>
      <c r="B663" s="799" t="s">
        <v>149</v>
      </c>
      <c r="C663" s="799"/>
      <c r="D663" s="50" t="s">
        <v>15</v>
      </c>
      <c r="E663" s="83">
        <v>5.7142857142857143E-3</v>
      </c>
      <c r="F663" s="201">
        <f>SUMIF('Cjenik VSO'!$B$9:$B$85,$B663,'Cjenik VSO'!$C$9:$C$85)</f>
        <v>68.709999999999994</v>
      </c>
      <c r="G663" s="52">
        <f t="shared" si="22"/>
        <v>0.39262857142857138</v>
      </c>
      <c r="K663" s="49"/>
      <c r="L663" s="799" t="s">
        <v>149</v>
      </c>
      <c r="M663" s="799"/>
      <c r="N663" s="50" t="s">
        <v>15</v>
      </c>
      <c r="O663" s="83">
        <v>5.6249999999999998E-3</v>
      </c>
      <c r="P663" s="201">
        <f>SUMIF('Cjenik VSO'!$B$9:$B$85,$B663,'Cjenik VSO'!$C$9:$C$85)</f>
        <v>68.709999999999994</v>
      </c>
      <c r="Q663" s="52">
        <f t="shared" si="23"/>
        <v>0.38649374999999997</v>
      </c>
    </row>
    <row r="664" spans="1:17" ht="25.15" customHeight="1">
      <c r="A664" s="54"/>
      <c r="B664" s="804" t="s">
        <v>150</v>
      </c>
      <c r="C664" s="804"/>
      <c r="D664" s="55" t="s">
        <v>15</v>
      </c>
      <c r="E664" s="79">
        <v>2.5714285714285714E-2</v>
      </c>
      <c r="F664" s="202">
        <f>SUMIF('Cjenik VSO'!$B$9:$B$85,$B664,'Cjenik VSO'!$C$9:$C$85)</f>
        <v>107.11</v>
      </c>
      <c r="G664" s="57">
        <f t="shared" si="22"/>
        <v>2.754257142857143</v>
      </c>
      <c r="K664" s="54"/>
      <c r="L664" s="804" t="s">
        <v>150</v>
      </c>
      <c r="M664" s="804"/>
      <c r="N664" s="55" t="s">
        <v>15</v>
      </c>
      <c r="O664" s="79">
        <v>2.2499999999999999E-2</v>
      </c>
      <c r="P664" s="202">
        <f>SUMIF('Cjenik VSO'!$B$9:$B$85,$B664,'Cjenik VSO'!$C$9:$C$85)</f>
        <v>107.11</v>
      </c>
      <c r="Q664" s="57">
        <f t="shared" si="23"/>
        <v>2.4099749999999998</v>
      </c>
    </row>
    <row r="665" spans="1:17" ht="25.15" customHeight="1">
      <c r="A665" s="14"/>
      <c r="B665" s="802" t="str">
        <f>'Obrazac kalkulacije'!$B$15</f>
        <v>Materijali:</v>
      </c>
      <c r="C665" s="802"/>
      <c r="D665" s="14"/>
      <c r="E665" s="14"/>
      <c r="F665" s="203"/>
      <c r="G665" s="16">
        <f>SUM(G666:G667)</f>
        <v>22.240000000000002</v>
      </c>
      <c r="K665" s="14"/>
      <c r="L665" s="802" t="str">
        <f>'Obrazac kalkulacije'!$B$15</f>
        <v>Materijali:</v>
      </c>
      <c r="M665" s="802"/>
      <c r="N665" s="14"/>
      <c r="O665" s="14"/>
      <c r="P665" s="203"/>
      <c r="Q665" s="16">
        <f>SUM(Q666:Q667)</f>
        <v>22.240000000000002</v>
      </c>
    </row>
    <row r="666" spans="1:17" ht="25.15" customHeight="1">
      <c r="A666" s="70"/>
      <c r="B666" s="803" t="str">
        <f>'Cjenik M'!$B$100</f>
        <v>Fluo cijev 18W/840</v>
      </c>
      <c r="C666" s="803"/>
      <c r="D666" s="71" t="str">
        <f>'Cjenik M'!$C$100</f>
        <v>kom.</v>
      </c>
      <c r="E666" s="72">
        <v>1</v>
      </c>
      <c r="F666" s="213">
        <f>SUM('Cjenik M'!D100)</f>
        <v>12</v>
      </c>
      <c r="G666" s="73">
        <f>+F666*E666</f>
        <v>12</v>
      </c>
      <c r="K666" s="70"/>
      <c r="L666" s="814" t="str">
        <f>'Cjenik M'!$B$100</f>
        <v>Fluo cijev 18W/840</v>
      </c>
      <c r="M666" s="814"/>
      <c r="N666" s="71" t="str">
        <f>'Cjenik M'!$C$100</f>
        <v>kom.</v>
      </c>
      <c r="O666" s="72">
        <v>1</v>
      </c>
      <c r="P666" s="213">
        <f>'Cjenik M'!$D$100</f>
        <v>12</v>
      </c>
      <c r="Q666" s="73">
        <f>+P666*O666</f>
        <v>12</v>
      </c>
    </row>
    <row r="667" spans="1:17" ht="25.15" customHeight="1" thickBot="1">
      <c r="A667" s="67"/>
      <c r="B667" s="801" t="str">
        <f>'Cjenik M'!$B$21</f>
        <v>PVC koljeno 40x90</v>
      </c>
      <c r="C667" s="801"/>
      <c r="D667" s="60" t="str">
        <f>'Cjenik M'!$C$21</f>
        <v>kom.</v>
      </c>
      <c r="E667" s="74">
        <v>4</v>
      </c>
      <c r="F667" s="208">
        <f>'Cjenik M'!$D$21</f>
        <v>2.56</v>
      </c>
      <c r="G667" s="63">
        <f>+F667*E667</f>
        <v>10.24</v>
      </c>
      <c r="K667" s="67"/>
      <c r="L667" s="801" t="str">
        <f>'Cjenik M'!$B$21</f>
        <v>PVC koljeno 40x90</v>
      </c>
      <c r="M667" s="801"/>
      <c r="N667" s="60" t="str">
        <f>'Cjenik M'!$C$21</f>
        <v>kom.</v>
      </c>
      <c r="O667" s="74">
        <v>4</v>
      </c>
      <c r="P667" s="208">
        <f>'Cjenik M'!$D$21</f>
        <v>2.56</v>
      </c>
      <c r="Q667" s="63">
        <f>+P667*O667</f>
        <v>10.24</v>
      </c>
    </row>
    <row r="668" spans="1:17" ht="25.15" customHeight="1" thickTop="1" thickBot="1">
      <c r="B668" s="40"/>
      <c r="C668" s="20"/>
      <c r="D668" s="21"/>
      <c r="E668" s="118" t="str">
        <f>'Obrazac kalkulacije'!$E$18</f>
        <v>Ukupno (kn):</v>
      </c>
      <c r="F668" s="214"/>
      <c r="G668" s="22">
        <f>SUM(G651+G653+G665)</f>
        <v>73.857857142857142</v>
      </c>
      <c r="H668" s="217"/>
      <c r="I668" s="602"/>
      <c r="J668" s="602"/>
      <c r="L668" s="40"/>
      <c r="M668" s="20"/>
      <c r="N668" s="21"/>
      <c r="O668" s="118" t="str">
        <f>'Obrazac kalkulacije'!$E$18</f>
        <v>Ukupno (kn):</v>
      </c>
      <c r="P668" s="214"/>
      <c r="Q668" s="22">
        <f>ROUND(SUM(Q651+Q653+Q665),2)</f>
        <v>67.63</v>
      </c>
    </row>
    <row r="669" spans="1:17" ht="25.15" customHeight="1" thickTop="1" thickBot="1">
      <c r="E669" s="23" t="str">
        <f>'Obrazac kalkulacije'!$E$19</f>
        <v>PDV:</v>
      </c>
      <c r="F669" s="207">
        <f>'Obrazac kalkulacije'!$F$19</f>
        <v>0.25</v>
      </c>
      <c r="G669" s="24">
        <f>G668*F669</f>
        <v>18.464464285714286</v>
      </c>
      <c r="H669" s="446"/>
      <c r="I669" s="446"/>
      <c r="J669" s="446"/>
      <c r="O669" s="23" t="str">
        <f>'Obrazac kalkulacije'!$E$19</f>
        <v>PDV:</v>
      </c>
      <c r="P669" s="207">
        <f>'Obrazac kalkulacije'!$F$19</f>
        <v>0.25</v>
      </c>
      <c r="Q669" s="24">
        <f>Q668*P669</f>
        <v>16.907499999999999</v>
      </c>
    </row>
    <row r="670" spans="1:17" ht="25.15" customHeight="1" thickTop="1" thickBot="1">
      <c r="E670" s="119" t="str">
        <f>'Obrazac kalkulacije'!$E$20</f>
        <v>Sveukupno (kn):</v>
      </c>
      <c r="F670" s="215"/>
      <c r="G670" s="24">
        <f>ROUND(SUM(G668:G669),2)</f>
        <v>92.32</v>
      </c>
      <c r="H670" s="447"/>
      <c r="I670" s="447"/>
      <c r="J670" s="447"/>
      <c r="O670" s="119" t="str">
        <f>'Obrazac kalkulacije'!$E$20</f>
        <v>Sveukupno (kn):</v>
      </c>
      <c r="P670" s="215"/>
      <c r="Q670" s="24">
        <f>ROUND(SUM(Q668:Q669),2)</f>
        <v>84.54</v>
      </c>
    </row>
    <row r="671" spans="1:17" ht="15" customHeight="1" thickTop="1"/>
    <row r="672" spans="1:17" ht="15" customHeight="1"/>
    <row r="673" spans="1:17" ht="15" customHeight="1"/>
    <row r="674" spans="1:17" ht="15" customHeight="1">
      <c r="C674" s="3" t="str">
        <f>'Obrazac kalkulacije'!$C$24</f>
        <v>IZVODITELJ:</v>
      </c>
      <c r="F674" s="780" t="str">
        <f>'Obrazac kalkulacije'!$F$24</f>
        <v>NARUČITELJ:</v>
      </c>
      <c r="G674" s="780"/>
      <c r="M674" s="3" t="str">
        <f>'Obrazac kalkulacije'!$C$24</f>
        <v>IZVODITELJ:</v>
      </c>
      <c r="P674" s="780" t="str">
        <f>'Obrazac kalkulacije'!$F$24</f>
        <v>NARUČITELJ:</v>
      </c>
      <c r="Q674" s="780"/>
    </row>
    <row r="675" spans="1:17" ht="25.15" customHeight="1">
      <c r="C675" s="3" t="str">
        <f>'Obrazac kalkulacije'!$C$25</f>
        <v>__________________</v>
      </c>
      <c r="F675" s="780" t="str">
        <f>'Obrazac kalkulacije'!$F$25</f>
        <v>___________________</v>
      </c>
      <c r="G675" s="780"/>
      <c r="M675" s="3" t="str">
        <f>'Obrazac kalkulacije'!$C$25</f>
        <v>__________________</v>
      </c>
      <c r="P675" s="780" t="str">
        <f>'Obrazac kalkulacije'!$F$25</f>
        <v>___________________</v>
      </c>
      <c r="Q675" s="780"/>
    </row>
    <row r="676" spans="1:17" ht="15" customHeight="1">
      <c r="G676" s="25"/>
      <c r="Q676" s="25"/>
    </row>
    <row r="677" spans="1:17" ht="15" customHeight="1"/>
    <row r="678" spans="1:17" ht="15" customHeight="1">
      <c r="A678" s="115"/>
      <c r="B678" s="116" t="s">
        <v>17</v>
      </c>
      <c r="C678" s="117" t="s">
        <v>18</v>
      </c>
      <c r="D678" s="117"/>
      <c r="E678" s="117"/>
      <c r="F678" s="211"/>
      <c r="G678" s="117"/>
      <c r="K678" s="115"/>
      <c r="L678" s="116" t="s">
        <v>17</v>
      </c>
      <c r="M678" s="117" t="s">
        <v>18</v>
      </c>
      <c r="N678" s="117"/>
      <c r="O678" s="117"/>
      <c r="P678" s="211"/>
      <c r="Q678" s="117"/>
    </row>
    <row r="679" spans="1:17" ht="15" customHeight="1">
      <c r="A679" s="31"/>
      <c r="B679" s="32" t="s">
        <v>22</v>
      </c>
      <c r="C679" s="7" t="s">
        <v>23</v>
      </c>
      <c r="D679" s="7"/>
      <c r="E679" s="7"/>
      <c r="F679" s="212"/>
      <c r="G679" s="7"/>
      <c r="K679" s="31"/>
      <c r="L679" s="32" t="s">
        <v>22</v>
      </c>
      <c r="M679" s="7" t="s">
        <v>23</v>
      </c>
      <c r="N679" s="7"/>
      <c r="O679" s="7"/>
      <c r="P679" s="212"/>
      <c r="Q679" s="7"/>
    </row>
    <row r="680" spans="1:17" ht="15" customHeight="1">
      <c r="A680" s="41"/>
      <c r="B680" s="42" t="s">
        <v>45</v>
      </c>
      <c r="C680" s="43" t="s">
        <v>46</v>
      </c>
      <c r="D680" s="43"/>
      <c r="E680" s="43"/>
      <c r="F680" s="209"/>
      <c r="G680" s="43"/>
      <c r="K680" s="41"/>
      <c r="L680" s="42" t="s">
        <v>45</v>
      </c>
      <c r="M680" s="43" t="s">
        <v>46</v>
      </c>
      <c r="N680" s="43"/>
      <c r="O680" s="43"/>
      <c r="P680" s="209"/>
      <c r="Q680" s="43"/>
    </row>
    <row r="681" spans="1:17" ht="150" customHeight="1">
      <c r="A681" s="33"/>
      <c r="B681" s="443" t="s">
        <v>49</v>
      </c>
      <c r="C681" s="792" t="s">
        <v>179</v>
      </c>
      <c r="D681" s="792"/>
      <c r="E681" s="792"/>
      <c r="F681" s="792"/>
      <c r="G681" s="792"/>
      <c r="K681" s="33"/>
      <c r="L681" s="34" t="s">
        <v>49</v>
      </c>
      <c r="M681" s="795" t="s">
        <v>180</v>
      </c>
      <c r="N681" s="795"/>
      <c r="O681" s="795"/>
      <c r="P681" s="795"/>
      <c r="Q681" s="795"/>
    </row>
    <row r="682" spans="1:17" ht="15" customHeight="1" thickBot="1"/>
    <row r="683" spans="1:17" ht="30" customHeight="1" thickTop="1" thickBot="1">
      <c r="A683" s="8"/>
      <c r="B683" s="797" t="str">
        <f>'Obrazac kalkulacije'!$B$6:$C$6</f>
        <v>Opis</v>
      </c>
      <c r="C683" s="797"/>
      <c r="D683" s="8" t="str">
        <f>'Obrazac kalkulacije'!$D$6</f>
        <v>Jed.
mjere</v>
      </c>
      <c r="E683" s="8" t="str">
        <f>'Obrazac kalkulacije'!$E$6</f>
        <v>Normativ</v>
      </c>
      <c r="F683" s="8" t="str">
        <f>'Obrazac kalkulacije'!$F$6</f>
        <v>Jed.
cijena</v>
      </c>
      <c r="G683" s="8" t="str">
        <f>'Obrazac kalkulacije'!$G$6</f>
        <v>Iznos</v>
      </c>
      <c r="K683" s="8"/>
      <c r="L683" s="797" t="e">
        <f>'Obrazac kalkulacije'!$B$6:$C$6</f>
        <v>#VALUE!</v>
      </c>
      <c r="M683" s="797"/>
      <c r="N683" s="8" t="str">
        <f>'Obrazac kalkulacije'!$D$6</f>
        <v>Jed.
mjere</v>
      </c>
      <c r="O683" s="8" t="str">
        <f>'Obrazac kalkulacije'!$E$6</f>
        <v>Normativ</v>
      </c>
      <c r="P683" s="8" t="str">
        <f>'Obrazac kalkulacije'!$F$6</f>
        <v>Jed.
cijena</v>
      </c>
      <c r="Q683" s="8" t="str">
        <f>'Obrazac kalkulacije'!$G$6</f>
        <v>Iznos</v>
      </c>
    </row>
    <row r="684" spans="1:17" ht="4.5" customHeight="1" thickTop="1">
      <c r="B684" s="35"/>
      <c r="C684" s="1"/>
      <c r="D684" s="9"/>
      <c r="E684" s="11"/>
      <c r="F684" s="205"/>
      <c r="G684" s="13"/>
      <c r="L684" s="35"/>
      <c r="M684" s="1"/>
      <c r="N684" s="9"/>
      <c r="O684" s="11"/>
      <c r="P684" s="205"/>
      <c r="Q684" s="13"/>
    </row>
    <row r="685" spans="1:17" ht="25.15" customHeight="1">
      <c r="A685" s="14"/>
      <c r="B685" s="15" t="str">
        <f>'Obrazac kalkulacije'!$B$8</f>
        <v>Radna snaga:</v>
      </c>
      <c r="C685" s="15"/>
      <c r="D685" s="14"/>
      <c r="E685" s="14"/>
      <c r="F685" s="206"/>
      <c r="G685" s="16">
        <f>SUM(G686:G686)</f>
        <v>0</v>
      </c>
      <c r="K685" s="14"/>
      <c r="L685" s="15" t="str">
        <f>'Obrazac kalkulacije'!$B$8</f>
        <v>Radna snaga:</v>
      </c>
      <c r="M685" s="15"/>
      <c r="N685" s="14"/>
      <c r="O685" s="14"/>
      <c r="P685" s="206"/>
      <c r="Q685" s="16">
        <f>SUM(Q686:Q686)</f>
        <v>0</v>
      </c>
    </row>
    <row r="686" spans="1:17" ht="25.15" customHeight="1">
      <c r="A686" s="26"/>
      <c r="B686" s="791" t="s">
        <v>130</v>
      </c>
      <c r="C686" s="791"/>
      <c r="D686" s="27" t="s">
        <v>15</v>
      </c>
      <c r="E686" s="28">
        <v>0.11428571428571428</v>
      </c>
      <c r="F686" s="203">
        <f>SUMIF('Cjenik RS'!$C$11:$C$26,$B686,'Cjenik RS'!$D$11:$D$88)</f>
        <v>0</v>
      </c>
      <c r="G686" s="29">
        <f>+F686*E686</f>
        <v>0</v>
      </c>
      <c r="K686" s="26"/>
      <c r="L686" s="791" t="s">
        <v>130</v>
      </c>
      <c r="M686" s="791"/>
      <c r="N686" s="27" t="s">
        <v>15</v>
      </c>
      <c r="O686" s="28">
        <v>0.1</v>
      </c>
      <c r="P686" s="203">
        <f>SUMIF('Cjenik RS'!$C$11:$C$26,$B686,'Cjenik RS'!$D$11:$D$88)</f>
        <v>0</v>
      </c>
      <c r="Q686" s="29">
        <f>+P686*O686</f>
        <v>0</v>
      </c>
    </row>
    <row r="687" spans="1:17" ht="25.15" customHeight="1">
      <c r="A687" s="14"/>
      <c r="B687" s="15" t="str">
        <f>'Obrazac kalkulacije'!$B$11</f>
        <v>Vozila, strojevi i oprema:</v>
      </c>
      <c r="C687" s="15"/>
      <c r="D687" s="14"/>
      <c r="E687" s="14"/>
      <c r="F687" s="203"/>
      <c r="G687" s="16">
        <f>SUM(G688:G698)</f>
        <v>51.61785714285714</v>
      </c>
      <c r="K687" s="14"/>
      <c r="L687" s="15" t="str">
        <f>'Obrazac kalkulacije'!$B$11</f>
        <v>Vozila, strojevi i oprema:</v>
      </c>
      <c r="M687" s="15"/>
      <c r="N687" s="14"/>
      <c r="O687" s="14"/>
      <c r="P687" s="203"/>
      <c r="Q687" s="16">
        <f>SUM(Q688:Q698)</f>
        <v>45.387693749999997</v>
      </c>
    </row>
    <row r="688" spans="1:17" ht="25.15" customHeight="1">
      <c r="A688" s="49"/>
      <c r="B688" s="799" t="s">
        <v>144</v>
      </c>
      <c r="C688" s="799"/>
      <c r="D688" s="50" t="s">
        <v>15</v>
      </c>
      <c r="E688" s="83">
        <v>2.8571428571428571E-3</v>
      </c>
      <c r="F688" s="201">
        <f>SUMIF('Cjenik VSO'!$B$9:$B$85,$B688,'Cjenik VSO'!$C$9:$C$85)</f>
        <v>718.97</v>
      </c>
      <c r="G688" s="52">
        <f t="shared" ref="G688:G698" si="24">E688*F688</f>
        <v>2.0542000000000002</v>
      </c>
      <c r="K688" s="49"/>
      <c r="L688" s="800" t="s">
        <v>144</v>
      </c>
      <c r="M688" s="800"/>
      <c r="N688" s="50" t="s">
        <v>15</v>
      </c>
      <c r="O688" s="83">
        <v>2.5000000000000001E-3</v>
      </c>
      <c r="P688" s="201">
        <f>SUMIF('Cjenik VSO'!$B$9:$B$85,$B688,'Cjenik VSO'!$C$9:$C$85)</f>
        <v>718.97</v>
      </c>
      <c r="Q688" s="52">
        <f t="shared" ref="Q688:Q698" si="25">O688*P688</f>
        <v>1.7974250000000001</v>
      </c>
    </row>
    <row r="689" spans="1:17" ht="25.15" customHeight="1">
      <c r="A689" s="49"/>
      <c r="B689" s="799" t="s">
        <v>133</v>
      </c>
      <c r="C689" s="799"/>
      <c r="D689" s="50" t="s">
        <v>15</v>
      </c>
      <c r="E689" s="83">
        <v>5.7142857142857143E-3</v>
      </c>
      <c r="F689" s="201">
        <f>SUMIF('Cjenik VSO'!$B$9:$B$85,$B689,'Cjenik VSO'!$C$9:$C$85)</f>
        <v>328.73</v>
      </c>
      <c r="G689" s="52">
        <f t="shared" si="24"/>
        <v>1.878457142857143</v>
      </c>
      <c r="K689" s="49"/>
      <c r="L689" s="799" t="s">
        <v>133</v>
      </c>
      <c r="M689" s="799"/>
      <c r="N689" s="50" t="s">
        <v>15</v>
      </c>
      <c r="O689" s="83">
        <v>5.3749999999999996E-3</v>
      </c>
      <c r="P689" s="201">
        <f>SUMIF('Cjenik VSO'!$B$9:$B$85,$B689,'Cjenik VSO'!$C$9:$C$85)</f>
        <v>328.73</v>
      </c>
      <c r="Q689" s="52">
        <f t="shared" si="25"/>
        <v>1.7669237499999999</v>
      </c>
    </row>
    <row r="690" spans="1:17" ht="25.15" customHeight="1">
      <c r="A690" s="49"/>
      <c r="B690" s="799" t="s">
        <v>134</v>
      </c>
      <c r="C690" s="799"/>
      <c r="D690" s="50" t="s">
        <v>15</v>
      </c>
      <c r="E690" s="83">
        <v>5.7142857142857143E-3</v>
      </c>
      <c r="F690" s="201">
        <f>SUMIF('Cjenik VSO'!$B$9:$B$85,$B690,'Cjenik VSO'!$C$9:$C$85)</f>
        <v>62.67</v>
      </c>
      <c r="G690" s="52">
        <f t="shared" si="24"/>
        <v>0.35811428571428572</v>
      </c>
      <c r="K690" s="49"/>
      <c r="L690" s="799" t="s">
        <v>134</v>
      </c>
      <c r="M690" s="799"/>
      <c r="N690" s="50" t="s">
        <v>15</v>
      </c>
      <c r="O690" s="83">
        <v>5.3749999999999996E-3</v>
      </c>
      <c r="P690" s="201">
        <f>SUMIF('Cjenik VSO'!$B$9:$B$85,$B690,'Cjenik VSO'!$C$9:$C$85)</f>
        <v>62.67</v>
      </c>
      <c r="Q690" s="52">
        <f t="shared" si="25"/>
        <v>0.33685124999999999</v>
      </c>
    </row>
    <row r="691" spans="1:17" ht="25.15" customHeight="1">
      <c r="A691" s="49"/>
      <c r="B691" s="799" t="s">
        <v>142</v>
      </c>
      <c r="C691" s="799"/>
      <c r="D691" s="50" t="s">
        <v>15</v>
      </c>
      <c r="E691" s="83">
        <v>5.7142857142857143E-3</v>
      </c>
      <c r="F691" s="201">
        <f>SUMIF('Cjenik VSO'!$B$9:$B$85,$B691,'Cjenik VSO'!$C$9:$C$85)</f>
        <v>291.72000000000003</v>
      </c>
      <c r="G691" s="52">
        <f t="shared" si="24"/>
        <v>1.6669714285714288</v>
      </c>
      <c r="K691" s="49"/>
      <c r="L691" s="799" t="s">
        <v>142</v>
      </c>
      <c r="M691" s="799"/>
      <c r="N691" s="50" t="s">
        <v>15</v>
      </c>
      <c r="O691" s="83">
        <v>5.6249999999999998E-3</v>
      </c>
      <c r="P691" s="201">
        <f>SUMIF('Cjenik VSO'!$B$9:$B$85,$B691,'Cjenik VSO'!$C$9:$C$85)</f>
        <v>291.72000000000003</v>
      </c>
      <c r="Q691" s="52">
        <f t="shared" si="25"/>
        <v>1.6409250000000002</v>
      </c>
    </row>
    <row r="692" spans="1:17" ht="25.15" customHeight="1">
      <c r="A692" s="49"/>
      <c r="B692" s="799" t="s">
        <v>143</v>
      </c>
      <c r="C692" s="799"/>
      <c r="D692" s="50" t="s">
        <v>15</v>
      </c>
      <c r="E692" s="83">
        <v>2.5714285714285714E-2</v>
      </c>
      <c r="F692" s="201">
        <f>SUMIF('Cjenik VSO'!$B$9:$B$85,$B692,'Cjenik VSO'!$C$9:$C$85)</f>
        <v>355.64</v>
      </c>
      <c r="G692" s="52">
        <f t="shared" si="24"/>
        <v>9.1450285714285702</v>
      </c>
      <c r="K692" s="49"/>
      <c r="L692" s="799" t="s">
        <v>143</v>
      </c>
      <c r="M692" s="799"/>
      <c r="N692" s="50" t="s">
        <v>15</v>
      </c>
      <c r="O692" s="83">
        <v>2.2499999999999999E-2</v>
      </c>
      <c r="P692" s="201">
        <f>SUMIF('Cjenik VSO'!$B$9:$B$85,$B692,'Cjenik VSO'!$C$9:$C$85)</f>
        <v>355.64</v>
      </c>
      <c r="Q692" s="52">
        <f t="shared" si="25"/>
        <v>8.0018999999999991</v>
      </c>
    </row>
    <row r="693" spans="1:17" ht="25.15" customHeight="1">
      <c r="A693" s="49"/>
      <c r="B693" s="799" t="s">
        <v>165</v>
      </c>
      <c r="C693" s="799"/>
      <c r="D693" s="50" t="s">
        <v>15</v>
      </c>
      <c r="E693" s="83">
        <v>2.2857142857142857E-2</v>
      </c>
      <c r="F693" s="201">
        <f>SUMIF('Cjenik VSO'!$B$9:$B$85,$B693,'Cjenik VSO'!$C$9:$C$85)</f>
        <v>693.43</v>
      </c>
      <c r="G693" s="52">
        <f t="shared" si="24"/>
        <v>15.849828571428571</v>
      </c>
      <c r="K693" s="49"/>
      <c r="L693" s="799" t="s">
        <v>165</v>
      </c>
      <c r="M693" s="799"/>
      <c r="N693" s="50" t="s">
        <v>15</v>
      </c>
      <c r="O693" s="83">
        <v>0.02</v>
      </c>
      <c r="P693" s="201">
        <f>SUMIF('Cjenik VSO'!$B$9:$B$85,$B693,'Cjenik VSO'!$C$9:$C$85)</f>
        <v>693.43</v>
      </c>
      <c r="Q693" s="52">
        <f t="shared" si="25"/>
        <v>13.868599999999999</v>
      </c>
    </row>
    <row r="694" spans="1:17" ht="25.15" customHeight="1">
      <c r="A694" s="49"/>
      <c r="B694" s="799" t="s">
        <v>156</v>
      </c>
      <c r="C694" s="799"/>
      <c r="D694" s="50" t="s">
        <v>15</v>
      </c>
      <c r="E694" s="83">
        <v>1.1428571428571429E-2</v>
      </c>
      <c r="F694" s="201">
        <f>SUMIF('Cjenik VSO'!$B$9:$B$85,$B694,'Cjenik VSO'!$C$9:$C$85)</f>
        <v>240.85</v>
      </c>
      <c r="G694" s="52">
        <f t="shared" si="24"/>
        <v>2.7525714285714287</v>
      </c>
      <c r="K694" s="49"/>
      <c r="L694" s="799" t="s">
        <v>156</v>
      </c>
      <c r="M694" s="799"/>
      <c r="N694" s="50" t="s">
        <v>15</v>
      </c>
      <c r="O694" s="83">
        <v>0.01</v>
      </c>
      <c r="P694" s="201">
        <f>SUMIF('Cjenik VSO'!$B$9:$B$85,$B694,'Cjenik VSO'!$C$9:$C$85)</f>
        <v>240.85</v>
      </c>
      <c r="Q694" s="52">
        <f t="shared" si="25"/>
        <v>2.4085000000000001</v>
      </c>
    </row>
    <row r="695" spans="1:17" ht="25.15" customHeight="1">
      <c r="A695" s="49"/>
      <c r="B695" s="799" t="s">
        <v>148</v>
      </c>
      <c r="C695" s="799"/>
      <c r="D695" s="50" t="s">
        <v>15</v>
      </c>
      <c r="E695" s="83">
        <v>0.02</v>
      </c>
      <c r="F695" s="201">
        <f>SUMIF('Cjenik VSO'!$B$9:$B$85,$B695,'Cjenik VSO'!$C$9:$C$85)</f>
        <v>199.57</v>
      </c>
      <c r="G695" s="52">
        <f t="shared" si="24"/>
        <v>3.9914000000000001</v>
      </c>
      <c r="K695" s="49"/>
      <c r="L695" s="799" t="s">
        <v>148</v>
      </c>
      <c r="M695" s="799"/>
      <c r="N695" s="50" t="s">
        <v>15</v>
      </c>
      <c r="O695" s="83">
        <v>0.01</v>
      </c>
      <c r="P695" s="201">
        <f>SUMIF('Cjenik VSO'!$B$9:$B$85,$B695,'Cjenik VSO'!$C$9:$C$85)</f>
        <v>199.57</v>
      </c>
      <c r="Q695" s="52">
        <f t="shared" si="25"/>
        <v>1.9957</v>
      </c>
    </row>
    <row r="696" spans="1:17" ht="25.15" customHeight="1">
      <c r="A696" s="49"/>
      <c r="B696" s="799" t="s">
        <v>157</v>
      </c>
      <c r="C696" s="799"/>
      <c r="D696" s="50" t="s">
        <v>15</v>
      </c>
      <c r="E696" s="83">
        <v>0.04</v>
      </c>
      <c r="F696" s="201">
        <f>SUMIF('Cjenik VSO'!$B$9:$B$85,$B696,'Cjenik VSO'!$C$9:$C$85)</f>
        <v>269.36</v>
      </c>
      <c r="G696" s="52">
        <f t="shared" si="24"/>
        <v>10.7744</v>
      </c>
      <c r="K696" s="49"/>
      <c r="L696" s="799" t="s">
        <v>157</v>
      </c>
      <c r="M696" s="799"/>
      <c r="N696" s="50" t="s">
        <v>15</v>
      </c>
      <c r="O696" s="83">
        <v>0.04</v>
      </c>
      <c r="P696" s="201">
        <f>SUMIF('Cjenik VSO'!$B$9:$B$85,$B696,'Cjenik VSO'!$C$9:$C$85)</f>
        <v>269.36</v>
      </c>
      <c r="Q696" s="52">
        <f t="shared" si="25"/>
        <v>10.7744</v>
      </c>
    </row>
    <row r="697" spans="1:17" ht="25.15" customHeight="1">
      <c r="A697" s="49"/>
      <c r="B697" s="799" t="s">
        <v>149</v>
      </c>
      <c r="C697" s="799"/>
      <c r="D697" s="50" t="s">
        <v>15</v>
      </c>
      <c r="E697" s="83">
        <v>5.7142857142857143E-3</v>
      </c>
      <c r="F697" s="201">
        <f>SUMIF('Cjenik VSO'!$B$9:$B$85,$B697,'Cjenik VSO'!$C$9:$C$85)</f>
        <v>68.709999999999994</v>
      </c>
      <c r="G697" s="52">
        <f t="shared" si="24"/>
        <v>0.39262857142857138</v>
      </c>
      <c r="K697" s="49"/>
      <c r="L697" s="799" t="s">
        <v>149</v>
      </c>
      <c r="M697" s="799"/>
      <c r="N697" s="50" t="s">
        <v>15</v>
      </c>
      <c r="O697" s="83">
        <v>5.6249999999999998E-3</v>
      </c>
      <c r="P697" s="201">
        <f>SUMIF('Cjenik VSO'!$B$9:$B$85,$B697,'Cjenik VSO'!$C$9:$C$85)</f>
        <v>68.709999999999994</v>
      </c>
      <c r="Q697" s="52">
        <f t="shared" si="25"/>
        <v>0.38649374999999997</v>
      </c>
    </row>
    <row r="698" spans="1:17" ht="25.15" customHeight="1">
      <c r="A698" s="54"/>
      <c r="B698" s="804" t="s">
        <v>150</v>
      </c>
      <c r="C698" s="804"/>
      <c r="D698" s="55" t="s">
        <v>15</v>
      </c>
      <c r="E698" s="79">
        <v>2.5714285714285714E-2</v>
      </c>
      <c r="F698" s="202">
        <f>SUMIF('Cjenik VSO'!$B$9:$B$85,$B698,'Cjenik VSO'!$C$9:$C$85)</f>
        <v>107.11</v>
      </c>
      <c r="G698" s="57">
        <f t="shared" si="24"/>
        <v>2.754257142857143</v>
      </c>
      <c r="K698" s="54"/>
      <c r="L698" s="804" t="s">
        <v>150</v>
      </c>
      <c r="M698" s="804"/>
      <c r="N698" s="55" t="s">
        <v>15</v>
      </c>
      <c r="O698" s="79">
        <v>2.2499999999999999E-2</v>
      </c>
      <c r="P698" s="202">
        <f>SUMIF('Cjenik VSO'!$B$9:$B$85,$B698,'Cjenik VSO'!$C$9:$C$85)</f>
        <v>107.11</v>
      </c>
      <c r="Q698" s="57">
        <f t="shared" si="25"/>
        <v>2.4099749999999998</v>
      </c>
    </row>
    <row r="699" spans="1:17" ht="25.15" customHeight="1">
      <c r="A699" s="14"/>
      <c r="B699" s="802" t="str">
        <f>'Obrazac kalkulacije'!$B$15</f>
        <v>Materijali:</v>
      </c>
      <c r="C699" s="802"/>
      <c r="D699" s="14"/>
      <c r="E699" s="14"/>
      <c r="F699" s="203"/>
      <c r="G699" s="16">
        <f>SUM(G700:G701)</f>
        <v>14.24</v>
      </c>
      <c r="K699" s="14"/>
      <c r="L699" s="802" t="str">
        <f>'Obrazac kalkulacije'!$B$15</f>
        <v>Materijali:</v>
      </c>
      <c r="M699" s="802"/>
      <c r="N699" s="14"/>
      <c r="O699" s="14"/>
      <c r="P699" s="203"/>
      <c r="Q699" s="16">
        <f>SUM(Q700:Q701)</f>
        <v>14.24</v>
      </c>
    </row>
    <row r="700" spans="1:17" ht="25.15" customHeight="1">
      <c r="A700" s="70"/>
      <c r="B700" s="803" t="str">
        <f>'Cjenik M'!$B$15</f>
        <v>Brusni papir (platno) 60-150</v>
      </c>
      <c r="C700" s="803"/>
      <c r="D700" s="71" t="str">
        <f>'Cjenik M'!$C$15</f>
        <v>kom.</v>
      </c>
      <c r="E700" s="72">
        <v>1</v>
      </c>
      <c r="F700" s="213">
        <f>'Cjenik M'!$D$15</f>
        <v>4</v>
      </c>
      <c r="G700" s="73">
        <f>+F700*E700</f>
        <v>4</v>
      </c>
      <c r="K700" s="70"/>
      <c r="L700" s="814" t="str">
        <f>'Cjenik M'!$B$15</f>
        <v>Brusni papir (platno) 60-150</v>
      </c>
      <c r="M700" s="814"/>
      <c r="N700" s="71" t="str">
        <f>'Cjenik M'!$C$15</f>
        <v>kom.</v>
      </c>
      <c r="O700" s="72">
        <v>1</v>
      </c>
      <c r="P700" s="213">
        <f>'Cjenik M'!$D$15</f>
        <v>4</v>
      </c>
      <c r="Q700" s="73">
        <f>+P700*O700</f>
        <v>4</v>
      </c>
    </row>
    <row r="701" spans="1:17" ht="25.15" customHeight="1" thickBot="1">
      <c r="A701" s="67"/>
      <c r="B701" s="801" t="str">
        <f>'Cjenik M'!$B$21</f>
        <v>PVC koljeno 40x90</v>
      </c>
      <c r="C701" s="801"/>
      <c r="D701" s="60" t="str">
        <f>'Cjenik M'!$C$21</f>
        <v>kom.</v>
      </c>
      <c r="E701" s="74">
        <v>4</v>
      </c>
      <c r="F701" s="208">
        <f>'Cjenik M'!$D$21</f>
        <v>2.56</v>
      </c>
      <c r="G701" s="63">
        <f>+F701*E701</f>
        <v>10.24</v>
      </c>
      <c r="K701" s="67"/>
      <c r="L701" s="801" t="str">
        <f>'Cjenik M'!$B$21</f>
        <v>PVC koljeno 40x90</v>
      </c>
      <c r="M701" s="801"/>
      <c r="N701" s="60" t="str">
        <f>'Cjenik M'!$C$21</f>
        <v>kom.</v>
      </c>
      <c r="O701" s="74">
        <v>4</v>
      </c>
      <c r="P701" s="208">
        <f>'Cjenik M'!$D$21</f>
        <v>2.56</v>
      </c>
      <c r="Q701" s="63">
        <f>+P701*O701</f>
        <v>10.24</v>
      </c>
    </row>
    <row r="702" spans="1:17" ht="25.15" customHeight="1" thickTop="1" thickBot="1">
      <c r="B702" s="40"/>
      <c r="C702" s="20"/>
      <c r="D702" s="21"/>
      <c r="E702" s="118" t="str">
        <f>'Obrazac kalkulacije'!$E$18</f>
        <v>Ukupno (kn):</v>
      </c>
      <c r="F702" s="214"/>
      <c r="G702" s="22">
        <f>ROUND(SUM(G685+G687+G699),2)</f>
        <v>65.86</v>
      </c>
      <c r="H702" s="217"/>
      <c r="I702" s="602"/>
      <c r="J702" s="602"/>
      <c r="L702" s="40"/>
      <c r="M702" s="20"/>
      <c r="N702" s="21"/>
      <c r="O702" s="118" t="str">
        <f>'Obrazac kalkulacije'!$E$18</f>
        <v>Ukupno (kn):</v>
      </c>
      <c r="P702" s="214"/>
      <c r="Q702" s="22">
        <f>ROUND(SUM(Q685+Q687+Q699),2)</f>
        <v>59.63</v>
      </c>
    </row>
    <row r="703" spans="1:17" ht="25.15" customHeight="1" thickTop="1" thickBot="1">
      <c r="E703" s="23" t="str">
        <f>'Obrazac kalkulacije'!$E$19</f>
        <v>PDV:</v>
      </c>
      <c r="F703" s="207">
        <f>'Obrazac kalkulacije'!$F$19</f>
        <v>0.25</v>
      </c>
      <c r="G703" s="24">
        <f>G702*F703</f>
        <v>16.465</v>
      </c>
      <c r="H703" s="446"/>
      <c r="I703" s="446"/>
      <c r="J703" s="446"/>
      <c r="O703" s="23" t="str">
        <f>'Obrazac kalkulacije'!$E$19</f>
        <v>PDV:</v>
      </c>
      <c r="P703" s="207">
        <f>'Obrazac kalkulacije'!$F$19</f>
        <v>0.25</v>
      </c>
      <c r="Q703" s="24">
        <f>Q702*P703</f>
        <v>14.907500000000001</v>
      </c>
    </row>
    <row r="704" spans="1:17" ht="25.15" customHeight="1" thickTop="1" thickBot="1">
      <c r="E704" s="119" t="str">
        <f>'Obrazac kalkulacije'!$E$20</f>
        <v>Sveukupno (kn):</v>
      </c>
      <c r="F704" s="215"/>
      <c r="G704" s="24">
        <f>ROUND(SUM(G702:G703),2)</f>
        <v>82.33</v>
      </c>
      <c r="H704" s="447"/>
      <c r="I704" s="447"/>
      <c r="J704" s="447"/>
      <c r="O704" s="119" t="str">
        <f>'Obrazac kalkulacije'!$E$20</f>
        <v>Sveukupno (kn):</v>
      </c>
      <c r="P704" s="215"/>
      <c r="Q704" s="24">
        <f>ROUND(SUM(Q702:Q703),2)</f>
        <v>74.540000000000006</v>
      </c>
    </row>
    <row r="705" spans="1:17" ht="15" customHeight="1" thickTop="1"/>
    <row r="706" spans="1:17" ht="15" customHeight="1"/>
    <row r="707" spans="1:17" ht="15" customHeight="1"/>
    <row r="708" spans="1:17" ht="15" customHeight="1">
      <c r="C708" s="3" t="str">
        <f>'Obrazac kalkulacije'!$C$24</f>
        <v>IZVODITELJ:</v>
      </c>
      <c r="F708" s="780" t="str">
        <f>'Obrazac kalkulacije'!$F$24</f>
        <v>NARUČITELJ:</v>
      </c>
      <c r="G708" s="780"/>
      <c r="M708" s="3" t="str">
        <f>'Obrazac kalkulacije'!$C$24</f>
        <v>IZVODITELJ:</v>
      </c>
      <c r="P708" s="780" t="str">
        <f>'Obrazac kalkulacije'!$F$24</f>
        <v>NARUČITELJ:</v>
      </c>
      <c r="Q708" s="780"/>
    </row>
    <row r="709" spans="1:17" ht="25.15" customHeight="1">
      <c r="C709" s="3" t="str">
        <f>'Obrazac kalkulacije'!$C$25</f>
        <v>__________________</v>
      </c>
      <c r="F709" s="780" t="str">
        <f>'Obrazac kalkulacije'!$F$25</f>
        <v>___________________</v>
      </c>
      <c r="G709" s="780"/>
      <c r="M709" s="3" t="str">
        <f>'Obrazac kalkulacije'!$C$25</f>
        <v>__________________</v>
      </c>
      <c r="P709" s="780" t="str">
        <f>'Obrazac kalkulacije'!$F$25</f>
        <v>___________________</v>
      </c>
      <c r="Q709" s="780"/>
    </row>
    <row r="710" spans="1:17" ht="15" customHeight="1">
      <c r="G710" s="25"/>
      <c r="Q710" s="25"/>
    </row>
    <row r="711" spans="1:17" ht="15" customHeight="1"/>
    <row r="712" spans="1:17" ht="15" customHeight="1">
      <c r="A712" s="115"/>
      <c r="B712" s="116" t="s">
        <v>17</v>
      </c>
      <c r="C712" s="117" t="s">
        <v>18</v>
      </c>
      <c r="D712" s="117"/>
      <c r="E712" s="117"/>
      <c r="F712" s="211"/>
      <c r="G712" s="117"/>
      <c r="K712" s="115"/>
      <c r="L712" s="116" t="s">
        <v>17</v>
      </c>
      <c r="M712" s="117" t="s">
        <v>18</v>
      </c>
      <c r="N712" s="117"/>
      <c r="O712" s="117"/>
      <c r="P712" s="211"/>
      <c r="Q712" s="117"/>
    </row>
    <row r="713" spans="1:17" ht="15" customHeight="1">
      <c r="A713" s="31"/>
      <c r="B713" s="32" t="s">
        <v>22</v>
      </c>
      <c r="C713" s="7" t="s">
        <v>23</v>
      </c>
      <c r="D713" s="7"/>
      <c r="E713" s="7"/>
      <c r="F713" s="212"/>
      <c r="G713" s="7"/>
      <c r="K713" s="31"/>
      <c r="L713" s="32" t="s">
        <v>22</v>
      </c>
      <c r="M713" s="7" t="s">
        <v>23</v>
      </c>
      <c r="N713" s="7"/>
      <c r="O713" s="7"/>
      <c r="P713" s="212"/>
      <c r="Q713" s="7"/>
    </row>
    <row r="714" spans="1:17" ht="15" customHeight="1">
      <c r="A714" s="41"/>
      <c r="B714" s="42" t="s">
        <v>45</v>
      </c>
      <c r="C714" s="43" t="s">
        <v>46</v>
      </c>
      <c r="D714" s="43"/>
      <c r="E714" s="43"/>
      <c r="F714" s="209"/>
      <c r="G714" s="43"/>
      <c r="K714" s="41"/>
      <c r="L714" s="42" t="s">
        <v>45</v>
      </c>
      <c r="M714" s="43" t="s">
        <v>46</v>
      </c>
      <c r="N714" s="43"/>
      <c r="O714" s="43"/>
      <c r="P714" s="209"/>
      <c r="Q714" s="43"/>
    </row>
    <row r="715" spans="1:17" ht="150" customHeight="1">
      <c r="A715" s="33"/>
      <c r="B715" s="443" t="s">
        <v>50</v>
      </c>
      <c r="C715" s="792" t="s">
        <v>181</v>
      </c>
      <c r="D715" s="792"/>
      <c r="E715" s="792"/>
      <c r="F715" s="792"/>
      <c r="G715" s="792"/>
      <c r="K715" s="33"/>
      <c r="L715" s="34" t="s">
        <v>50</v>
      </c>
      <c r="M715" s="795" t="s">
        <v>182</v>
      </c>
      <c r="N715" s="795"/>
      <c r="O715" s="795"/>
      <c r="P715" s="795"/>
      <c r="Q715" s="795"/>
    </row>
    <row r="716" spans="1:17" ht="15" customHeight="1" thickBot="1"/>
    <row r="717" spans="1:17" ht="30" customHeight="1" thickTop="1" thickBot="1">
      <c r="A717" s="8"/>
      <c r="B717" s="797" t="str">
        <f>'Obrazac kalkulacije'!$B$6:$C$6</f>
        <v>Opis</v>
      </c>
      <c r="C717" s="797"/>
      <c r="D717" s="8" t="str">
        <f>'Obrazac kalkulacije'!$D$6</f>
        <v>Jed.
mjere</v>
      </c>
      <c r="E717" s="8" t="str">
        <f>'Obrazac kalkulacije'!$E$6</f>
        <v>Normativ</v>
      </c>
      <c r="F717" s="8" t="str">
        <f>'Obrazac kalkulacije'!$F$6</f>
        <v>Jed.
cijena</v>
      </c>
      <c r="G717" s="8" t="str">
        <f>'Obrazac kalkulacije'!$G$6</f>
        <v>Iznos</v>
      </c>
      <c r="K717" s="8"/>
      <c r="L717" s="797" t="e">
        <f>'Obrazac kalkulacije'!$B$6:$C$6</f>
        <v>#VALUE!</v>
      </c>
      <c r="M717" s="797"/>
      <c r="N717" s="8" t="str">
        <f>'Obrazac kalkulacije'!$D$6</f>
        <v>Jed.
mjere</v>
      </c>
      <c r="O717" s="8" t="str">
        <f>'Obrazac kalkulacije'!$E$6</f>
        <v>Normativ</v>
      </c>
      <c r="P717" s="8" t="str">
        <f>'Obrazac kalkulacije'!$F$6</f>
        <v>Jed.
cijena</v>
      </c>
      <c r="Q717" s="8" t="str">
        <f>'Obrazac kalkulacije'!$G$6</f>
        <v>Iznos</v>
      </c>
    </row>
    <row r="718" spans="1:17" ht="4.5" customHeight="1" thickTop="1">
      <c r="B718" s="35"/>
      <c r="C718" s="1"/>
      <c r="D718" s="9"/>
      <c r="E718" s="11"/>
      <c r="F718" s="205"/>
      <c r="G718" s="13"/>
      <c r="L718" s="35"/>
      <c r="M718" s="1"/>
      <c r="N718" s="9"/>
      <c r="O718" s="11"/>
      <c r="P718" s="205"/>
      <c r="Q718" s="13"/>
    </row>
    <row r="719" spans="1:17" ht="25.15" customHeight="1">
      <c r="A719" s="14"/>
      <c r="B719" s="15" t="str">
        <f>'Obrazac kalkulacije'!$B$8</f>
        <v>Radna snaga:</v>
      </c>
      <c r="C719" s="15"/>
      <c r="D719" s="14"/>
      <c r="E719" s="14"/>
      <c r="F719" s="206"/>
      <c r="G719" s="16">
        <f>SUM(G720:G720)</f>
        <v>0</v>
      </c>
      <c r="K719" s="14"/>
      <c r="L719" s="15" t="str">
        <f>'Obrazac kalkulacije'!$B$8</f>
        <v>Radna snaga:</v>
      </c>
      <c r="M719" s="15"/>
      <c r="N719" s="14"/>
      <c r="O719" s="14"/>
      <c r="P719" s="206"/>
      <c r="Q719" s="16">
        <f>SUM(Q720:Q720)</f>
        <v>0</v>
      </c>
    </row>
    <row r="720" spans="1:17" ht="25.15" customHeight="1">
      <c r="A720" s="26"/>
      <c r="B720" s="791" t="s">
        <v>130</v>
      </c>
      <c r="C720" s="791"/>
      <c r="D720" s="27" t="s">
        <v>15</v>
      </c>
      <c r="E720" s="28">
        <f>E686*0.1</f>
        <v>1.1428571428571429E-2</v>
      </c>
      <c r="F720" s="203">
        <f>SUMIF('Cjenik RS'!$C$11:$C$26,$B720,'Cjenik RS'!$D$11:$D$88)</f>
        <v>0</v>
      </c>
      <c r="G720" s="29">
        <f>+F720*E720</f>
        <v>0</v>
      </c>
      <c r="K720" s="26"/>
      <c r="L720" s="791" t="s">
        <v>130</v>
      </c>
      <c r="M720" s="791"/>
      <c r="N720" s="27" t="s">
        <v>15</v>
      </c>
      <c r="O720" s="28">
        <v>0.01</v>
      </c>
      <c r="P720" s="203">
        <f>SUMIF('Cjenik RS'!$C$11:$C$26,$B720,'Cjenik RS'!$D$11:$D$88)</f>
        <v>0</v>
      </c>
      <c r="Q720" s="29">
        <f>+P720*O720</f>
        <v>0</v>
      </c>
    </row>
    <row r="721" spans="1:17" ht="25.15" customHeight="1">
      <c r="A721" s="14"/>
      <c r="B721" s="15" t="str">
        <f>'Obrazac kalkulacije'!$B$11</f>
        <v>Vozila, strojevi i oprema:</v>
      </c>
      <c r="C721" s="15"/>
      <c r="D721" s="14"/>
      <c r="E721" s="14"/>
      <c r="F721" s="203"/>
      <c r="G721" s="16">
        <f>SUM(G722:G732)</f>
        <v>5.1617857142857142</v>
      </c>
      <c r="K721" s="14"/>
      <c r="L721" s="15" t="str">
        <f>'Obrazac kalkulacije'!$B$11</f>
        <v>Vozila, strojevi i oprema:</v>
      </c>
      <c r="M721" s="15"/>
      <c r="N721" s="14"/>
      <c r="O721" s="14"/>
      <c r="P721" s="203"/>
      <c r="Q721" s="16">
        <f>SUM(Q722:Q732)</f>
        <v>4.7280012100000004</v>
      </c>
    </row>
    <row r="722" spans="1:17" ht="25.15" customHeight="1">
      <c r="A722" s="49"/>
      <c r="B722" s="799" t="s">
        <v>144</v>
      </c>
      <c r="C722" s="799"/>
      <c r="D722" s="50" t="s">
        <v>15</v>
      </c>
      <c r="E722" s="28">
        <f t="shared" ref="E722:E732" si="26">E688*0.1</f>
        <v>2.8571428571428574E-4</v>
      </c>
      <c r="F722" s="201">
        <f>SUMIF('Cjenik VSO'!$B$9:$B$85,$B722,'Cjenik VSO'!$C$9:$C$85)</f>
        <v>718.97</v>
      </c>
      <c r="G722" s="52">
        <f t="shared" ref="G722:G732" si="27">E722*F722</f>
        <v>0.20542000000000002</v>
      </c>
      <c r="K722" s="49"/>
      <c r="L722" s="800" t="s">
        <v>144</v>
      </c>
      <c r="M722" s="800"/>
      <c r="N722" s="50" t="s">
        <v>15</v>
      </c>
      <c r="O722" s="83">
        <v>1.8799999999999999E-4</v>
      </c>
      <c r="P722" s="201">
        <f>SUMIF('Cjenik VSO'!$B$9:$B$85,$B722,'Cjenik VSO'!$C$9:$C$85)</f>
        <v>718.97</v>
      </c>
      <c r="Q722" s="52">
        <f t="shared" ref="Q722:Q732" si="28">O722*P722</f>
        <v>0.13516635999999999</v>
      </c>
    </row>
    <row r="723" spans="1:17" ht="25.15" customHeight="1">
      <c r="A723" s="49"/>
      <c r="B723" s="799" t="s">
        <v>133</v>
      </c>
      <c r="C723" s="799"/>
      <c r="D723" s="50" t="s">
        <v>15</v>
      </c>
      <c r="E723" s="28">
        <f t="shared" si="26"/>
        <v>5.7142857142857147E-4</v>
      </c>
      <c r="F723" s="201">
        <f>SUMIF('Cjenik VSO'!$B$9:$B$85,$B723,'Cjenik VSO'!$C$9:$C$85)</f>
        <v>328.73</v>
      </c>
      <c r="G723" s="52">
        <f t="shared" si="27"/>
        <v>0.18784571428571431</v>
      </c>
      <c r="K723" s="49"/>
      <c r="L723" s="799" t="s">
        <v>133</v>
      </c>
      <c r="M723" s="799"/>
      <c r="N723" s="50" t="s">
        <v>15</v>
      </c>
      <c r="O723" s="83">
        <v>5.04E-4</v>
      </c>
      <c r="P723" s="201">
        <f>SUMIF('Cjenik VSO'!$B$9:$B$85,$B723,'Cjenik VSO'!$C$9:$C$85)</f>
        <v>328.73</v>
      </c>
      <c r="Q723" s="52">
        <f t="shared" si="28"/>
        <v>0.16567992000000001</v>
      </c>
    </row>
    <row r="724" spans="1:17" ht="25.15" customHeight="1">
      <c r="A724" s="49"/>
      <c r="B724" s="799" t="s">
        <v>134</v>
      </c>
      <c r="C724" s="799"/>
      <c r="D724" s="50" t="s">
        <v>15</v>
      </c>
      <c r="E724" s="28">
        <f t="shared" si="26"/>
        <v>5.7142857142857147E-4</v>
      </c>
      <c r="F724" s="201">
        <f>SUMIF('Cjenik VSO'!$B$9:$B$85,$B724,'Cjenik VSO'!$C$9:$C$85)</f>
        <v>62.67</v>
      </c>
      <c r="G724" s="52">
        <f t="shared" si="27"/>
        <v>3.5811428571428577E-2</v>
      </c>
      <c r="K724" s="49"/>
      <c r="L724" s="799" t="s">
        <v>134</v>
      </c>
      <c r="M724" s="799"/>
      <c r="N724" s="50" t="s">
        <v>15</v>
      </c>
      <c r="O724" s="83">
        <v>5.04E-4</v>
      </c>
      <c r="P724" s="201">
        <f>SUMIF('Cjenik VSO'!$B$9:$B$85,$B724,'Cjenik VSO'!$C$9:$C$85)</f>
        <v>62.67</v>
      </c>
      <c r="Q724" s="52">
        <f t="shared" si="28"/>
        <v>3.1585679999999998E-2</v>
      </c>
    </row>
    <row r="725" spans="1:17" ht="25.15" customHeight="1">
      <c r="A725" s="49"/>
      <c r="B725" s="799" t="s">
        <v>142</v>
      </c>
      <c r="C725" s="799"/>
      <c r="D725" s="50" t="s">
        <v>15</v>
      </c>
      <c r="E725" s="28">
        <f t="shared" si="26"/>
        <v>5.7142857142857147E-4</v>
      </c>
      <c r="F725" s="201">
        <f>SUMIF('Cjenik VSO'!$B$9:$B$85,$B725,'Cjenik VSO'!$C$9:$C$85)</f>
        <v>291.72000000000003</v>
      </c>
      <c r="G725" s="52">
        <f t="shared" si="27"/>
        <v>0.16669714285714288</v>
      </c>
      <c r="K725" s="49"/>
      <c r="L725" s="799" t="s">
        <v>142</v>
      </c>
      <c r="M725" s="799"/>
      <c r="N725" s="50" t="s">
        <v>15</v>
      </c>
      <c r="O725" s="83">
        <v>4.75E-4</v>
      </c>
      <c r="P725" s="201">
        <f>SUMIF('Cjenik VSO'!$B$9:$B$85,$B725,'Cjenik VSO'!$C$9:$C$85)</f>
        <v>291.72000000000003</v>
      </c>
      <c r="Q725" s="52">
        <f t="shared" si="28"/>
        <v>0.13856700000000002</v>
      </c>
    </row>
    <row r="726" spans="1:17" ht="25.15" customHeight="1">
      <c r="A726" s="49"/>
      <c r="B726" s="799" t="s">
        <v>143</v>
      </c>
      <c r="C726" s="799"/>
      <c r="D726" s="50" t="s">
        <v>15</v>
      </c>
      <c r="E726" s="28">
        <f t="shared" si="26"/>
        <v>2.5714285714285717E-3</v>
      </c>
      <c r="F726" s="201">
        <f>SUMIF('Cjenik VSO'!$B$9:$B$85,$B726,'Cjenik VSO'!$C$9:$C$85)</f>
        <v>355.64</v>
      </c>
      <c r="G726" s="52">
        <f t="shared" si="27"/>
        <v>0.91450285714285717</v>
      </c>
      <c r="K726" s="49"/>
      <c r="L726" s="799" t="s">
        <v>143</v>
      </c>
      <c r="M726" s="799"/>
      <c r="N726" s="50" t="s">
        <v>15</v>
      </c>
      <c r="O726" s="83">
        <v>1.9E-3</v>
      </c>
      <c r="P726" s="201">
        <f>SUMIF('Cjenik VSO'!$B$9:$B$85,$B726,'Cjenik VSO'!$C$9:$C$85)</f>
        <v>355.64</v>
      </c>
      <c r="Q726" s="52">
        <f t="shared" si="28"/>
        <v>0.67571599999999998</v>
      </c>
    </row>
    <row r="727" spans="1:17" ht="25.15" customHeight="1">
      <c r="A727" s="49"/>
      <c r="B727" s="799" t="s">
        <v>165</v>
      </c>
      <c r="C727" s="799"/>
      <c r="D727" s="50" t="s">
        <v>15</v>
      </c>
      <c r="E727" s="28">
        <f t="shared" si="26"/>
        <v>2.2857142857142859E-3</v>
      </c>
      <c r="F727" s="201">
        <f>SUMIF('Cjenik VSO'!$B$9:$B$85,$B727,'Cjenik VSO'!$C$9:$C$85)</f>
        <v>693.43</v>
      </c>
      <c r="G727" s="52">
        <f t="shared" si="27"/>
        <v>1.5849828571428572</v>
      </c>
      <c r="K727" s="49"/>
      <c r="L727" s="799" t="s">
        <v>165</v>
      </c>
      <c r="M727" s="799"/>
      <c r="N727" s="50" t="s">
        <v>15</v>
      </c>
      <c r="O727" s="83">
        <v>2E-3</v>
      </c>
      <c r="P727" s="201">
        <f>SUMIF('Cjenik VSO'!$B$9:$B$85,$B727,'Cjenik VSO'!$C$9:$C$85)</f>
        <v>693.43</v>
      </c>
      <c r="Q727" s="52">
        <f t="shared" si="28"/>
        <v>1.38686</v>
      </c>
    </row>
    <row r="728" spans="1:17" ht="25.15" customHeight="1">
      <c r="A728" s="49"/>
      <c r="B728" s="799" t="s">
        <v>156</v>
      </c>
      <c r="C728" s="799"/>
      <c r="D728" s="50" t="s">
        <v>15</v>
      </c>
      <c r="E728" s="28">
        <f t="shared" si="26"/>
        <v>1.1428571428571429E-3</v>
      </c>
      <c r="F728" s="201">
        <f>SUMIF('Cjenik VSO'!$B$9:$B$85,$B728,'Cjenik VSO'!$C$9:$C$85)</f>
        <v>240.85</v>
      </c>
      <c r="G728" s="52">
        <f t="shared" si="27"/>
        <v>0.27525714285714287</v>
      </c>
      <c r="K728" s="49"/>
      <c r="L728" s="799" t="s">
        <v>156</v>
      </c>
      <c r="M728" s="799"/>
      <c r="N728" s="50" t="s">
        <v>15</v>
      </c>
      <c r="O728" s="83">
        <v>2E-3</v>
      </c>
      <c r="P728" s="201">
        <f>SUMIF('Cjenik VSO'!$B$9:$B$85,$B728,'Cjenik VSO'!$C$9:$C$85)</f>
        <v>240.85</v>
      </c>
      <c r="Q728" s="52">
        <f t="shared" si="28"/>
        <v>0.48170000000000002</v>
      </c>
    </row>
    <row r="729" spans="1:17" ht="25.15" customHeight="1">
      <c r="A729" s="49"/>
      <c r="B729" s="799" t="s">
        <v>148</v>
      </c>
      <c r="C729" s="799"/>
      <c r="D729" s="50" t="s">
        <v>15</v>
      </c>
      <c r="E729" s="28">
        <f t="shared" si="26"/>
        <v>2E-3</v>
      </c>
      <c r="F729" s="201">
        <f>SUMIF('Cjenik VSO'!$B$9:$B$85,$B729,'Cjenik VSO'!$C$9:$C$85)</f>
        <v>199.57</v>
      </c>
      <c r="G729" s="52">
        <f t="shared" si="27"/>
        <v>0.39913999999999999</v>
      </c>
      <c r="K729" s="49"/>
      <c r="L729" s="799" t="s">
        <v>148</v>
      </c>
      <c r="M729" s="799"/>
      <c r="N729" s="50" t="s">
        <v>15</v>
      </c>
      <c r="O729" s="83">
        <v>2E-3</v>
      </c>
      <c r="P729" s="201">
        <f>SUMIF('Cjenik VSO'!$B$9:$B$85,$B729,'Cjenik VSO'!$C$9:$C$85)</f>
        <v>199.57</v>
      </c>
      <c r="Q729" s="52">
        <f t="shared" si="28"/>
        <v>0.39913999999999999</v>
      </c>
    </row>
    <row r="730" spans="1:17" ht="25.15" customHeight="1">
      <c r="A730" s="49"/>
      <c r="B730" s="799" t="s">
        <v>157</v>
      </c>
      <c r="C730" s="799"/>
      <c r="D730" s="50" t="s">
        <v>15</v>
      </c>
      <c r="E730" s="28">
        <f t="shared" si="26"/>
        <v>4.0000000000000001E-3</v>
      </c>
      <c r="F730" s="201">
        <f>SUMIF('Cjenik VSO'!$B$9:$B$85,$B730,'Cjenik VSO'!$C$9:$C$85)</f>
        <v>269.36</v>
      </c>
      <c r="G730" s="52">
        <f t="shared" si="27"/>
        <v>1.0774400000000002</v>
      </c>
      <c r="K730" s="49"/>
      <c r="L730" s="799" t="s">
        <v>157</v>
      </c>
      <c r="M730" s="799"/>
      <c r="N730" s="50" t="s">
        <v>15</v>
      </c>
      <c r="O730" s="83">
        <v>4.0000000000000001E-3</v>
      </c>
      <c r="P730" s="201">
        <f>SUMIF('Cjenik VSO'!$B$9:$B$85,$B730,'Cjenik VSO'!$C$9:$C$85)</f>
        <v>269.36</v>
      </c>
      <c r="Q730" s="52">
        <f t="shared" si="28"/>
        <v>1.0774400000000002</v>
      </c>
    </row>
    <row r="731" spans="1:17" ht="25.15" customHeight="1">
      <c r="A731" s="49"/>
      <c r="B731" s="799" t="s">
        <v>149</v>
      </c>
      <c r="C731" s="799"/>
      <c r="D731" s="50" t="s">
        <v>15</v>
      </c>
      <c r="E731" s="28">
        <f t="shared" si="26"/>
        <v>5.7142857142857147E-4</v>
      </c>
      <c r="F731" s="201">
        <f>SUMIF('Cjenik VSO'!$B$9:$B$85,$B731,'Cjenik VSO'!$C$9:$C$85)</f>
        <v>68.709999999999994</v>
      </c>
      <c r="G731" s="52">
        <f t="shared" si="27"/>
        <v>3.9262857142857141E-2</v>
      </c>
      <c r="K731" s="49"/>
      <c r="L731" s="799" t="s">
        <v>149</v>
      </c>
      <c r="M731" s="799"/>
      <c r="N731" s="50" t="s">
        <v>15</v>
      </c>
      <c r="O731" s="83">
        <v>4.75E-4</v>
      </c>
      <c r="P731" s="201">
        <f>SUMIF('Cjenik VSO'!$B$9:$B$85,$B731,'Cjenik VSO'!$C$9:$C$85)</f>
        <v>68.709999999999994</v>
      </c>
      <c r="Q731" s="52">
        <f t="shared" si="28"/>
        <v>3.263725E-2</v>
      </c>
    </row>
    <row r="732" spans="1:17" ht="25.15" customHeight="1">
      <c r="A732" s="54"/>
      <c r="B732" s="804" t="s">
        <v>150</v>
      </c>
      <c r="C732" s="804"/>
      <c r="D732" s="55" t="s">
        <v>15</v>
      </c>
      <c r="E732" s="28">
        <f t="shared" si="26"/>
        <v>2.5714285714285717E-3</v>
      </c>
      <c r="F732" s="202">
        <f>SUMIF('Cjenik VSO'!$B$9:$B$85,$B732,'Cjenik VSO'!$C$9:$C$85)</f>
        <v>107.11</v>
      </c>
      <c r="G732" s="57">
        <f t="shared" si="27"/>
        <v>0.27542571428571433</v>
      </c>
      <c r="K732" s="54"/>
      <c r="L732" s="804" t="s">
        <v>150</v>
      </c>
      <c r="M732" s="804"/>
      <c r="N732" s="55" t="s">
        <v>15</v>
      </c>
      <c r="O732" s="79">
        <v>1.9E-3</v>
      </c>
      <c r="P732" s="202">
        <f>SUMIF('Cjenik VSO'!$B$9:$B$85,$B732,'Cjenik VSO'!$C$9:$C$85)</f>
        <v>107.11</v>
      </c>
      <c r="Q732" s="57">
        <f t="shared" si="28"/>
        <v>0.203509</v>
      </c>
    </row>
    <row r="733" spans="1:17" ht="25.15" customHeight="1">
      <c r="A733" s="14"/>
      <c r="B733" s="802" t="str">
        <f>'Obrazac kalkulacije'!$B$15</f>
        <v>Materijali:</v>
      </c>
      <c r="C733" s="802"/>
      <c r="D733" s="14"/>
      <c r="E733" s="14"/>
      <c r="F733" s="203"/>
      <c r="G733" s="16">
        <f>SUM(G734:G735)</f>
        <v>2.8600000000000003</v>
      </c>
      <c r="K733" s="14"/>
      <c r="L733" s="802" t="str">
        <f>'Obrazac kalkulacije'!$B$15</f>
        <v>Materijali:</v>
      </c>
      <c r="M733" s="802"/>
      <c r="N733" s="14"/>
      <c r="O733" s="14"/>
      <c r="P733" s="203"/>
      <c r="Q733" s="16">
        <f>SUM(Q734:Q735)</f>
        <v>2.8600000000000003</v>
      </c>
    </row>
    <row r="734" spans="1:17" ht="25.15" customHeight="1">
      <c r="A734" s="70"/>
      <c r="B734" s="803" t="str">
        <f>'Cjenik M'!$B$16</f>
        <v xml:space="preserve">Cement 25 kg </v>
      </c>
      <c r="C734" s="803"/>
      <c r="D734" s="71" t="str">
        <f>'Cjenik M'!$C$16</f>
        <v>vreća</v>
      </c>
      <c r="E734" s="72">
        <v>0.1</v>
      </c>
      <c r="F734" s="213">
        <f>'Cjenik M'!$D$16</f>
        <v>18.36</v>
      </c>
      <c r="G734" s="73">
        <f>+F734*E734</f>
        <v>1.8360000000000001</v>
      </c>
      <c r="K734" s="70"/>
      <c r="L734" s="814" t="str">
        <f>'Cjenik M'!$B$16</f>
        <v xml:space="preserve">Cement 25 kg </v>
      </c>
      <c r="M734" s="814"/>
      <c r="N734" s="71" t="str">
        <f>'Cjenik M'!$C$16</f>
        <v>vreća</v>
      </c>
      <c r="O734" s="72">
        <v>0.1</v>
      </c>
      <c r="P734" s="213">
        <f>'Cjenik M'!$D$16</f>
        <v>18.36</v>
      </c>
      <c r="Q734" s="73">
        <f>+P734*O734</f>
        <v>1.8360000000000001</v>
      </c>
    </row>
    <row r="735" spans="1:17" ht="25.15" customHeight="1" thickBot="1">
      <c r="A735" s="67"/>
      <c r="B735" s="801" t="str">
        <f>'Cjenik M'!$B$21</f>
        <v>PVC koljeno 40x90</v>
      </c>
      <c r="C735" s="801"/>
      <c r="D735" s="60" t="str">
        <f>'Cjenik M'!$C$21</f>
        <v>kom.</v>
      </c>
      <c r="E735" s="74">
        <v>0.4</v>
      </c>
      <c r="F735" s="208">
        <f>'Cjenik M'!$D$21</f>
        <v>2.56</v>
      </c>
      <c r="G735" s="63">
        <f>+F735*E735</f>
        <v>1.024</v>
      </c>
      <c r="K735" s="67"/>
      <c r="L735" s="801" t="str">
        <f>'Cjenik M'!$B$21</f>
        <v>PVC koljeno 40x90</v>
      </c>
      <c r="M735" s="801"/>
      <c r="N735" s="60" t="str">
        <f>'Cjenik M'!$C$21</f>
        <v>kom.</v>
      </c>
      <c r="O735" s="74">
        <v>0.4</v>
      </c>
      <c r="P735" s="208">
        <f>'Cjenik M'!$D$21</f>
        <v>2.56</v>
      </c>
      <c r="Q735" s="63">
        <f>+P735*O735</f>
        <v>1.024</v>
      </c>
    </row>
    <row r="736" spans="1:17" ht="25.15" customHeight="1" thickTop="1" thickBot="1">
      <c r="B736" s="40"/>
      <c r="C736" s="20"/>
      <c r="D736" s="21"/>
      <c r="E736" s="118" t="str">
        <f>'Obrazac kalkulacije'!$E$18</f>
        <v>Ukupno (kn):</v>
      </c>
      <c r="F736" s="214"/>
      <c r="G736" s="22">
        <f>SUM(G719+G721+G733)</f>
        <v>8.0217857142857145</v>
      </c>
      <c r="H736" s="217"/>
      <c r="I736" s="602"/>
      <c r="J736" s="602"/>
      <c r="L736" s="40"/>
      <c r="M736" s="20"/>
      <c r="N736" s="21"/>
      <c r="O736" s="118" t="str">
        <f>'Obrazac kalkulacije'!$E$18</f>
        <v>Ukupno (kn):</v>
      </c>
      <c r="P736" s="214"/>
      <c r="Q736" s="22">
        <f>ROUND(SUM(Q719+Q721+Q733),2)</f>
        <v>7.59</v>
      </c>
    </row>
    <row r="737" spans="1:17" ht="25.15" customHeight="1" thickTop="1" thickBot="1">
      <c r="E737" s="23" t="str">
        <f>'Obrazac kalkulacije'!$E$19</f>
        <v>PDV:</v>
      </c>
      <c r="F737" s="207">
        <f>'Obrazac kalkulacije'!$F$19</f>
        <v>0.25</v>
      </c>
      <c r="G737" s="24">
        <f>G736*F737</f>
        <v>2.0054464285714286</v>
      </c>
      <c r="H737" s="446"/>
      <c r="I737" s="446"/>
      <c r="J737" s="446"/>
      <c r="O737" s="23" t="str">
        <f>'Obrazac kalkulacije'!$E$19</f>
        <v>PDV:</v>
      </c>
      <c r="P737" s="207">
        <f>'Obrazac kalkulacije'!$F$19</f>
        <v>0.25</v>
      </c>
      <c r="Q737" s="24">
        <f>Q736*P737</f>
        <v>1.8975</v>
      </c>
    </row>
    <row r="738" spans="1:17" ht="25.15" customHeight="1" thickTop="1" thickBot="1">
      <c r="E738" s="119" t="str">
        <f>'Obrazac kalkulacije'!$E$20</f>
        <v>Sveukupno (kn):</v>
      </c>
      <c r="F738" s="215"/>
      <c r="G738" s="24">
        <f>ROUND(SUM(G736:G737),2)</f>
        <v>10.029999999999999</v>
      </c>
      <c r="H738" s="447"/>
      <c r="I738" s="447"/>
      <c r="J738" s="447"/>
      <c r="O738" s="119" t="str">
        <f>'Obrazac kalkulacije'!$E$20</f>
        <v>Sveukupno (kn):</v>
      </c>
      <c r="P738" s="215"/>
      <c r="Q738" s="24">
        <f>ROUND(SUM(Q736:Q737),2)</f>
        <v>9.49</v>
      </c>
    </row>
    <row r="739" spans="1:17" ht="15" customHeight="1" thickTop="1"/>
    <row r="740" spans="1:17" ht="15" customHeight="1"/>
    <row r="741" spans="1:17" ht="15" customHeight="1"/>
    <row r="742" spans="1:17" ht="15" customHeight="1">
      <c r="C742" s="3" t="str">
        <f>'Obrazac kalkulacije'!$C$24</f>
        <v>IZVODITELJ:</v>
      </c>
      <c r="F742" s="780" t="str">
        <f>'Obrazac kalkulacije'!$F$24</f>
        <v>NARUČITELJ:</v>
      </c>
      <c r="G742" s="780"/>
      <c r="M742" s="3" t="str">
        <f>'Obrazac kalkulacije'!$C$24</f>
        <v>IZVODITELJ:</v>
      </c>
      <c r="P742" s="780" t="str">
        <f>'Obrazac kalkulacije'!$F$24</f>
        <v>NARUČITELJ:</v>
      </c>
      <c r="Q742" s="780"/>
    </row>
    <row r="743" spans="1:17" ht="25.15" customHeight="1">
      <c r="C743" s="3" t="str">
        <f>'Obrazac kalkulacije'!$C$25</f>
        <v>__________________</v>
      </c>
      <c r="F743" s="780" t="str">
        <f>'Obrazac kalkulacije'!$F$25</f>
        <v>___________________</v>
      </c>
      <c r="G743" s="780"/>
      <c r="M743" s="3" t="str">
        <f>'Obrazac kalkulacije'!$C$25</f>
        <v>__________________</v>
      </c>
      <c r="P743" s="780" t="str">
        <f>'Obrazac kalkulacije'!$F$25</f>
        <v>___________________</v>
      </c>
      <c r="Q743" s="780"/>
    </row>
    <row r="744" spans="1:17" ht="15" customHeight="1">
      <c r="G744" s="25"/>
      <c r="Q744" s="25"/>
    </row>
    <row r="745" spans="1:17" ht="15" customHeight="1"/>
    <row r="746" spans="1:17" ht="15" customHeight="1">
      <c r="A746" s="115"/>
      <c r="B746" s="116" t="s">
        <v>17</v>
      </c>
      <c r="C746" s="117" t="s">
        <v>18</v>
      </c>
      <c r="D746" s="117"/>
      <c r="E746" s="117"/>
      <c r="F746" s="211"/>
      <c r="G746" s="117"/>
      <c r="K746" s="115"/>
      <c r="L746" s="116" t="s">
        <v>17</v>
      </c>
      <c r="M746" s="117" t="s">
        <v>18</v>
      </c>
      <c r="N746" s="117"/>
      <c r="O746" s="117"/>
      <c r="P746" s="211"/>
      <c r="Q746" s="117"/>
    </row>
    <row r="747" spans="1:17" ht="15" customHeight="1">
      <c r="A747" s="31"/>
      <c r="B747" s="32" t="s">
        <v>22</v>
      </c>
      <c r="C747" s="7" t="s">
        <v>23</v>
      </c>
      <c r="D747" s="7"/>
      <c r="E747" s="7"/>
      <c r="F747" s="212"/>
      <c r="G747" s="7"/>
      <c r="K747" s="31"/>
      <c r="L747" s="32" t="s">
        <v>22</v>
      </c>
      <c r="M747" s="7" t="s">
        <v>23</v>
      </c>
      <c r="N747" s="7"/>
      <c r="O747" s="7"/>
      <c r="P747" s="212"/>
      <c r="Q747" s="7"/>
    </row>
    <row r="748" spans="1:17" ht="15" customHeight="1">
      <c r="A748" s="41"/>
      <c r="B748" s="42" t="s">
        <v>45</v>
      </c>
      <c r="C748" s="43" t="s">
        <v>46</v>
      </c>
      <c r="D748" s="43"/>
      <c r="E748" s="43"/>
      <c r="F748" s="209"/>
      <c r="G748" s="43"/>
      <c r="K748" s="41"/>
      <c r="L748" s="42" t="s">
        <v>45</v>
      </c>
      <c r="M748" s="43" t="s">
        <v>46</v>
      </c>
      <c r="N748" s="43"/>
      <c r="O748" s="43"/>
      <c r="P748" s="209"/>
      <c r="Q748" s="43"/>
    </row>
    <row r="749" spans="1:17" ht="150" customHeight="1">
      <c r="A749" s="33"/>
      <c r="B749" s="443" t="s">
        <v>51</v>
      </c>
      <c r="C749" s="792" t="s">
        <v>183</v>
      </c>
      <c r="D749" s="792"/>
      <c r="E749" s="792"/>
      <c r="F749" s="792"/>
      <c r="G749" s="792"/>
      <c r="K749" s="33"/>
      <c r="L749" s="34" t="s">
        <v>51</v>
      </c>
      <c r="M749" s="795" t="s">
        <v>184</v>
      </c>
      <c r="N749" s="795"/>
      <c r="O749" s="795"/>
      <c r="P749" s="795"/>
      <c r="Q749" s="795"/>
    </row>
    <row r="750" spans="1:17" ht="15" customHeight="1" thickBot="1"/>
    <row r="751" spans="1:17" ht="30" customHeight="1" thickTop="1" thickBot="1">
      <c r="A751" s="8"/>
      <c r="B751" s="797" t="str">
        <f>'Obrazac kalkulacije'!$B$6:$C$6</f>
        <v>Opis</v>
      </c>
      <c r="C751" s="797"/>
      <c r="D751" s="8" t="str">
        <f>'Obrazac kalkulacije'!$D$6</f>
        <v>Jed.
mjere</v>
      </c>
      <c r="E751" s="8" t="str">
        <f>'Obrazac kalkulacije'!$E$6</f>
        <v>Normativ</v>
      </c>
      <c r="F751" s="8" t="str">
        <f>'Obrazac kalkulacije'!$F$6</f>
        <v>Jed.
cijena</v>
      </c>
      <c r="G751" s="8" t="str">
        <f>'Obrazac kalkulacije'!$G$6</f>
        <v>Iznos</v>
      </c>
      <c r="K751" s="8"/>
      <c r="L751" s="797" t="e">
        <f>'Obrazac kalkulacije'!$B$6:$C$6</f>
        <v>#VALUE!</v>
      </c>
      <c r="M751" s="797"/>
      <c r="N751" s="8" t="str">
        <f>'Obrazac kalkulacije'!$D$6</f>
        <v>Jed.
mjere</v>
      </c>
      <c r="O751" s="8" t="str">
        <f>'Obrazac kalkulacije'!$E$6</f>
        <v>Normativ</v>
      </c>
      <c r="P751" s="8" t="str">
        <f>'Obrazac kalkulacije'!$F$6</f>
        <v>Jed.
cijena</v>
      </c>
      <c r="Q751" s="8" t="str">
        <f>'Obrazac kalkulacije'!$G$6</f>
        <v>Iznos</v>
      </c>
    </row>
    <row r="752" spans="1:17" ht="4.5" customHeight="1" thickTop="1">
      <c r="B752" s="35"/>
      <c r="C752" s="1"/>
      <c r="D752" s="9"/>
      <c r="E752" s="11"/>
      <c r="F752" s="205"/>
      <c r="G752" s="13"/>
      <c r="L752" s="35"/>
      <c r="M752" s="1"/>
      <c r="N752" s="9"/>
      <c r="O752" s="11"/>
      <c r="P752" s="205"/>
      <c r="Q752" s="13"/>
    </row>
    <row r="753" spans="1:17" ht="25.15" customHeight="1">
      <c r="A753" s="14"/>
      <c r="B753" s="15" t="str">
        <f>'Obrazac kalkulacije'!$B$8</f>
        <v>Radna snaga:</v>
      </c>
      <c r="C753" s="15"/>
      <c r="D753" s="14"/>
      <c r="E753" s="14"/>
      <c r="F753" s="206"/>
      <c r="G753" s="16">
        <f>SUM(G754:G754)</f>
        <v>0</v>
      </c>
      <c r="K753" s="14"/>
      <c r="L753" s="15" t="str">
        <f>'Obrazac kalkulacije'!$B$8</f>
        <v>Radna snaga:</v>
      </c>
      <c r="M753" s="15"/>
      <c r="N753" s="14"/>
      <c r="O753" s="14"/>
      <c r="P753" s="206"/>
      <c r="Q753" s="16">
        <f>SUM(Q754:Q754)</f>
        <v>0</v>
      </c>
    </row>
    <row r="754" spans="1:17" ht="25.15" customHeight="1">
      <c r="A754" s="26"/>
      <c r="B754" s="791" t="s">
        <v>130</v>
      </c>
      <c r="C754" s="791"/>
      <c r="D754" s="27" t="s">
        <v>15</v>
      </c>
      <c r="E754" s="28">
        <f>E686*0.125</f>
        <v>1.4285714285714285E-2</v>
      </c>
      <c r="F754" s="203">
        <f>SUMIF('Cjenik RS'!$C$11:$C$26,$B754,'Cjenik RS'!$D$11:$D$88)</f>
        <v>0</v>
      </c>
      <c r="G754" s="29">
        <f>+F754*E754</f>
        <v>0</v>
      </c>
      <c r="K754" s="26"/>
      <c r="L754" s="791" t="s">
        <v>130</v>
      </c>
      <c r="M754" s="791"/>
      <c r="N754" s="27" t="s">
        <v>15</v>
      </c>
      <c r="O754" s="28">
        <v>1.2500000000000001E-2</v>
      </c>
      <c r="P754" s="203">
        <f>SUMIF('Cjenik RS'!$C$11:$C$26,$B754,'Cjenik RS'!$D$11:$D$88)</f>
        <v>0</v>
      </c>
      <c r="Q754" s="29">
        <f>+P754*O754</f>
        <v>0</v>
      </c>
    </row>
    <row r="755" spans="1:17" ht="25.15" customHeight="1">
      <c r="A755" s="14"/>
      <c r="B755" s="15" t="str">
        <f>'Obrazac kalkulacije'!$B$11</f>
        <v>Vozila, strojevi i oprema:</v>
      </c>
      <c r="C755" s="15"/>
      <c r="D755" s="14"/>
      <c r="E755" s="14"/>
      <c r="F755" s="203"/>
      <c r="G755" s="16">
        <f>SUM(G756:G766)</f>
        <v>6.4522321428571425</v>
      </c>
      <c r="K755" s="14"/>
      <c r="L755" s="15" t="str">
        <f>'Obrazac kalkulacije'!$B$11</f>
        <v>Vozila, strojevi i oprema:</v>
      </c>
      <c r="M755" s="15"/>
      <c r="N755" s="14"/>
      <c r="O755" s="14"/>
      <c r="P755" s="203"/>
      <c r="Q755" s="16">
        <f>SUM(Q756:Q766)</f>
        <v>5.909372649999999</v>
      </c>
    </row>
    <row r="756" spans="1:17" ht="25.15" customHeight="1">
      <c r="A756" s="49"/>
      <c r="B756" s="799" t="s">
        <v>144</v>
      </c>
      <c r="C756" s="799"/>
      <c r="D756" s="50" t="s">
        <v>15</v>
      </c>
      <c r="E756" s="28">
        <f t="shared" ref="E756:E766" si="29">E688*0.125</f>
        <v>3.5714285714285714E-4</v>
      </c>
      <c r="F756" s="201">
        <f>SUMIF('Cjenik VSO'!$B$9:$B$85,$B756,'Cjenik VSO'!$C$9:$C$85)</f>
        <v>718.97</v>
      </c>
      <c r="G756" s="52">
        <f t="shared" ref="G756:G766" si="30">E756*F756</f>
        <v>0.25677500000000003</v>
      </c>
      <c r="K756" s="49"/>
      <c r="L756" s="800" t="s">
        <v>144</v>
      </c>
      <c r="M756" s="800"/>
      <c r="N756" s="50" t="s">
        <v>15</v>
      </c>
      <c r="O756" s="83">
        <v>2.34E-4</v>
      </c>
      <c r="P756" s="201">
        <f>SUMIF('Cjenik VSO'!$B$9:$B$85,$B756,'Cjenik VSO'!$C$9:$C$85)</f>
        <v>718.97</v>
      </c>
      <c r="Q756" s="52">
        <f t="shared" ref="Q756:Q766" si="31">O756*P756</f>
        <v>0.16823898000000001</v>
      </c>
    </row>
    <row r="757" spans="1:17" ht="25.15" customHeight="1">
      <c r="A757" s="49"/>
      <c r="B757" s="799" t="s">
        <v>133</v>
      </c>
      <c r="C757" s="799"/>
      <c r="D757" s="50" t="s">
        <v>15</v>
      </c>
      <c r="E757" s="28">
        <f t="shared" si="29"/>
        <v>7.1428571428571429E-4</v>
      </c>
      <c r="F757" s="201">
        <f>SUMIF('Cjenik VSO'!$B$9:$B$85,$B757,'Cjenik VSO'!$C$9:$C$85)</f>
        <v>328.73</v>
      </c>
      <c r="G757" s="52">
        <f t="shared" si="30"/>
        <v>0.23480714285714288</v>
      </c>
      <c r="K757" s="49"/>
      <c r="L757" s="799" t="s">
        <v>133</v>
      </c>
      <c r="M757" s="799"/>
      <c r="N757" s="50" t="s">
        <v>15</v>
      </c>
      <c r="O757" s="83">
        <v>6.3000000000000003E-4</v>
      </c>
      <c r="P757" s="201">
        <f>SUMIF('Cjenik VSO'!$B$9:$B$85,$B757,'Cjenik VSO'!$C$9:$C$85)</f>
        <v>328.73</v>
      </c>
      <c r="Q757" s="52">
        <f t="shared" si="31"/>
        <v>0.20709990000000003</v>
      </c>
    </row>
    <row r="758" spans="1:17" ht="25.15" customHeight="1">
      <c r="A758" s="49"/>
      <c r="B758" s="799" t="s">
        <v>134</v>
      </c>
      <c r="C758" s="799"/>
      <c r="D758" s="50" t="s">
        <v>15</v>
      </c>
      <c r="E758" s="28">
        <f t="shared" si="29"/>
        <v>7.1428571428571429E-4</v>
      </c>
      <c r="F758" s="201">
        <f>SUMIF('Cjenik VSO'!$B$9:$B$85,$B758,'Cjenik VSO'!$C$9:$C$85)</f>
        <v>62.67</v>
      </c>
      <c r="G758" s="52">
        <f t="shared" si="30"/>
        <v>4.4764285714285715E-2</v>
      </c>
      <c r="K758" s="49"/>
      <c r="L758" s="799" t="s">
        <v>134</v>
      </c>
      <c r="M758" s="799"/>
      <c r="N758" s="50" t="s">
        <v>15</v>
      </c>
      <c r="O758" s="83">
        <v>6.3000000000000003E-4</v>
      </c>
      <c r="P758" s="201">
        <f>SUMIF('Cjenik VSO'!$B$9:$B$85,$B758,'Cjenik VSO'!$C$9:$C$85)</f>
        <v>62.67</v>
      </c>
      <c r="Q758" s="52">
        <f t="shared" si="31"/>
        <v>3.9482100000000006E-2</v>
      </c>
    </row>
    <row r="759" spans="1:17" ht="25.15" customHeight="1">
      <c r="A759" s="49"/>
      <c r="B759" s="799" t="s">
        <v>142</v>
      </c>
      <c r="C759" s="799"/>
      <c r="D759" s="50" t="s">
        <v>15</v>
      </c>
      <c r="E759" s="28">
        <f t="shared" si="29"/>
        <v>7.1428571428571429E-4</v>
      </c>
      <c r="F759" s="201">
        <f>SUMIF('Cjenik VSO'!$B$9:$B$85,$B759,'Cjenik VSO'!$C$9:$C$85)</f>
        <v>291.72000000000003</v>
      </c>
      <c r="G759" s="52">
        <f t="shared" si="30"/>
        <v>0.2083714285714286</v>
      </c>
      <c r="K759" s="49"/>
      <c r="L759" s="799" t="s">
        <v>142</v>
      </c>
      <c r="M759" s="799"/>
      <c r="N759" s="50" t="s">
        <v>15</v>
      </c>
      <c r="O759" s="83">
        <v>5.9400000000000002E-4</v>
      </c>
      <c r="P759" s="201">
        <f>SUMIF('Cjenik VSO'!$B$9:$B$85,$B759,'Cjenik VSO'!$C$9:$C$85)</f>
        <v>291.72000000000003</v>
      </c>
      <c r="Q759" s="52">
        <f t="shared" si="31"/>
        <v>0.17328168000000002</v>
      </c>
    </row>
    <row r="760" spans="1:17" ht="25.15" customHeight="1">
      <c r="A760" s="49"/>
      <c r="B760" s="799" t="s">
        <v>143</v>
      </c>
      <c r="C760" s="799"/>
      <c r="D760" s="50" t="s">
        <v>15</v>
      </c>
      <c r="E760" s="28">
        <f t="shared" si="29"/>
        <v>3.2142857142857142E-3</v>
      </c>
      <c r="F760" s="201">
        <f>SUMIF('Cjenik VSO'!$B$9:$B$85,$B760,'Cjenik VSO'!$C$9:$C$85)</f>
        <v>355.64</v>
      </c>
      <c r="G760" s="52">
        <f t="shared" si="30"/>
        <v>1.1431285714285713</v>
      </c>
      <c r="K760" s="49"/>
      <c r="L760" s="799" t="s">
        <v>143</v>
      </c>
      <c r="M760" s="799"/>
      <c r="N760" s="50" t="s">
        <v>15</v>
      </c>
      <c r="O760" s="83">
        <v>2.3749999999999999E-3</v>
      </c>
      <c r="P760" s="201">
        <f>SUMIF('Cjenik VSO'!$B$9:$B$85,$B760,'Cjenik VSO'!$C$9:$C$85)</f>
        <v>355.64</v>
      </c>
      <c r="Q760" s="52">
        <f t="shared" si="31"/>
        <v>0.84464499999999998</v>
      </c>
    </row>
    <row r="761" spans="1:17" ht="25.15" customHeight="1">
      <c r="A761" s="49"/>
      <c r="B761" s="799" t="s">
        <v>165</v>
      </c>
      <c r="C761" s="799"/>
      <c r="D761" s="50" t="s">
        <v>15</v>
      </c>
      <c r="E761" s="28">
        <f t="shared" si="29"/>
        <v>2.8571428571428571E-3</v>
      </c>
      <c r="F761" s="201">
        <f>SUMIF('Cjenik VSO'!$B$9:$B$85,$B761,'Cjenik VSO'!$C$9:$C$85)</f>
        <v>693.43</v>
      </c>
      <c r="G761" s="52">
        <f t="shared" si="30"/>
        <v>1.9812285714285713</v>
      </c>
      <c r="K761" s="49"/>
      <c r="L761" s="799" t="s">
        <v>165</v>
      </c>
      <c r="M761" s="799"/>
      <c r="N761" s="50" t="s">
        <v>15</v>
      </c>
      <c r="O761" s="83">
        <v>2.5000000000000001E-3</v>
      </c>
      <c r="P761" s="201">
        <f>SUMIF('Cjenik VSO'!$B$9:$B$85,$B761,'Cjenik VSO'!$C$9:$C$85)</f>
        <v>693.43</v>
      </c>
      <c r="Q761" s="52">
        <f t="shared" si="31"/>
        <v>1.7335749999999999</v>
      </c>
    </row>
    <row r="762" spans="1:17" ht="25.15" customHeight="1">
      <c r="A762" s="49"/>
      <c r="B762" s="799" t="s">
        <v>156</v>
      </c>
      <c r="C762" s="799"/>
      <c r="D762" s="50" t="s">
        <v>15</v>
      </c>
      <c r="E762" s="28">
        <f t="shared" si="29"/>
        <v>1.4285714285714286E-3</v>
      </c>
      <c r="F762" s="201">
        <f>SUMIF('Cjenik VSO'!$B$9:$B$85,$B762,'Cjenik VSO'!$C$9:$C$85)</f>
        <v>240.85</v>
      </c>
      <c r="G762" s="52">
        <f t="shared" si="30"/>
        <v>0.34407142857142858</v>
      </c>
      <c r="K762" s="49"/>
      <c r="L762" s="799" t="s">
        <v>156</v>
      </c>
      <c r="M762" s="799"/>
      <c r="N762" s="50" t="s">
        <v>15</v>
      </c>
      <c r="O762" s="83">
        <v>2.5000000000000001E-3</v>
      </c>
      <c r="P762" s="201">
        <f>SUMIF('Cjenik VSO'!$B$9:$B$85,$B762,'Cjenik VSO'!$C$9:$C$85)</f>
        <v>240.85</v>
      </c>
      <c r="Q762" s="52">
        <f t="shared" si="31"/>
        <v>0.60212500000000002</v>
      </c>
    </row>
    <row r="763" spans="1:17" ht="25.15" customHeight="1">
      <c r="A763" s="49"/>
      <c r="B763" s="799" t="s">
        <v>148</v>
      </c>
      <c r="C763" s="799"/>
      <c r="D763" s="50" t="s">
        <v>15</v>
      </c>
      <c r="E763" s="28">
        <f t="shared" si="29"/>
        <v>2.5000000000000001E-3</v>
      </c>
      <c r="F763" s="201">
        <f>SUMIF('Cjenik VSO'!$B$9:$B$85,$B763,'Cjenik VSO'!$C$9:$C$85)</f>
        <v>199.57</v>
      </c>
      <c r="G763" s="52">
        <f t="shared" si="30"/>
        <v>0.49892500000000001</v>
      </c>
      <c r="K763" s="49"/>
      <c r="L763" s="799" t="s">
        <v>148</v>
      </c>
      <c r="M763" s="799"/>
      <c r="N763" s="50" t="s">
        <v>15</v>
      </c>
      <c r="O763" s="83">
        <v>2.5000000000000001E-3</v>
      </c>
      <c r="P763" s="201">
        <f>SUMIF('Cjenik VSO'!$B$9:$B$85,$B763,'Cjenik VSO'!$C$9:$C$85)</f>
        <v>199.57</v>
      </c>
      <c r="Q763" s="52">
        <f t="shared" si="31"/>
        <v>0.49892500000000001</v>
      </c>
    </row>
    <row r="764" spans="1:17" ht="25.15" customHeight="1">
      <c r="A764" s="49"/>
      <c r="B764" s="799" t="s">
        <v>157</v>
      </c>
      <c r="C764" s="799"/>
      <c r="D764" s="50" t="s">
        <v>15</v>
      </c>
      <c r="E764" s="28">
        <f t="shared" si="29"/>
        <v>5.0000000000000001E-3</v>
      </c>
      <c r="F764" s="201">
        <f>SUMIF('Cjenik VSO'!$B$9:$B$85,$B764,'Cjenik VSO'!$C$9:$C$85)</f>
        <v>269.36</v>
      </c>
      <c r="G764" s="52">
        <f t="shared" si="30"/>
        <v>1.3468</v>
      </c>
      <c r="K764" s="49"/>
      <c r="L764" s="799" t="s">
        <v>157</v>
      </c>
      <c r="M764" s="799"/>
      <c r="N764" s="50" t="s">
        <v>15</v>
      </c>
      <c r="O764" s="83">
        <v>5.0000000000000001E-3</v>
      </c>
      <c r="P764" s="201">
        <f>SUMIF('Cjenik VSO'!$B$9:$B$85,$B764,'Cjenik VSO'!$C$9:$C$85)</f>
        <v>269.36</v>
      </c>
      <c r="Q764" s="52">
        <f t="shared" si="31"/>
        <v>1.3468</v>
      </c>
    </row>
    <row r="765" spans="1:17" ht="25.15" customHeight="1">
      <c r="A765" s="49"/>
      <c r="B765" s="799" t="s">
        <v>149</v>
      </c>
      <c r="C765" s="799"/>
      <c r="D765" s="50" t="s">
        <v>15</v>
      </c>
      <c r="E765" s="28">
        <f t="shared" si="29"/>
        <v>7.1428571428571429E-4</v>
      </c>
      <c r="F765" s="201">
        <f>SUMIF('Cjenik VSO'!$B$9:$B$85,$B765,'Cjenik VSO'!$C$9:$C$85)</f>
        <v>68.709999999999994</v>
      </c>
      <c r="G765" s="52">
        <f t="shared" si="30"/>
        <v>4.9078571428571423E-2</v>
      </c>
      <c r="K765" s="49"/>
      <c r="L765" s="799" t="s">
        <v>149</v>
      </c>
      <c r="M765" s="799"/>
      <c r="N765" s="50" t="s">
        <v>15</v>
      </c>
      <c r="O765" s="83">
        <v>5.9400000000000002E-4</v>
      </c>
      <c r="P765" s="201">
        <f>SUMIF('Cjenik VSO'!$B$9:$B$85,$B765,'Cjenik VSO'!$C$9:$C$85)</f>
        <v>68.709999999999994</v>
      </c>
      <c r="Q765" s="52">
        <f t="shared" si="31"/>
        <v>4.0813739999999994E-2</v>
      </c>
    </row>
    <row r="766" spans="1:17" ht="25.15" customHeight="1">
      <c r="A766" s="54"/>
      <c r="B766" s="804" t="s">
        <v>150</v>
      </c>
      <c r="C766" s="804"/>
      <c r="D766" s="55" t="s">
        <v>15</v>
      </c>
      <c r="E766" s="28">
        <f t="shared" si="29"/>
        <v>3.2142857142857142E-3</v>
      </c>
      <c r="F766" s="202">
        <f>SUMIF('Cjenik VSO'!$B$9:$B$85,$B766,'Cjenik VSO'!$C$9:$C$85)</f>
        <v>107.11</v>
      </c>
      <c r="G766" s="57">
        <f t="shared" si="30"/>
        <v>0.34428214285714287</v>
      </c>
      <c r="K766" s="54"/>
      <c r="L766" s="804" t="s">
        <v>150</v>
      </c>
      <c r="M766" s="804"/>
      <c r="N766" s="55" t="s">
        <v>15</v>
      </c>
      <c r="O766" s="79">
        <v>2.3749999999999999E-3</v>
      </c>
      <c r="P766" s="202">
        <f>SUMIF('Cjenik VSO'!$B$9:$B$85,$B766,'Cjenik VSO'!$C$9:$C$85)</f>
        <v>107.11</v>
      </c>
      <c r="Q766" s="57">
        <f t="shared" si="31"/>
        <v>0.25438624999999998</v>
      </c>
    </row>
    <row r="767" spans="1:17" ht="25.15" customHeight="1">
      <c r="A767" s="14"/>
      <c r="B767" s="802" t="str">
        <f>'Obrazac kalkulacije'!$B$15</f>
        <v>Materijali:</v>
      </c>
      <c r="C767" s="802"/>
      <c r="D767" s="14"/>
      <c r="E767" s="14"/>
      <c r="F767" s="203"/>
      <c r="G767" s="16">
        <f>SUM(G768:G769)</f>
        <v>9.5240000000000009</v>
      </c>
      <c r="K767" s="14"/>
      <c r="L767" s="802" t="str">
        <f>'Obrazac kalkulacije'!$B$15</f>
        <v>Materijali:</v>
      </c>
      <c r="M767" s="802"/>
      <c r="N767" s="14"/>
      <c r="O767" s="14"/>
      <c r="P767" s="203"/>
      <c r="Q767" s="16">
        <f>SUM(Q768:Q769)</f>
        <v>9.5240000000000009</v>
      </c>
    </row>
    <row r="768" spans="1:17" ht="25.15" customHeight="1">
      <c r="A768" s="70"/>
      <c r="B768" s="803" t="str">
        <f>'Cjenik M'!$B$17</f>
        <v>Frakcija 0-4 mm</v>
      </c>
      <c r="C768" s="803"/>
      <c r="D768" s="71" t="str">
        <f>'Cjenik M'!$C$17</f>
        <v>t</v>
      </c>
      <c r="E768" s="72">
        <v>0.125</v>
      </c>
      <c r="F768" s="213">
        <f>'Cjenik M'!$D$17</f>
        <v>68</v>
      </c>
      <c r="G768" s="73">
        <f>+F768*E768</f>
        <v>8.5</v>
      </c>
      <c r="K768" s="70"/>
      <c r="L768" s="814" t="str">
        <f>'Cjenik M'!$B$17</f>
        <v>Frakcija 0-4 mm</v>
      </c>
      <c r="M768" s="814"/>
      <c r="N768" s="71" t="str">
        <f>'Cjenik M'!$C$17</f>
        <v>t</v>
      </c>
      <c r="O768" s="72">
        <v>0.125</v>
      </c>
      <c r="P768" s="213">
        <f>'Cjenik M'!$D$17</f>
        <v>68</v>
      </c>
      <c r="Q768" s="73">
        <f>+P768*O768</f>
        <v>8.5</v>
      </c>
    </row>
    <row r="769" spans="1:17" ht="25.15" customHeight="1" thickBot="1">
      <c r="A769" s="67"/>
      <c r="B769" s="801" t="str">
        <f>'Cjenik M'!$B$21</f>
        <v>PVC koljeno 40x90</v>
      </c>
      <c r="C769" s="801"/>
      <c r="D769" s="60" t="str">
        <f>'Cjenik M'!$C$21</f>
        <v>kom.</v>
      </c>
      <c r="E769" s="74">
        <v>0.4</v>
      </c>
      <c r="F769" s="208">
        <f>'Cjenik M'!$D$21</f>
        <v>2.56</v>
      </c>
      <c r="G769" s="63">
        <f>+F769*E769</f>
        <v>1.024</v>
      </c>
      <c r="K769" s="67"/>
      <c r="L769" s="801" t="str">
        <f>'Cjenik M'!$B$21</f>
        <v>PVC koljeno 40x90</v>
      </c>
      <c r="M769" s="801"/>
      <c r="N769" s="60" t="str">
        <f>'Cjenik M'!$C$21</f>
        <v>kom.</v>
      </c>
      <c r="O769" s="74">
        <v>0.4</v>
      </c>
      <c r="P769" s="208">
        <f>'Cjenik M'!$D$21</f>
        <v>2.56</v>
      </c>
      <c r="Q769" s="63">
        <f>+P769*O769</f>
        <v>1.024</v>
      </c>
    </row>
    <row r="770" spans="1:17" ht="25.15" customHeight="1" thickTop="1" thickBot="1">
      <c r="B770" s="40"/>
      <c r="C770" s="20"/>
      <c r="D770" s="21"/>
      <c r="E770" s="118" t="str">
        <f>'Obrazac kalkulacije'!$E$18</f>
        <v>Ukupno (kn):</v>
      </c>
      <c r="F770" s="214"/>
      <c r="G770" s="22">
        <f>ROUND(SUM(G753+G755+G767),2)</f>
        <v>15.98</v>
      </c>
      <c r="H770" s="217"/>
      <c r="I770" s="602"/>
      <c r="J770" s="602"/>
      <c r="L770" s="40"/>
      <c r="M770" s="20"/>
      <c r="N770" s="21"/>
      <c r="O770" s="118" t="str">
        <f>'Obrazac kalkulacije'!$E$18</f>
        <v>Ukupno (kn):</v>
      </c>
      <c r="P770" s="214"/>
      <c r="Q770" s="22">
        <f>ROUND(SUM(Q753+Q755+Q767),2)</f>
        <v>15.43</v>
      </c>
    </row>
    <row r="771" spans="1:17" ht="25.15" customHeight="1" thickTop="1" thickBot="1">
      <c r="E771" s="23" t="str">
        <f>'Obrazac kalkulacije'!$E$19</f>
        <v>PDV:</v>
      </c>
      <c r="F771" s="207">
        <f>'Obrazac kalkulacije'!$F$19</f>
        <v>0.25</v>
      </c>
      <c r="G771" s="24">
        <f>G770*F771</f>
        <v>3.9950000000000001</v>
      </c>
      <c r="H771" s="446"/>
      <c r="I771" s="446"/>
      <c r="J771" s="446"/>
      <c r="O771" s="23" t="str">
        <f>'Obrazac kalkulacije'!$E$19</f>
        <v>PDV:</v>
      </c>
      <c r="P771" s="207">
        <f>'Obrazac kalkulacije'!$F$19</f>
        <v>0.25</v>
      </c>
      <c r="Q771" s="24">
        <f>Q770*P771</f>
        <v>3.8574999999999999</v>
      </c>
    </row>
    <row r="772" spans="1:17" ht="25.15" customHeight="1" thickTop="1" thickBot="1">
      <c r="E772" s="119" t="str">
        <f>'Obrazac kalkulacije'!$E$20</f>
        <v>Sveukupno (kn):</v>
      </c>
      <c r="F772" s="215"/>
      <c r="G772" s="24">
        <f>ROUND(SUM(G770:G771),2)</f>
        <v>19.98</v>
      </c>
      <c r="H772" s="447"/>
      <c r="I772" s="447"/>
      <c r="J772" s="447"/>
      <c r="O772" s="119" t="str">
        <f>'Obrazac kalkulacije'!$E$20</f>
        <v>Sveukupno (kn):</v>
      </c>
      <c r="P772" s="215"/>
      <c r="Q772" s="24">
        <f>ROUND(SUM(Q770:Q771),2)</f>
        <v>19.29</v>
      </c>
    </row>
    <row r="773" spans="1:17" ht="15" customHeight="1" thickTop="1"/>
    <row r="774" spans="1:17" ht="15" customHeight="1"/>
    <row r="775" spans="1:17" ht="15" customHeight="1"/>
    <row r="776" spans="1:17" ht="15" customHeight="1">
      <c r="C776" s="3" t="str">
        <f>'Obrazac kalkulacije'!$C$24</f>
        <v>IZVODITELJ:</v>
      </c>
      <c r="F776" s="780" t="str">
        <f>'Obrazac kalkulacije'!$F$24</f>
        <v>NARUČITELJ:</v>
      </c>
      <c r="G776" s="780"/>
      <c r="M776" s="3" t="str">
        <f>'Obrazac kalkulacije'!$C$24</f>
        <v>IZVODITELJ:</v>
      </c>
      <c r="P776" s="780" t="str">
        <f>'Obrazac kalkulacije'!$F$24</f>
        <v>NARUČITELJ:</v>
      </c>
      <c r="Q776" s="780"/>
    </row>
    <row r="777" spans="1:17" ht="25.15" customHeight="1">
      <c r="C777" s="3" t="str">
        <f>'Obrazac kalkulacije'!$C$25</f>
        <v>__________________</v>
      </c>
      <c r="F777" s="780" t="str">
        <f>'Obrazac kalkulacije'!$F$25</f>
        <v>___________________</v>
      </c>
      <c r="G777" s="780"/>
      <c r="M777" s="3" t="str">
        <f>'Obrazac kalkulacije'!$C$25</f>
        <v>__________________</v>
      </c>
      <c r="P777" s="780" t="str">
        <f>'Obrazac kalkulacije'!$F$25</f>
        <v>___________________</v>
      </c>
      <c r="Q777" s="780"/>
    </row>
    <row r="778" spans="1:17" ht="15" customHeight="1">
      <c r="G778" s="25"/>
      <c r="Q778" s="25"/>
    </row>
    <row r="779" spans="1:17" ht="15" customHeight="1"/>
    <row r="780" spans="1:17" ht="15" customHeight="1">
      <c r="A780" s="115"/>
      <c r="B780" s="116" t="s">
        <v>17</v>
      </c>
      <c r="C780" s="117" t="s">
        <v>18</v>
      </c>
      <c r="D780" s="117"/>
      <c r="E780" s="117"/>
      <c r="F780" s="211"/>
      <c r="G780" s="117"/>
      <c r="K780" s="115"/>
      <c r="L780" s="116" t="s">
        <v>17</v>
      </c>
      <c r="M780" s="117" t="s">
        <v>18</v>
      </c>
      <c r="N780" s="117"/>
      <c r="O780" s="117"/>
      <c r="P780" s="211"/>
      <c r="Q780" s="117"/>
    </row>
    <row r="781" spans="1:17" ht="15" customHeight="1">
      <c r="A781" s="31"/>
      <c r="B781" s="32" t="s">
        <v>22</v>
      </c>
      <c r="C781" s="7" t="s">
        <v>23</v>
      </c>
      <c r="D781" s="7"/>
      <c r="E781" s="7"/>
      <c r="F781" s="212"/>
      <c r="G781" s="7"/>
      <c r="K781" s="31"/>
      <c r="L781" s="32" t="s">
        <v>22</v>
      </c>
      <c r="M781" s="7" t="s">
        <v>23</v>
      </c>
      <c r="N781" s="7"/>
      <c r="O781" s="7"/>
      <c r="P781" s="212"/>
      <c r="Q781" s="7"/>
    </row>
    <row r="782" spans="1:17" ht="15" customHeight="1">
      <c r="A782" s="41"/>
      <c r="B782" s="42" t="s">
        <v>45</v>
      </c>
      <c r="C782" s="43" t="s">
        <v>46</v>
      </c>
      <c r="D782" s="43"/>
      <c r="E782" s="43"/>
      <c r="F782" s="209"/>
      <c r="G782" s="43"/>
      <c r="K782" s="41"/>
      <c r="L782" s="42" t="s">
        <v>45</v>
      </c>
      <c r="M782" s="43" t="s">
        <v>46</v>
      </c>
      <c r="N782" s="43"/>
      <c r="O782" s="43"/>
      <c r="P782" s="209"/>
      <c r="Q782" s="43"/>
    </row>
    <row r="783" spans="1:17" ht="150" customHeight="1">
      <c r="A783" s="33"/>
      <c r="B783" s="443" t="s">
        <v>52</v>
      </c>
      <c r="C783" s="792" t="s">
        <v>185</v>
      </c>
      <c r="D783" s="792"/>
      <c r="E783" s="792"/>
      <c r="F783" s="792"/>
      <c r="G783" s="792"/>
      <c r="K783" s="33"/>
      <c r="L783" s="34" t="s">
        <v>52</v>
      </c>
      <c r="M783" s="795" t="s">
        <v>186</v>
      </c>
      <c r="N783" s="795"/>
      <c r="O783" s="795"/>
      <c r="P783" s="795"/>
      <c r="Q783" s="795"/>
    </row>
    <row r="784" spans="1:17" ht="15" customHeight="1" thickBot="1"/>
    <row r="785" spans="1:17" ht="30" customHeight="1" thickTop="1" thickBot="1">
      <c r="A785" s="8"/>
      <c r="B785" s="797" t="str">
        <f>'Obrazac kalkulacije'!$B$6:$C$6</f>
        <v>Opis</v>
      </c>
      <c r="C785" s="797"/>
      <c r="D785" s="8" t="str">
        <f>'Obrazac kalkulacije'!$D$6</f>
        <v>Jed.
mjere</v>
      </c>
      <c r="E785" s="8" t="str">
        <f>'Obrazac kalkulacije'!$E$6</f>
        <v>Normativ</v>
      </c>
      <c r="F785" s="8" t="str">
        <f>'Obrazac kalkulacije'!$F$6</f>
        <v>Jed.
cijena</v>
      </c>
      <c r="G785" s="8" t="str">
        <f>'Obrazac kalkulacije'!$G$6</f>
        <v>Iznos</v>
      </c>
      <c r="K785" s="8"/>
      <c r="L785" s="797" t="e">
        <f>'Obrazac kalkulacije'!$B$6:$C$6</f>
        <v>#VALUE!</v>
      </c>
      <c r="M785" s="797"/>
      <c r="N785" s="8" t="str">
        <f>'Obrazac kalkulacije'!$D$6</f>
        <v>Jed.
mjere</v>
      </c>
      <c r="O785" s="8" t="str">
        <f>'Obrazac kalkulacije'!$E$6</f>
        <v>Normativ</v>
      </c>
      <c r="P785" s="8" t="str">
        <f>'Obrazac kalkulacije'!$F$6</f>
        <v>Jed.
cijena</v>
      </c>
      <c r="Q785" s="8" t="str">
        <f>'Obrazac kalkulacije'!$G$6</f>
        <v>Iznos</v>
      </c>
    </row>
    <row r="786" spans="1:17" ht="4.5" customHeight="1" thickTop="1">
      <c r="B786" s="35"/>
      <c r="C786" s="1"/>
      <c r="D786" s="9"/>
      <c r="E786" s="11"/>
      <c r="F786" s="205"/>
      <c r="G786" s="13"/>
      <c r="L786" s="35"/>
      <c r="M786" s="1"/>
      <c r="N786" s="9"/>
      <c r="O786" s="11"/>
      <c r="P786" s="205"/>
      <c r="Q786" s="13"/>
    </row>
    <row r="787" spans="1:17" ht="25.15" customHeight="1">
      <c r="A787" s="14"/>
      <c r="B787" s="15" t="str">
        <f>'Obrazac kalkulacije'!$B$8</f>
        <v>Radna snaga:</v>
      </c>
      <c r="C787" s="15"/>
      <c r="D787" s="14"/>
      <c r="E787" s="14"/>
      <c r="F787" s="206"/>
      <c r="G787" s="16">
        <f>SUM(G788:G788)</f>
        <v>0</v>
      </c>
      <c r="K787" s="14"/>
      <c r="L787" s="15" t="str">
        <f>'Obrazac kalkulacije'!$B$8</f>
        <v>Radna snaga:</v>
      </c>
      <c r="M787" s="15"/>
      <c r="N787" s="14"/>
      <c r="O787" s="14"/>
      <c r="P787" s="206"/>
      <c r="Q787" s="16">
        <f>SUM(Q788:Q788)</f>
        <v>0</v>
      </c>
    </row>
    <row r="788" spans="1:17" ht="25.15" customHeight="1">
      <c r="A788" s="26"/>
      <c r="B788" s="791" t="s">
        <v>130</v>
      </c>
      <c r="C788" s="791"/>
      <c r="D788" s="27" t="s">
        <v>15</v>
      </c>
      <c r="E788" s="28">
        <v>1.1428571428571429E-2</v>
      </c>
      <c r="F788" s="203">
        <f>SUMIF('Cjenik RS'!$C$11:$C$26,$B788,'Cjenik RS'!$D$11:$D$88)</f>
        <v>0</v>
      </c>
      <c r="G788" s="29">
        <f>+F788*E788</f>
        <v>0</v>
      </c>
      <c r="K788" s="26"/>
      <c r="L788" s="791" t="s">
        <v>130</v>
      </c>
      <c r="M788" s="791"/>
      <c r="N788" s="27" t="s">
        <v>15</v>
      </c>
      <c r="O788" s="28">
        <v>0.01</v>
      </c>
      <c r="P788" s="203">
        <f>SUMIF('Cjenik RS'!$C$11:$C$26,$B788,'Cjenik RS'!$D$11:$D$88)</f>
        <v>0</v>
      </c>
      <c r="Q788" s="29">
        <f>+P788*O788</f>
        <v>0</v>
      </c>
    </row>
    <row r="789" spans="1:17" ht="25.15" customHeight="1">
      <c r="A789" s="14"/>
      <c r="B789" s="15" t="str">
        <f>'Obrazac kalkulacije'!$B$11</f>
        <v>Vozila, strojevi i oprema:</v>
      </c>
      <c r="C789" s="15"/>
      <c r="D789" s="14"/>
      <c r="E789" s="14"/>
      <c r="F789" s="203"/>
      <c r="G789" s="16">
        <f>SUM(G790:G800)</f>
        <v>5.1617857142857142</v>
      </c>
      <c r="K789" s="14"/>
      <c r="L789" s="15" t="str">
        <f>'Obrazac kalkulacije'!$B$11</f>
        <v>Vozila, strojevi i oprema:</v>
      </c>
      <c r="M789" s="15"/>
      <c r="N789" s="14"/>
      <c r="O789" s="14"/>
      <c r="P789" s="203"/>
      <c r="Q789" s="16">
        <f>SUM(Q790:Q800)</f>
        <v>4.7280012100000004</v>
      </c>
    </row>
    <row r="790" spans="1:17" ht="25.15" customHeight="1">
      <c r="A790" s="49"/>
      <c r="B790" s="799" t="s">
        <v>144</v>
      </c>
      <c r="C790" s="799"/>
      <c r="D790" s="50" t="s">
        <v>15</v>
      </c>
      <c r="E790" s="83">
        <v>2.8571428571428574E-4</v>
      </c>
      <c r="F790" s="201">
        <f>SUMIF('Cjenik VSO'!$B$9:$B$85,$B790,'Cjenik VSO'!$C$9:$C$85)</f>
        <v>718.97</v>
      </c>
      <c r="G790" s="52">
        <f t="shared" ref="G790:G800" si="32">E790*F790</f>
        <v>0.20542000000000002</v>
      </c>
      <c r="K790" s="49"/>
      <c r="L790" s="800" t="s">
        <v>144</v>
      </c>
      <c r="M790" s="800"/>
      <c r="N790" s="50" t="s">
        <v>15</v>
      </c>
      <c r="O790" s="83">
        <v>1.8799999999999999E-4</v>
      </c>
      <c r="P790" s="201">
        <f>SUMIF('Cjenik VSO'!$B$9:$B$85,$B790,'Cjenik VSO'!$C$9:$C$85)</f>
        <v>718.97</v>
      </c>
      <c r="Q790" s="52">
        <f t="shared" ref="Q790:Q800" si="33">O790*P790</f>
        <v>0.13516635999999999</v>
      </c>
    </row>
    <row r="791" spans="1:17" ht="25.15" customHeight="1">
      <c r="A791" s="49"/>
      <c r="B791" s="799" t="s">
        <v>133</v>
      </c>
      <c r="C791" s="799"/>
      <c r="D791" s="50" t="s">
        <v>15</v>
      </c>
      <c r="E791" s="83">
        <v>5.7142857142857147E-4</v>
      </c>
      <c r="F791" s="201">
        <f>SUMIF('Cjenik VSO'!$B$9:$B$85,$B791,'Cjenik VSO'!$C$9:$C$85)</f>
        <v>328.73</v>
      </c>
      <c r="G791" s="52">
        <f t="shared" si="32"/>
        <v>0.18784571428571431</v>
      </c>
      <c r="K791" s="49"/>
      <c r="L791" s="799" t="s">
        <v>133</v>
      </c>
      <c r="M791" s="799"/>
      <c r="N791" s="50" t="s">
        <v>15</v>
      </c>
      <c r="O791" s="83">
        <v>5.04E-4</v>
      </c>
      <c r="P791" s="201">
        <f>SUMIF('Cjenik VSO'!$B$9:$B$85,$B791,'Cjenik VSO'!$C$9:$C$85)</f>
        <v>328.73</v>
      </c>
      <c r="Q791" s="52">
        <f t="shared" si="33"/>
        <v>0.16567992000000001</v>
      </c>
    </row>
    <row r="792" spans="1:17" ht="25.15" customHeight="1">
      <c r="A792" s="49"/>
      <c r="B792" s="799" t="s">
        <v>134</v>
      </c>
      <c r="C792" s="799"/>
      <c r="D792" s="50" t="s">
        <v>15</v>
      </c>
      <c r="E792" s="83">
        <v>5.7142857142857147E-4</v>
      </c>
      <c r="F792" s="201">
        <f>SUMIF('Cjenik VSO'!$B$9:$B$85,$B792,'Cjenik VSO'!$C$9:$C$85)</f>
        <v>62.67</v>
      </c>
      <c r="G792" s="52">
        <f t="shared" si="32"/>
        <v>3.5811428571428577E-2</v>
      </c>
      <c r="K792" s="49"/>
      <c r="L792" s="799" t="s">
        <v>134</v>
      </c>
      <c r="M792" s="799"/>
      <c r="N792" s="50" t="s">
        <v>15</v>
      </c>
      <c r="O792" s="83">
        <v>5.04E-4</v>
      </c>
      <c r="P792" s="201">
        <f>SUMIF('Cjenik VSO'!$B$9:$B$85,$B792,'Cjenik VSO'!$C$9:$C$85)</f>
        <v>62.67</v>
      </c>
      <c r="Q792" s="52">
        <f t="shared" si="33"/>
        <v>3.1585679999999998E-2</v>
      </c>
    </row>
    <row r="793" spans="1:17" ht="25.15" customHeight="1">
      <c r="A793" s="49"/>
      <c r="B793" s="799" t="s">
        <v>142</v>
      </c>
      <c r="C793" s="799"/>
      <c r="D793" s="50" t="s">
        <v>15</v>
      </c>
      <c r="E793" s="83">
        <v>5.7142857142857147E-4</v>
      </c>
      <c r="F793" s="201">
        <f>SUMIF('Cjenik VSO'!$B$9:$B$85,$B793,'Cjenik VSO'!$C$9:$C$85)</f>
        <v>291.72000000000003</v>
      </c>
      <c r="G793" s="52">
        <f t="shared" si="32"/>
        <v>0.16669714285714288</v>
      </c>
      <c r="K793" s="49"/>
      <c r="L793" s="799" t="s">
        <v>142</v>
      </c>
      <c r="M793" s="799"/>
      <c r="N793" s="50" t="s">
        <v>15</v>
      </c>
      <c r="O793" s="83">
        <v>4.75E-4</v>
      </c>
      <c r="P793" s="201">
        <f>SUMIF('Cjenik VSO'!$B$9:$B$85,$B793,'Cjenik VSO'!$C$9:$C$85)</f>
        <v>291.72000000000003</v>
      </c>
      <c r="Q793" s="52">
        <f t="shared" si="33"/>
        <v>0.13856700000000002</v>
      </c>
    </row>
    <row r="794" spans="1:17" ht="25.15" customHeight="1">
      <c r="A794" s="49"/>
      <c r="B794" s="799" t="s">
        <v>143</v>
      </c>
      <c r="C794" s="799"/>
      <c r="D794" s="50" t="s">
        <v>15</v>
      </c>
      <c r="E794" s="83">
        <v>2.5714285714285717E-3</v>
      </c>
      <c r="F794" s="201">
        <f>SUMIF('Cjenik VSO'!$B$9:$B$85,$B794,'Cjenik VSO'!$C$9:$C$85)</f>
        <v>355.64</v>
      </c>
      <c r="G794" s="52">
        <f t="shared" si="32"/>
        <v>0.91450285714285717</v>
      </c>
      <c r="K794" s="49"/>
      <c r="L794" s="799" t="s">
        <v>143</v>
      </c>
      <c r="M794" s="799"/>
      <c r="N794" s="50" t="s">
        <v>15</v>
      </c>
      <c r="O794" s="83">
        <v>1.9E-3</v>
      </c>
      <c r="P794" s="201">
        <f>SUMIF('Cjenik VSO'!$B$9:$B$85,$B794,'Cjenik VSO'!$C$9:$C$85)</f>
        <v>355.64</v>
      </c>
      <c r="Q794" s="52">
        <f t="shared" si="33"/>
        <v>0.67571599999999998</v>
      </c>
    </row>
    <row r="795" spans="1:17" ht="25.15" customHeight="1">
      <c r="A795" s="49"/>
      <c r="B795" s="799" t="s">
        <v>165</v>
      </c>
      <c r="C795" s="799"/>
      <c r="D795" s="50" t="s">
        <v>15</v>
      </c>
      <c r="E795" s="83">
        <v>2.2857142857142859E-3</v>
      </c>
      <c r="F795" s="201">
        <f>SUMIF('Cjenik VSO'!$B$9:$B$85,$B795,'Cjenik VSO'!$C$9:$C$85)</f>
        <v>693.43</v>
      </c>
      <c r="G795" s="52">
        <f t="shared" si="32"/>
        <v>1.5849828571428572</v>
      </c>
      <c r="K795" s="49"/>
      <c r="L795" s="799" t="s">
        <v>165</v>
      </c>
      <c r="M795" s="799"/>
      <c r="N795" s="50" t="s">
        <v>15</v>
      </c>
      <c r="O795" s="83">
        <v>2E-3</v>
      </c>
      <c r="P795" s="201">
        <f>SUMIF('Cjenik VSO'!$B$9:$B$85,$B795,'Cjenik VSO'!$C$9:$C$85)</f>
        <v>693.43</v>
      </c>
      <c r="Q795" s="52">
        <f t="shared" si="33"/>
        <v>1.38686</v>
      </c>
    </row>
    <row r="796" spans="1:17" ht="25.15" customHeight="1">
      <c r="A796" s="49"/>
      <c r="B796" s="799" t="s">
        <v>156</v>
      </c>
      <c r="C796" s="799"/>
      <c r="D796" s="50" t="s">
        <v>15</v>
      </c>
      <c r="E796" s="83">
        <v>1.1428571428571429E-3</v>
      </c>
      <c r="F796" s="201">
        <f>SUMIF('Cjenik VSO'!$B$9:$B$85,$B796,'Cjenik VSO'!$C$9:$C$85)</f>
        <v>240.85</v>
      </c>
      <c r="G796" s="52">
        <f t="shared" si="32"/>
        <v>0.27525714285714287</v>
      </c>
      <c r="K796" s="49"/>
      <c r="L796" s="799" t="s">
        <v>156</v>
      </c>
      <c r="M796" s="799"/>
      <c r="N796" s="50" t="s">
        <v>15</v>
      </c>
      <c r="O796" s="83">
        <v>2E-3</v>
      </c>
      <c r="P796" s="201">
        <f>SUMIF('Cjenik VSO'!$B$9:$B$85,$B796,'Cjenik VSO'!$C$9:$C$85)</f>
        <v>240.85</v>
      </c>
      <c r="Q796" s="52">
        <f t="shared" si="33"/>
        <v>0.48170000000000002</v>
      </c>
    </row>
    <row r="797" spans="1:17" ht="25.15" customHeight="1">
      <c r="A797" s="49"/>
      <c r="B797" s="799" t="s">
        <v>148</v>
      </c>
      <c r="C797" s="799"/>
      <c r="D797" s="50" t="s">
        <v>15</v>
      </c>
      <c r="E797" s="83">
        <v>2E-3</v>
      </c>
      <c r="F797" s="201">
        <f>SUMIF('Cjenik VSO'!$B$9:$B$85,$B797,'Cjenik VSO'!$C$9:$C$85)</f>
        <v>199.57</v>
      </c>
      <c r="G797" s="52">
        <f t="shared" si="32"/>
        <v>0.39913999999999999</v>
      </c>
      <c r="K797" s="49"/>
      <c r="L797" s="799" t="s">
        <v>148</v>
      </c>
      <c r="M797" s="799"/>
      <c r="N797" s="50" t="s">
        <v>15</v>
      </c>
      <c r="O797" s="83">
        <v>2E-3</v>
      </c>
      <c r="P797" s="201">
        <f>SUMIF('Cjenik VSO'!$B$9:$B$85,$B797,'Cjenik VSO'!$C$9:$C$85)</f>
        <v>199.57</v>
      </c>
      <c r="Q797" s="52">
        <f t="shared" si="33"/>
        <v>0.39913999999999999</v>
      </c>
    </row>
    <row r="798" spans="1:17" ht="25.15" customHeight="1">
      <c r="A798" s="49"/>
      <c r="B798" s="799" t="s">
        <v>157</v>
      </c>
      <c r="C798" s="799"/>
      <c r="D798" s="50" t="s">
        <v>15</v>
      </c>
      <c r="E798" s="83">
        <v>4.0000000000000001E-3</v>
      </c>
      <c r="F798" s="201">
        <f>SUMIF('Cjenik VSO'!$B$9:$B$85,$B798,'Cjenik VSO'!$C$9:$C$85)</f>
        <v>269.36</v>
      </c>
      <c r="G798" s="52">
        <f t="shared" si="32"/>
        <v>1.0774400000000002</v>
      </c>
      <c r="K798" s="49"/>
      <c r="L798" s="799" t="s">
        <v>157</v>
      </c>
      <c r="M798" s="799"/>
      <c r="N798" s="50" t="s">
        <v>15</v>
      </c>
      <c r="O798" s="83">
        <v>4.0000000000000001E-3</v>
      </c>
      <c r="P798" s="201">
        <f>SUMIF('Cjenik VSO'!$B$9:$B$85,$B798,'Cjenik VSO'!$C$9:$C$85)</f>
        <v>269.36</v>
      </c>
      <c r="Q798" s="52">
        <f t="shared" si="33"/>
        <v>1.0774400000000002</v>
      </c>
    </row>
    <row r="799" spans="1:17" ht="25.15" customHeight="1">
      <c r="A799" s="49"/>
      <c r="B799" s="799" t="s">
        <v>149</v>
      </c>
      <c r="C799" s="799"/>
      <c r="D799" s="50" t="s">
        <v>15</v>
      </c>
      <c r="E799" s="83">
        <v>5.7142857142857147E-4</v>
      </c>
      <c r="F799" s="201">
        <f>SUMIF('Cjenik VSO'!$B$9:$B$85,$B799,'Cjenik VSO'!$C$9:$C$85)</f>
        <v>68.709999999999994</v>
      </c>
      <c r="G799" s="52">
        <f t="shared" si="32"/>
        <v>3.9262857142857141E-2</v>
      </c>
      <c r="K799" s="49"/>
      <c r="L799" s="799" t="s">
        <v>149</v>
      </c>
      <c r="M799" s="799"/>
      <c r="N799" s="50" t="s">
        <v>15</v>
      </c>
      <c r="O799" s="83">
        <v>4.75E-4</v>
      </c>
      <c r="P799" s="201">
        <f>SUMIF('Cjenik VSO'!$B$9:$B$85,$B799,'Cjenik VSO'!$C$9:$C$85)</f>
        <v>68.709999999999994</v>
      </c>
      <c r="Q799" s="52">
        <f t="shared" si="33"/>
        <v>3.263725E-2</v>
      </c>
    </row>
    <row r="800" spans="1:17" ht="25.15" customHeight="1">
      <c r="A800" s="54"/>
      <c r="B800" s="804" t="s">
        <v>150</v>
      </c>
      <c r="C800" s="804"/>
      <c r="D800" s="55" t="s">
        <v>15</v>
      </c>
      <c r="E800" s="79">
        <v>2.5714285714285717E-3</v>
      </c>
      <c r="F800" s="202">
        <f>SUMIF('Cjenik VSO'!$B$9:$B$85,$B800,'Cjenik VSO'!$C$9:$C$85)</f>
        <v>107.11</v>
      </c>
      <c r="G800" s="57">
        <f t="shared" si="32"/>
        <v>0.27542571428571433</v>
      </c>
      <c r="K800" s="54"/>
      <c r="L800" s="804" t="s">
        <v>150</v>
      </c>
      <c r="M800" s="804"/>
      <c r="N800" s="55" t="s">
        <v>15</v>
      </c>
      <c r="O800" s="79">
        <v>1.9E-3</v>
      </c>
      <c r="P800" s="202">
        <f>SUMIF('Cjenik VSO'!$B$9:$B$85,$B800,'Cjenik VSO'!$C$9:$C$85)</f>
        <v>107.11</v>
      </c>
      <c r="Q800" s="57">
        <f t="shared" si="33"/>
        <v>0.203509</v>
      </c>
    </row>
    <row r="801" spans="1:17" ht="25.15" customHeight="1">
      <c r="A801" s="14"/>
      <c r="B801" s="802" t="str">
        <f>'Obrazac kalkulacije'!$B$15</f>
        <v>Materijali:</v>
      </c>
      <c r="C801" s="802"/>
      <c r="D801" s="14"/>
      <c r="E801" s="14"/>
      <c r="F801" s="203"/>
      <c r="G801" s="16">
        <f>SUM(G802:G803)</f>
        <v>1.8480000000000001</v>
      </c>
      <c r="K801" s="14"/>
      <c r="L801" s="802" t="str">
        <f>'Obrazac kalkulacije'!$B$15</f>
        <v>Materijali:</v>
      </c>
      <c r="M801" s="802"/>
      <c r="N801" s="14"/>
      <c r="O801" s="14"/>
      <c r="P801" s="203"/>
      <c r="Q801" s="16">
        <f>SUM(Q802:Q803)</f>
        <v>1.8480000000000001</v>
      </c>
    </row>
    <row r="802" spans="1:17" ht="25.15" customHeight="1">
      <c r="A802" s="70"/>
      <c r="B802" s="803" t="str">
        <f>'Cjenik M'!$B$19</f>
        <v>Sredstvo za impregnaciju prije bojenja - Akril grund ekonomik 10 l</v>
      </c>
      <c r="C802" s="803"/>
      <c r="D802" s="71" t="str">
        <f>'Cjenik M'!$C$19</f>
        <v>l</v>
      </c>
      <c r="E802" s="72">
        <v>0.1</v>
      </c>
      <c r="F802" s="213">
        <f>'Cjenik M'!$D$19</f>
        <v>8.24</v>
      </c>
      <c r="G802" s="73">
        <f>+F802*E802</f>
        <v>0.82400000000000007</v>
      </c>
      <c r="K802" s="70"/>
      <c r="L802" s="814" t="str">
        <f>'Cjenik M'!$B$19</f>
        <v>Sredstvo za impregnaciju prije bojenja - Akril grund ekonomik 10 l</v>
      </c>
      <c r="M802" s="814"/>
      <c r="N802" s="71" t="str">
        <f>'Cjenik M'!$C$19</f>
        <v>l</v>
      </c>
      <c r="O802" s="72">
        <v>0.1</v>
      </c>
      <c r="P802" s="213">
        <f>'Cjenik M'!$D$19</f>
        <v>8.24</v>
      </c>
      <c r="Q802" s="73">
        <f>+P802*O802</f>
        <v>0.82400000000000007</v>
      </c>
    </row>
    <row r="803" spans="1:17" ht="25.15" customHeight="1" thickBot="1">
      <c r="A803" s="67"/>
      <c r="B803" s="801" t="str">
        <f>'Cjenik M'!$B$21</f>
        <v>PVC koljeno 40x90</v>
      </c>
      <c r="C803" s="801"/>
      <c r="D803" s="60" t="str">
        <f>'Cjenik M'!$C$21</f>
        <v>kom.</v>
      </c>
      <c r="E803" s="74">
        <v>0.4</v>
      </c>
      <c r="F803" s="208">
        <f>'Cjenik M'!$D$21</f>
        <v>2.56</v>
      </c>
      <c r="G803" s="63">
        <f>+F803*E803</f>
        <v>1.024</v>
      </c>
      <c r="K803" s="67"/>
      <c r="L803" s="801" t="str">
        <f>'Cjenik M'!$B$21</f>
        <v>PVC koljeno 40x90</v>
      </c>
      <c r="M803" s="801"/>
      <c r="N803" s="60" t="str">
        <f>'Cjenik M'!$C$21</f>
        <v>kom.</v>
      </c>
      <c r="O803" s="74">
        <v>0.4</v>
      </c>
      <c r="P803" s="208">
        <f>'Cjenik M'!$D$21</f>
        <v>2.56</v>
      </c>
      <c r="Q803" s="63">
        <f>+P803*O803</f>
        <v>1.024</v>
      </c>
    </row>
    <row r="804" spans="1:17" ht="25.15" customHeight="1" thickTop="1" thickBot="1">
      <c r="B804" s="40"/>
      <c r="C804" s="20"/>
      <c r="D804" s="21"/>
      <c r="E804" s="118" t="str">
        <f>'Obrazac kalkulacije'!$E$18</f>
        <v>Ukupno (kn):</v>
      </c>
      <c r="F804" s="214"/>
      <c r="G804" s="22">
        <f>ROUND(SUM(G787+G789+G801),2)</f>
        <v>7.01</v>
      </c>
      <c r="H804" s="217"/>
      <c r="I804" s="602"/>
      <c r="J804" s="602"/>
      <c r="L804" s="40"/>
      <c r="M804" s="20"/>
      <c r="N804" s="21"/>
      <c r="O804" s="118" t="str">
        <f>'Obrazac kalkulacije'!$E$18</f>
        <v>Ukupno (kn):</v>
      </c>
      <c r="P804" s="214"/>
      <c r="Q804" s="22">
        <f>ROUND(SUM(Q787+Q789+Q801),2)</f>
        <v>6.58</v>
      </c>
    </row>
    <row r="805" spans="1:17" ht="25.15" customHeight="1" thickTop="1" thickBot="1">
      <c r="E805" s="23" t="str">
        <f>'Obrazac kalkulacije'!$E$19</f>
        <v>PDV:</v>
      </c>
      <c r="F805" s="207">
        <f>'Obrazac kalkulacije'!$F$19</f>
        <v>0.25</v>
      </c>
      <c r="G805" s="24">
        <f>G804*F805</f>
        <v>1.7524999999999999</v>
      </c>
      <c r="H805" s="446"/>
      <c r="I805" s="446"/>
      <c r="J805" s="446"/>
      <c r="O805" s="23" t="str">
        <f>'Obrazac kalkulacije'!$E$19</f>
        <v>PDV:</v>
      </c>
      <c r="P805" s="207">
        <f>'Obrazac kalkulacije'!$F$19</f>
        <v>0.25</v>
      </c>
      <c r="Q805" s="24">
        <f>Q804*P805</f>
        <v>1.645</v>
      </c>
    </row>
    <row r="806" spans="1:17" ht="25.15" customHeight="1" thickTop="1" thickBot="1">
      <c r="E806" s="119" t="str">
        <f>'Obrazac kalkulacije'!$E$20</f>
        <v>Sveukupno (kn):</v>
      </c>
      <c r="F806" s="215"/>
      <c r="G806" s="24">
        <f>ROUND(SUM(G804:G805),2)</f>
        <v>8.76</v>
      </c>
      <c r="H806" s="447"/>
      <c r="I806" s="447"/>
      <c r="J806" s="447"/>
      <c r="O806" s="119" t="str">
        <f>'Obrazac kalkulacije'!$E$20</f>
        <v>Sveukupno (kn):</v>
      </c>
      <c r="P806" s="215"/>
      <c r="Q806" s="24">
        <f>ROUND(SUM(Q804:Q805),2)</f>
        <v>8.23</v>
      </c>
    </row>
    <row r="807" spans="1:17" ht="15" customHeight="1" thickTop="1"/>
    <row r="808" spans="1:17" ht="15" customHeight="1"/>
    <row r="809" spans="1:17" ht="15" customHeight="1"/>
    <row r="810" spans="1:17" ht="15" customHeight="1">
      <c r="C810" s="3" t="str">
        <f>'Obrazac kalkulacije'!$C$24</f>
        <v>IZVODITELJ:</v>
      </c>
      <c r="F810" s="780" t="str">
        <f>'Obrazac kalkulacije'!$F$24</f>
        <v>NARUČITELJ:</v>
      </c>
      <c r="G810" s="780"/>
      <c r="M810" s="3" t="str">
        <f>'Obrazac kalkulacije'!$C$24</f>
        <v>IZVODITELJ:</v>
      </c>
      <c r="P810" s="780" t="str">
        <f>'Obrazac kalkulacije'!$F$24</f>
        <v>NARUČITELJ:</v>
      </c>
      <c r="Q810" s="780"/>
    </row>
    <row r="811" spans="1:17" ht="25.15" customHeight="1">
      <c r="C811" s="3" t="str">
        <f>'Obrazac kalkulacije'!$C$25</f>
        <v>__________________</v>
      </c>
      <c r="F811" s="780" t="str">
        <f>'Obrazac kalkulacije'!$F$25</f>
        <v>___________________</v>
      </c>
      <c r="G811" s="780"/>
      <c r="M811" s="3" t="str">
        <f>'Obrazac kalkulacije'!$C$25</f>
        <v>__________________</v>
      </c>
      <c r="P811" s="780" t="str">
        <f>'Obrazac kalkulacije'!$F$25</f>
        <v>___________________</v>
      </c>
      <c r="Q811" s="780"/>
    </row>
    <row r="812" spans="1:17" ht="15" customHeight="1">
      <c r="G812" s="25"/>
      <c r="Q812" s="25"/>
    </row>
    <row r="813" spans="1:17" ht="15" customHeight="1"/>
    <row r="814" spans="1:17" ht="15" customHeight="1">
      <c r="A814" s="115"/>
      <c r="B814" s="116" t="s">
        <v>17</v>
      </c>
      <c r="C814" s="117" t="s">
        <v>18</v>
      </c>
      <c r="D814" s="117"/>
      <c r="E814" s="117"/>
      <c r="F814" s="211"/>
      <c r="G814" s="117"/>
      <c r="K814" s="115"/>
      <c r="L814" s="116" t="s">
        <v>17</v>
      </c>
      <c r="M814" s="117" t="s">
        <v>18</v>
      </c>
      <c r="N814" s="117"/>
      <c r="O814" s="117"/>
      <c r="P814" s="211"/>
      <c r="Q814" s="117"/>
    </row>
    <row r="815" spans="1:17" ht="15" customHeight="1">
      <c r="A815" s="31"/>
      <c r="B815" s="32" t="s">
        <v>22</v>
      </c>
      <c r="C815" s="7" t="s">
        <v>23</v>
      </c>
      <c r="D815" s="7"/>
      <c r="E815" s="7"/>
      <c r="F815" s="212"/>
      <c r="G815" s="7"/>
      <c r="K815" s="31"/>
      <c r="L815" s="32" t="s">
        <v>22</v>
      </c>
      <c r="M815" s="7" t="s">
        <v>23</v>
      </c>
      <c r="N815" s="7"/>
      <c r="O815" s="7"/>
      <c r="P815" s="212"/>
      <c r="Q815" s="7"/>
    </row>
    <row r="816" spans="1:17" ht="15" customHeight="1">
      <c r="A816" s="41"/>
      <c r="B816" s="42" t="s">
        <v>45</v>
      </c>
      <c r="C816" s="43" t="s">
        <v>46</v>
      </c>
      <c r="D816" s="43"/>
      <c r="E816" s="43"/>
      <c r="F816" s="209"/>
      <c r="G816" s="43"/>
      <c r="K816" s="41"/>
      <c r="L816" s="42" t="s">
        <v>45</v>
      </c>
      <c r="M816" s="43" t="s">
        <v>46</v>
      </c>
      <c r="N816" s="43"/>
      <c r="O816" s="43"/>
      <c r="P816" s="209"/>
      <c r="Q816" s="43"/>
    </row>
    <row r="817" spans="1:17" ht="150" customHeight="1">
      <c r="A817" s="33"/>
      <c r="B817" s="443" t="s">
        <v>53</v>
      </c>
      <c r="C817" s="792" t="s">
        <v>187</v>
      </c>
      <c r="D817" s="792"/>
      <c r="E817" s="792"/>
      <c r="F817" s="792"/>
      <c r="G817" s="792"/>
      <c r="K817" s="33"/>
      <c r="L817" s="34" t="s">
        <v>53</v>
      </c>
      <c r="M817" s="795" t="s">
        <v>188</v>
      </c>
      <c r="N817" s="795"/>
      <c r="O817" s="795"/>
      <c r="P817" s="795"/>
      <c r="Q817" s="795"/>
    </row>
    <row r="818" spans="1:17" ht="15" customHeight="1" thickBot="1"/>
    <row r="819" spans="1:17" ht="30" customHeight="1" thickTop="1" thickBot="1">
      <c r="A819" s="8"/>
      <c r="B819" s="797" t="str">
        <f>'Obrazac kalkulacije'!$B$6:$C$6</f>
        <v>Opis</v>
      </c>
      <c r="C819" s="797"/>
      <c r="D819" s="8" t="str">
        <f>'Obrazac kalkulacije'!$D$6</f>
        <v>Jed.
mjere</v>
      </c>
      <c r="E819" s="8" t="str">
        <f>'Obrazac kalkulacije'!$E$6</f>
        <v>Normativ</v>
      </c>
      <c r="F819" s="8" t="str">
        <f>'Obrazac kalkulacije'!$F$6</f>
        <v>Jed.
cijena</v>
      </c>
      <c r="G819" s="8" t="str">
        <f>'Obrazac kalkulacije'!$G$6</f>
        <v>Iznos</v>
      </c>
      <c r="K819" s="8"/>
      <c r="L819" s="797" t="e">
        <f>'Obrazac kalkulacije'!$B$6:$C$6</f>
        <v>#VALUE!</v>
      </c>
      <c r="M819" s="797"/>
      <c r="N819" s="8" t="str">
        <f>'Obrazac kalkulacije'!$D$6</f>
        <v>Jed.
mjere</v>
      </c>
      <c r="O819" s="8" t="str">
        <f>'Obrazac kalkulacije'!$E$6</f>
        <v>Normativ</v>
      </c>
      <c r="P819" s="8" t="str">
        <f>'Obrazac kalkulacije'!$F$6</f>
        <v>Jed.
cijena</v>
      </c>
      <c r="Q819" s="8" t="str">
        <f>'Obrazac kalkulacije'!$G$6</f>
        <v>Iznos</v>
      </c>
    </row>
    <row r="820" spans="1:17" ht="4.5" customHeight="1" thickTop="1">
      <c r="B820" s="35"/>
      <c r="C820" s="1"/>
      <c r="D820" s="9"/>
      <c r="E820" s="11"/>
      <c r="F820" s="205"/>
      <c r="G820" s="13"/>
      <c r="L820" s="35"/>
      <c r="M820" s="1"/>
      <c r="N820" s="9"/>
      <c r="O820" s="11"/>
      <c r="P820" s="205"/>
      <c r="Q820" s="13"/>
    </row>
    <row r="821" spans="1:17" ht="25.15" customHeight="1">
      <c r="A821" s="14"/>
      <c r="B821" s="15" t="str">
        <f>'Obrazac kalkulacije'!$B$8</f>
        <v>Radna snaga:</v>
      </c>
      <c r="C821" s="15"/>
      <c r="D821" s="14"/>
      <c r="E821" s="14"/>
      <c r="F821" s="206"/>
      <c r="G821" s="16">
        <f>SUM(G822:G822)</f>
        <v>0</v>
      </c>
      <c r="K821" s="14"/>
      <c r="L821" s="15" t="str">
        <f>'Obrazac kalkulacije'!$B$8</f>
        <v>Radna snaga:</v>
      </c>
      <c r="M821" s="15"/>
      <c r="N821" s="14"/>
      <c r="O821" s="14"/>
      <c r="P821" s="206"/>
      <c r="Q821" s="16">
        <f>SUM(Q822:Q822)</f>
        <v>0</v>
      </c>
    </row>
    <row r="822" spans="1:17" ht="25.15" customHeight="1">
      <c r="A822" s="26"/>
      <c r="B822" s="791" t="s">
        <v>130</v>
      </c>
      <c r="C822" s="791"/>
      <c r="D822" s="27" t="s">
        <v>15</v>
      </c>
      <c r="E822" s="28">
        <v>1.4285714285714285E-2</v>
      </c>
      <c r="F822" s="203">
        <f>SUMIF('Cjenik RS'!$C$11:$C$26,$B822,'Cjenik RS'!$D$11:$D$88)</f>
        <v>0</v>
      </c>
      <c r="G822" s="29">
        <f>+F822*E822</f>
        <v>0</v>
      </c>
      <c r="K822" s="26"/>
      <c r="L822" s="791" t="s">
        <v>130</v>
      </c>
      <c r="M822" s="791"/>
      <c r="N822" s="27" t="s">
        <v>15</v>
      </c>
      <c r="O822" s="28">
        <v>1.2500000000000001E-2</v>
      </c>
      <c r="P822" s="203">
        <f>SUMIF('Cjenik RS'!$C$11:$C$26,$B822,'Cjenik RS'!$D$11:$D$88)</f>
        <v>0</v>
      </c>
      <c r="Q822" s="29">
        <f>+P822*O822</f>
        <v>0</v>
      </c>
    </row>
    <row r="823" spans="1:17" ht="25.15" customHeight="1">
      <c r="A823" s="14"/>
      <c r="B823" s="15" t="str">
        <f>'Obrazac kalkulacije'!$B$11</f>
        <v>Vozila, strojevi i oprema:</v>
      </c>
      <c r="C823" s="15"/>
      <c r="D823" s="14"/>
      <c r="E823" s="14"/>
      <c r="F823" s="203"/>
      <c r="G823" s="16">
        <f>SUM(G824:G834)</f>
        <v>6.4522321428571425</v>
      </c>
      <c r="K823" s="14"/>
      <c r="L823" s="15" t="str">
        <f>'Obrazac kalkulacije'!$B$11</f>
        <v>Vozila, strojevi i oprema:</v>
      </c>
      <c r="M823" s="15"/>
      <c r="N823" s="14"/>
      <c r="O823" s="14"/>
      <c r="P823" s="203"/>
      <c r="Q823" s="16">
        <f>SUM(Q824:Q834)</f>
        <v>5.909372649999999</v>
      </c>
    </row>
    <row r="824" spans="1:17" ht="25.15" customHeight="1">
      <c r="A824" s="49"/>
      <c r="B824" s="799" t="s">
        <v>144</v>
      </c>
      <c r="C824" s="799"/>
      <c r="D824" s="50" t="s">
        <v>15</v>
      </c>
      <c r="E824" s="83">
        <v>3.5714285714285714E-4</v>
      </c>
      <c r="F824" s="201">
        <f>SUMIF('Cjenik VSO'!$B$9:$B$85,$B824,'Cjenik VSO'!$C$9:$C$85)</f>
        <v>718.97</v>
      </c>
      <c r="G824" s="52">
        <f t="shared" ref="G824:G834" si="34">E824*F824</f>
        <v>0.25677500000000003</v>
      </c>
      <c r="K824" s="49"/>
      <c r="L824" s="800" t="s">
        <v>144</v>
      </c>
      <c r="M824" s="800"/>
      <c r="N824" s="50" t="s">
        <v>15</v>
      </c>
      <c r="O824" s="83">
        <v>2.34E-4</v>
      </c>
      <c r="P824" s="201">
        <f>SUMIF('Cjenik VSO'!$B$9:$B$85,$B824,'Cjenik VSO'!$C$9:$C$85)</f>
        <v>718.97</v>
      </c>
      <c r="Q824" s="52">
        <f t="shared" ref="Q824:Q834" si="35">O824*P824</f>
        <v>0.16823898000000001</v>
      </c>
    </row>
    <row r="825" spans="1:17" ht="25.15" customHeight="1">
      <c r="A825" s="49"/>
      <c r="B825" s="799" t="s">
        <v>133</v>
      </c>
      <c r="C825" s="799"/>
      <c r="D825" s="50" t="s">
        <v>15</v>
      </c>
      <c r="E825" s="83">
        <v>7.1428571428571429E-4</v>
      </c>
      <c r="F825" s="201">
        <f>SUMIF('Cjenik VSO'!$B$9:$B$85,$B825,'Cjenik VSO'!$C$9:$C$85)</f>
        <v>328.73</v>
      </c>
      <c r="G825" s="52">
        <f t="shared" si="34"/>
        <v>0.23480714285714288</v>
      </c>
      <c r="K825" s="49"/>
      <c r="L825" s="799" t="s">
        <v>133</v>
      </c>
      <c r="M825" s="799"/>
      <c r="N825" s="50" t="s">
        <v>15</v>
      </c>
      <c r="O825" s="83">
        <v>6.3000000000000003E-4</v>
      </c>
      <c r="P825" s="201">
        <f>SUMIF('Cjenik VSO'!$B$9:$B$85,$B825,'Cjenik VSO'!$C$9:$C$85)</f>
        <v>328.73</v>
      </c>
      <c r="Q825" s="52">
        <f t="shared" si="35"/>
        <v>0.20709990000000003</v>
      </c>
    </row>
    <row r="826" spans="1:17" ht="25.15" customHeight="1">
      <c r="A826" s="49"/>
      <c r="B826" s="799" t="s">
        <v>134</v>
      </c>
      <c r="C826" s="799"/>
      <c r="D826" s="50" t="s">
        <v>15</v>
      </c>
      <c r="E826" s="83">
        <v>7.1428571428571429E-4</v>
      </c>
      <c r="F826" s="201">
        <f>SUMIF('Cjenik VSO'!$B$9:$B$85,$B826,'Cjenik VSO'!$C$9:$C$85)</f>
        <v>62.67</v>
      </c>
      <c r="G826" s="52">
        <f t="shared" si="34"/>
        <v>4.4764285714285715E-2</v>
      </c>
      <c r="K826" s="49"/>
      <c r="L826" s="799" t="s">
        <v>134</v>
      </c>
      <c r="M826" s="799"/>
      <c r="N826" s="50" t="s">
        <v>15</v>
      </c>
      <c r="O826" s="83">
        <v>6.3000000000000003E-4</v>
      </c>
      <c r="P826" s="201">
        <f>SUMIF('Cjenik VSO'!$B$9:$B$85,$B826,'Cjenik VSO'!$C$9:$C$85)</f>
        <v>62.67</v>
      </c>
      <c r="Q826" s="52">
        <f t="shared" si="35"/>
        <v>3.9482100000000006E-2</v>
      </c>
    </row>
    <row r="827" spans="1:17" ht="25.15" customHeight="1">
      <c r="A827" s="49"/>
      <c r="B827" s="799" t="s">
        <v>142</v>
      </c>
      <c r="C827" s="799"/>
      <c r="D827" s="50" t="s">
        <v>15</v>
      </c>
      <c r="E827" s="83">
        <v>7.1428571428571429E-4</v>
      </c>
      <c r="F827" s="201">
        <f>SUMIF('Cjenik VSO'!$B$9:$B$85,$B827,'Cjenik VSO'!$C$9:$C$85)</f>
        <v>291.72000000000003</v>
      </c>
      <c r="G827" s="52">
        <f t="shared" si="34"/>
        <v>0.2083714285714286</v>
      </c>
      <c r="K827" s="49"/>
      <c r="L827" s="799" t="s">
        <v>142</v>
      </c>
      <c r="M827" s="799"/>
      <c r="N827" s="50" t="s">
        <v>15</v>
      </c>
      <c r="O827" s="83">
        <v>5.9400000000000002E-4</v>
      </c>
      <c r="P827" s="201">
        <f>SUMIF('Cjenik VSO'!$B$9:$B$85,$B827,'Cjenik VSO'!$C$9:$C$85)</f>
        <v>291.72000000000003</v>
      </c>
      <c r="Q827" s="52">
        <f t="shared" si="35"/>
        <v>0.17328168000000002</v>
      </c>
    </row>
    <row r="828" spans="1:17" ht="25.15" customHeight="1">
      <c r="A828" s="49"/>
      <c r="B828" s="799" t="s">
        <v>143</v>
      </c>
      <c r="C828" s="799"/>
      <c r="D828" s="50" t="s">
        <v>15</v>
      </c>
      <c r="E828" s="83">
        <v>3.2142857142857142E-3</v>
      </c>
      <c r="F828" s="201">
        <f>SUMIF('Cjenik VSO'!$B$9:$B$85,$B828,'Cjenik VSO'!$C$9:$C$85)</f>
        <v>355.64</v>
      </c>
      <c r="G828" s="52">
        <f t="shared" si="34"/>
        <v>1.1431285714285713</v>
      </c>
      <c r="K828" s="49"/>
      <c r="L828" s="799" t="s">
        <v>143</v>
      </c>
      <c r="M828" s="799"/>
      <c r="N828" s="50" t="s">
        <v>15</v>
      </c>
      <c r="O828" s="83">
        <v>2.3749999999999999E-3</v>
      </c>
      <c r="P828" s="201">
        <f>SUMIF('Cjenik VSO'!$B$9:$B$85,$B828,'Cjenik VSO'!$C$9:$C$85)</f>
        <v>355.64</v>
      </c>
      <c r="Q828" s="52">
        <f t="shared" si="35"/>
        <v>0.84464499999999998</v>
      </c>
    </row>
    <row r="829" spans="1:17" ht="25.15" customHeight="1">
      <c r="A829" s="49"/>
      <c r="B829" s="799" t="s">
        <v>165</v>
      </c>
      <c r="C829" s="799"/>
      <c r="D829" s="50" t="s">
        <v>15</v>
      </c>
      <c r="E829" s="83">
        <v>2.8571428571428571E-3</v>
      </c>
      <c r="F829" s="201">
        <f>SUMIF('Cjenik VSO'!$B$9:$B$85,$B829,'Cjenik VSO'!$C$9:$C$85)</f>
        <v>693.43</v>
      </c>
      <c r="G829" s="52">
        <f t="shared" si="34"/>
        <v>1.9812285714285713</v>
      </c>
      <c r="K829" s="49"/>
      <c r="L829" s="799" t="s">
        <v>165</v>
      </c>
      <c r="M829" s="799"/>
      <c r="N829" s="50" t="s">
        <v>15</v>
      </c>
      <c r="O829" s="83">
        <v>2.5000000000000001E-3</v>
      </c>
      <c r="P829" s="201">
        <f>SUMIF('Cjenik VSO'!$B$9:$B$85,$B829,'Cjenik VSO'!$C$9:$C$85)</f>
        <v>693.43</v>
      </c>
      <c r="Q829" s="52">
        <f t="shared" si="35"/>
        <v>1.7335749999999999</v>
      </c>
    </row>
    <row r="830" spans="1:17" ht="25.15" customHeight="1">
      <c r="A830" s="49"/>
      <c r="B830" s="799" t="s">
        <v>156</v>
      </c>
      <c r="C830" s="799"/>
      <c r="D830" s="50" t="s">
        <v>15</v>
      </c>
      <c r="E830" s="83">
        <v>1.4285714285714286E-3</v>
      </c>
      <c r="F830" s="201">
        <f>SUMIF('Cjenik VSO'!$B$9:$B$85,$B830,'Cjenik VSO'!$C$9:$C$85)</f>
        <v>240.85</v>
      </c>
      <c r="G830" s="52">
        <f t="shared" si="34"/>
        <v>0.34407142857142858</v>
      </c>
      <c r="K830" s="49"/>
      <c r="L830" s="799" t="s">
        <v>156</v>
      </c>
      <c r="M830" s="799"/>
      <c r="N830" s="50" t="s">
        <v>15</v>
      </c>
      <c r="O830" s="83">
        <v>2.5000000000000001E-3</v>
      </c>
      <c r="P830" s="201">
        <f>SUMIF('Cjenik VSO'!$B$9:$B$85,$B830,'Cjenik VSO'!$C$9:$C$85)</f>
        <v>240.85</v>
      </c>
      <c r="Q830" s="52">
        <f t="shared" si="35"/>
        <v>0.60212500000000002</v>
      </c>
    </row>
    <row r="831" spans="1:17" ht="25.15" customHeight="1">
      <c r="A831" s="49"/>
      <c r="B831" s="799" t="s">
        <v>148</v>
      </c>
      <c r="C831" s="799"/>
      <c r="D831" s="50" t="s">
        <v>15</v>
      </c>
      <c r="E831" s="83">
        <v>2.5000000000000001E-3</v>
      </c>
      <c r="F831" s="201">
        <f>SUMIF('Cjenik VSO'!$B$9:$B$85,$B831,'Cjenik VSO'!$C$9:$C$85)</f>
        <v>199.57</v>
      </c>
      <c r="G831" s="52">
        <f t="shared" si="34"/>
        <v>0.49892500000000001</v>
      </c>
      <c r="K831" s="49"/>
      <c r="L831" s="799" t="s">
        <v>148</v>
      </c>
      <c r="M831" s="799"/>
      <c r="N831" s="50" t="s">
        <v>15</v>
      </c>
      <c r="O831" s="83">
        <v>2.5000000000000001E-3</v>
      </c>
      <c r="P831" s="201">
        <f>SUMIF('Cjenik VSO'!$B$9:$B$85,$B831,'Cjenik VSO'!$C$9:$C$85)</f>
        <v>199.57</v>
      </c>
      <c r="Q831" s="52">
        <f t="shared" si="35"/>
        <v>0.49892500000000001</v>
      </c>
    </row>
    <row r="832" spans="1:17" ht="25.15" customHeight="1">
      <c r="A832" s="49"/>
      <c r="B832" s="799" t="s">
        <v>157</v>
      </c>
      <c r="C832" s="799"/>
      <c r="D832" s="50" t="s">
        <v>15</v>
      </c>
      <c r="E832" s="83">
        <v>5.0000000000000001E-3</v>
      </c>
      <c r="F832" s="201">
        <f>SUMIF('Cjenik VSO'!$B$9:$B$85,$B832,'Cjenik VSO'!$C$9:$C$85)</f>
        <v>269.36</v>
      </c>
      <c r="G832" s="52">
        <f t="shared" si="34"/>
        <v>1.3468</v>
      </c>
      <c r="K832" s="49"/>
      <c r="L832" s="799" t="s">
        <v>157</v>
      </c>
      <c r="M832" s="799"/>
      <c r="N832" s="50" t="s">
        <v>15</v>
      </c>
      <c r="O832" s="83">
        <v>5.0000000000000001E-3</v>
      </c>
      <c r="P832" s="201">
        <f>SUMIF('Cjenik VSO'!$B$9:$B$85,$B832,'Cjenik VSO'!$C$9:$C$85)</f>
        <v>269.36</v>
      </c>
      <c r="Q832" s="52">
        <f t="shared" si="35"/>
        <v>1.3468</v>
      </c>
    </row>
    <row r="833" spans="1:17" ht="25.15" customHeight="1">
      <c r="A833" s="49"/>
      <c r="B833" s="799" t="s">
        <v>149</v>
      </c>
      <c r="C833" s="799"/>
      <c r="D833" s="50" t="s">
        <v>15</v>
      </c>
      <c r="E833" s="83">
        <v>7.1428571428571429E-4</v>
      </c>
      <c r="F833" s="201">
        <f>SUMIF('Cjenik VSO'!$B$9:$B$85,$B833,'Cjenik VSO'!$C$9:$C$85)</f>
        <v>68.709999999999994</v>
      </c>
      <c r="G833" s="52">
        <f t="shared" si="34"/>
        <v>4.9078571428571423E-2</v>
      </c>
      <c r="K833" s="49"/>
      <c r="L833" s="799" t="s">
        <v>149</v>
      </c>
      <c r="M833" s="799"/>
      <c r="N833" s="50" t="s">
        <v>15</v>
      </c>
      <c r="O833" s="83">
        <v>5.9400000000000002E-4</v>
      </c>
      <c r="P833" s="201">
        <f>SUMIF('Cjenik VSO'!$B$9:$B$85,$B833,'Cjenik VSO'!$C$9:$C$85)</f>
        <v>68.709999999999994</v>
      </c>
      <c r="Q833" s="52">
        <f t="shared" si="35"/>
        <v>4.0813739999999994E-2</v>
      </c>
    </row>
    <row r="834" spans="1:17" ht="25.15" customHeight="1">
      <c r="A834" s="54"/>
      <c r="B834" s="804" t="s">
        <v>150</v>
      </c>
      <c r="C834" s="804"/>
      <c r="D834" s="55" t="s">
        <v>15</v>
      </c>
      <c r="E834" s="79">
        <v>3.2142857142857142E-3</v>
      </c>
      <c r="F834" s="202">
        <f>SUMIF('Cjenik VSO'!$B$9:$B$85,$B834,'Cjenik VSO'!$C$9:$C$85)</f>
        <v>107.11</v>
      </c>
      <c r="G834" s="57">
        <f t="shared" si="34"/>
        <v>0.34428214285714287</v>
      </c>
      <c r="K834" s="54"/>
      <c r="L834" s="804" t="s">
        <v>150</v>
      </c>
      <c r="M834" s="804"/>
      <c r="N834" s="55" t="s">
        <v>15</v>
      </c>
      <c r="O834" s="79">
        <v>2.3749999999999999E-3</v>
      </c>
      <c r="P834" s="202">
        <f>SUMIF('Cjenik VSO'!$B$9:$B$85,$B834,'Cjenik VSO'!$C$9:$C$85)</f>
        <v>107.11</v>
      </c>
      <c r="Q834" s="57">
        <f t="shared" si="35"/>
        <v>0.25438624999999998</v>
      </c>
    </row>
    <row r="835" spans="1:17" ht="25.15" customHeight="1">
      <c r="A835" s="14"/>
      <c r="B835" s="802" t="str">
        <f>'Obrazac kalkulacije'!$B$15</f>
        <v>Materijali:</v>
      </c>
      <c r="C835" s="802"/>
      <c r="D835" s="14"/>
      <c r="E835" s="14"/>
      <c r="F835" s="203"/>
      <c r="G835" s="16">
        <f>SUM(G836:G837)</f>
        <v>1.4915</v>
      </c>
      <c r="K835" s="14"/>
      <c r="L835" s="802" t="str">
        <f>'Obrazac kalkulacije'!$B$15</f>
        <v>Materijali:</v>
      </c>
      <c r="M835" s="802"/>
      <c r="N835" s="14"/>
      <c r="O835" s="14"/>
      <c r="P835" s="203"/>
      <c r="Q835" s="16">
        <f>SUM(Q836:Q837)</f>
        <v>1.4915</v>
      </c>
    </row>
    <row r="836" spans="1:17" ht="25.15" customHeight="1">
      <c r="A836" s="70"/>
      <c r="B836" s="803" t="str">
        <f>'Cjenik M'!$B$20</f>
        <v>PVC cijev 40x250</v>
      </c>
      <c r="C836" s="803"/>
      <c r="D836" s="71" t="str">
        <f>'Cjenik M'!$C$20</f>
        <v>m</v>
      </c>
      <c r="E836" s="72">
        <v>0.125</v>
      </c>
      <c r="F836" s="213">
        <f>'Cjenik M'!$D$20</f>
        <v>3.74</v>
      </c>
      <c r="G836" s="73">
        <f>+F836*E836</f>
        <v>0.46750000000000003</v>
      </c>
      <c r="K836" s="70"/>
      <c r="L836" s="814" t="str">
        <f>'Cjenik M'!$B$20</f>
        <v>PVC cijev 40x250</v>
      </c>
      <c r="M836" s="814"/>
      <c r="N836" s="71" t="str">
        <f>'Cjenik M'!$C$20</f>
        <v>m</v>
      </c>
      <c r="O836" s="72">
        <v>0.125</v>
      </c>
      <c r="P836" s="213">
        <f>'Cjenik M'!$D$20</f>
        <v>3.74</v>
      </c>
      <c r="Q836" s="73">
        <f>+P836*O836</f>
        <v>0.46750000000000003</v>
      </c>
    </row>
    <row r="837" spans="1:17" ht="25.15" customHeight="1" thickBot="1">
      <c r="A837" s="67"/>
      <c r="B837" s="801" t="str">
        <f>'Cjenik M'!$B$21</f>
        <v>PVC koljeno 40x90</v>
      </c>
      <c r="C837" s="801"/>
      <c r="D837" s="60" t="str">
        <f>'Cjenik M'!$C$21</f>
        <v>kom.</v>
      </c>
      <c r="E837" s="74">
        <v>0.4</v>
      </c>
      <c r="F837" s="208">
        <f>'Cjenik M'!$D$21</f>
        <v>2.56</v>
      </c>
      <c r="G837" s="63">
        <f>+F837*E837</f>
        <v>1.024</v>
      </c>
      <c r="K837" s="67"/>
      <c r="L837" s="801" t="str">
        <f>'Cjenik M'!$B$21</f>
        <v>PVC koljeno 40x90</v>
      </c>
      <c r="M837" s="801"/>
      <c r="N837" s="60" t="str">
        <f>'Cjenik M'!$C$21</f>
        <v>kom.</v>
      </c>
      <c r="O837" s="74">
        <v>0.4</v>
      </c>
      <c r="P837" s="208">
        <f>'Cjenik M'!$D$21</f>
        <v>2.56</v>
      </c>
      <c r="Q837" s="63">
        <f>+P837*O837</f>
        <v>1.024</v>
      </c>
    </row>
    <row r="838" spans="1:17" ht="25.15" customHeight="1" thickTop="1" thickBot="1">
      <c r="B838" s="40"/>
      <c r="C838" s="20"/>
      <c r="D838" s="21"/>
      <c r="E838" s="118" t="str">
        <f>'Obrazac kalkulacije'!$E$18</f>
        <v>Ukupno (kn):</v>
      </c>
      <c r="F838" s="214"/>
      <c r="G838" s="22">
        <f>ROUND(SUM(G821+G823+G835),2)</f>
        <v>7.94</v>
      </c>
      <c r="H838" s="217"/>
      <c r="I838" s="602"/>
      <c r="J838" s="602"/>
      <c r="L838" s="40"/>
      <c r="M838" s="20"/>
      <c r="N838" s="21"/>
      <c r="O838" s="118" t="str">
        <f>'Obrazac kalkulacije'!$E$18</f>
        <v>Ukupno (kn):</v>
      </c>
      <c r="P838" s="214"/>
      <c r="Q838" s="22">
        <f>ROUND(SUM(Q821+Q823+Q835),2)</f>
        <v>7.4</v>
      </c>
    </row>
    <row r="839" spans="1:17" ht="25.15" customHeight="1" thickTop="1" thickBot="1">
      <c r="E839" s="23" t="str">
        <f>'Obrazac kalkulacije'!$E$19</f>
        <v>PDV:</v>
      </c>
      <c r="F839" s="207">
        <f>'Obrazac kalkulacije'!$F$19</f>
        <v>0.25</v>
      </c>
      <c r="G839" s="24">
        <f>G838*F839</f>
        <v>1.9850000000000001</v>
      </c>
      <c r="H839" s="446"/>
      <c r="I839" s="446"/>
      <c r="J839" s="446"/>
      <c r="O839" s="23" t="str">
        <f>'Obrazac kalkulacije'!$E$19</f>
        <v>PDV:</v>
      </c>
      <c r="P839" s="207">
        <f>'Obrazac kalkulacije'!$F$19</f>
        <v>0.25</v>
      </c>
      <c r="Q839" s="24">
        <f>Q838*P839</f>
        <v>1.85</v>
      </c>
    </row>
    <row r="840" spans="1:17" ht="25.15" customHeight="1" thickTop="1" thickBot="1">
      <c r="E840" s="119" t="str">
        <f>'Obrazac kalkulacije'!$E$20</f>
        <v>Sveukupno (kn):</v>
      </c>
      <c r="F840" s="215"/>
      <c r="G840" s="24">
        <f>ROUND(SUM(G838:G839),2)</f>
        <v>9.93</v>
      </c>
      <c r="H840" s="447"/>
      <c r="I840" s="447"/>
      <c r="J840" s="447"/>
      <c r="O840" s="119" t="str">
        <f>'Obrazac kalkulacije'!$E$20</f>
        <v>Sveukupno (kn):</v>
      </c>
      <c r="P840" s="215"/>
      <c r="Q840" s="24">
        <f>ROUND(SUM(Q838:Q839),2)</f>
        <v>9.25</v>
      </c>
    </row>
    <row r="841" spans="1:17" ht="15" customHeight="1" thickTop="1"/>
    <row r="842" spans="1:17" ht="15" customHeight="1"/>
    <row r="843" spans="1:17" ht="15" customHeight="1"/>
    <row r="844" spans="1:17" ht="15" customHeight="1">
      <c r="C844" s="3" t="str">
        <f>'Obrazac kalkulacije'!$C$24</f>
        <v>IZVODITELJ:</v>
      </c>
      <c r="F844" s="780" t="str">
        <f>'Obrazac kalkulacije'!$F$24</f>
        <v>NARUČITELJ:</v>
      </c>
      <c r="G844" s="780"/>
      <c r="M844" s="3" t="str">
        <f>'Obrazac kalkulacije'!$C$24</f>
        <v>IZVODITELJ:</v>
      </c>
      <c r="P844" s="780" t="str">
        <f>'Obrazac kalkulacije'!$F$24</f>
        <v>NARUČITELJ:</v>
      </c>
      <c r="Q844" s="780"/>
    </row>
    <row r="845" spans="1:17" ht="25.15" customHeight="1">
      <c r="C845" s="3" t="str">
        <f>'Obrazac kalkulacije'!$C$25</f>
        <v>__________________</v>
      </c>
      <c r="F845" s="780" t="str">
        <f>'Obrazac kalkulacije'!$F$25</f>
        <v>___________________</v>
      </c>
      <c r="G845" s="780"/>
      <c r="M845" s="3" t="str">
        <f>'Obrazac kalkulacije'!$C$25</f>
        <v>__________________</v>
      </c>
      <c r="P845" s="780" t="str">
        <f>'Obrazac kalkulacije'!$F$25</f>
        <v>___________________</v>
      </c>
      <c r="Q845" s="780"/>
    </row>
    <row r="846" spans="1:17" ht="15" customHeight="1">
      <c r="G846" s="25"/>
      <c r="Q846" s="25"/>
    </row>
    <row r="847" spans="1:17" ht="15" customHeight="1"/>
    <row r="848" spans="1:17" ht="15" customHeight="1">
      <c r="A848" s="115"/>
      <c r="B848" s="116" t="s">
        <v>17</v>
      </c>
      <c r="C848" s="117" t="s">
        <v>18</v>
      </c>
      <c r="D848" s="117"/>
      <c r="E848" s="117"/>
      <c r="F848" s="211"/>
      <c r="G848" s="117"/>
      <c r="K848" s="115"/>
      <c r="L848" s="116" t="s">
        <v>17</v>
      </c>
      <c r="M848" s="117" t="s">
        <v>18</v>
      </c>
      <c r="N848" s="117"/>
      <c r="O848" s="117"/>
      <c r="P848" s="211"/>
      <c r="Q848" s="117"/>
    </row>
    <row r="849" spans="1:17" ht="15" customHeight="1">
      <c r="A849" s="31"/>
      <c r="B849" s="32" t="s">
        <v>22</v>
      </c>
      <c r="C849" s="7" t="s">
        <v>23</v>
      </c>
      <c r="D849" s="7"/>
      <c r="E849" s="7"/>
      <c r="F849" s="212"/>
      <c r="G849" s="7"/>
      <c r="K849" s="31"/>
      <c r="L849" s="32" t="s">
        <v>22</v>
      </c>
      <c r="M849" s="7" t="s">
        <v>23</v>
      </c>
      <c r="N849" s="7"/>
      <c r="O849" s="7"/>
      <c r="P849" s="212"/>
      <c r="Q849" s="7"/>
    </row>
    <row r="850" spans="1:17" ht="15" customHeight="1">
      <c r="A850" s="41"/>
      <c r="B850" s="42" t="s">
        <v>45</v>
      </c>
      <c r="C850" s="43" t="s">
        <v>46</v>
      </c>
      <c r="D850" s="43"/>
      <c r="E850" s="43"/>
      <c r="F850" s="209"/>
      <c r="G850" s="43"/>
      <c r="K850" s="41"/>
      <c r="L850" s="42" t="s">
        <v>45</v>
      </c>
      <c r="M850" s="43" t="s">
        <v>46</v>
      </c>
      <c r="N850" s="43"/>
      <c r="O850" s="43"/>
      <c r="P850" s="209"/>
      <c r="Q850" s="43"/>
    </row>
    <row r="851" spans="1:17" ht="150" customHeight="1">
      <c r="A851" s="33"/>
      <c r="B851" s="443" t="s">
        <v>54</v>
      </c>
      <c r="C851" s="792" t="s">
        <v>189</v>
      </c>
      <c r="D851" s="792"/>
      <c r="E851" s="792"/>
      <c r="F851" s="792"/>
      <c r="G851" s="792"/>
      <c r="K851" s="33"/>
      <c r="L851" s="34" t="s">
        <v>54</v>
      </c>
      <c r="M851" s="795" t="s">
        <v>190</v>
      </c>
      <c r="N851" s="795"/>
      <c r="O851" s="795"/>
      <c r="P851" s="795"/>
      <c r="Q851" s="795"/>
    </row>
    <row r="852" spans="1:17" ht="15" customHeight="1" thickBot="1"/>
    <row r="853" spans="1:17" ht="30" customHeight="1" thickTop="1" thickBot="1">
      <c r="A853" s="8"/>
      <c r="B853" s="797" t="str">
        <f>'Obrazac kalkulacije'!$B$6:$C$6</f>
        <v>Opis</v>
      </c>
      <c r="C853" s="797"/>
      <c r="D853" s="8" t="str">
        <f>'Obrazac kalkulacije'!$D$6</f>
        <v>Jed.
mjere</v>
      </c>
      <c r="E853" s="8" t="str">
        <f>'Obrazac kalkulacije'!$E$6</f>
        <v>Normativ</v>
      </c>
      <c r="F853" s="8" t="str">
        <f>'Obrazac kalkulacije'!$F$6</f>
        <v>Jed.
cijena</v>
      </c>
      <c r="G853" s="8" t="str">
        <f>'Obrazac kalkulacije'!$G$6</f>
        <v>Iznos</v>
      </c>
      <c r="H853" s="460">
        <v>4300</v>
      </c>
      <c r="I853" s="460"/>
      <c r="J853" s="460"/>
      <c r="K853" s="8"/>
      <c r="L853" s="797" t="e">
        <f>'Obrazac kalkulacije'!$B$6:$C$6</f>
        <v>#VALUE!</v>
      </c>
      <c r="M853" s="797"/>
      <c r="N853" s="8" t="str">
        <f>'Obrazac kalkulacije'!$D$6</f>
        <v>Jed.
mjere</v>
      </c>
      <c r="O853" s="8" t="str">
        <f>'Obrazac kalkulacije'!$E$6</f>
        <v>Normativ</v>
      </c>
      <c r="P853" s="8" t="str">
        <f>'Obrazac kalkulacije'!$F$6</f>
        <v>Jed.
cijena</v>
      </c>
      <c r="Q853" s="8" t="str">
        <f>'Obrazac kalkulacije'!$G$6</f>
        <v>Iznos</v>
      </c>
    </row>
    <row r="854" spans="1:17" ht="4.5" customHeight="1" thickTop="1">
      <c r="B854" s="35"/>
      <c r="C854" s="1"/>
      <c r="D854" s="9"/>
      <c r="E854" s="11"/>
      <c r="F854" s="205"/>
      <c r="G854" s="13"/>
      <c r="L854" s="35"/>
      <c r="M854" s="1"/>
      <c r="N854" s="9"/>
      <c r="O854" s="11"/>
      <c r="P854" s="205"/>
      <c r="Q854" s="13"/>
    </row>
    <row r="855" spans="1:17" ht="25.15" customHeight="1">
      <c r="A855" s="14"/>
      <c r="B855" s="15" t="str">
        <f>'Obrazac kalkulacije'!$B$8</f>
        <v>Radna snaga:</v>
      </c>
      <c r="C855" s="15"/>
      <c r="D855" s="14"/>
      <c r="E855" s="14"/>
      <c r="F855" s="206"/>
      <c r="G855" s="16">
        <f>SUM(G856:G856)</f>
        <v>0</v>
      </c>
      <c r="K855" s="14"/>
      <c r="L855" s="15" t="str">
        <f>'Obrazac kalkulacije'!$B$8</f>
        <v>Radna snaga:</v>
      </c>
      <c r="M855" s="15"/>
      <c r="N855" s="14"/>
      <c r="O855" s="14"/>
      <c r="P855" s="206"/>
      <c r="Q855" s="16">
        <f>SUM(Q856:Q856)</f>
        <v>0</v>
      </c>
    </row>
    <row r="856" spans="1:17" ht="25.15" customHeight="1">
      <c r="A856" s="26"/>
      <c r="B856" s="791" t="s">
        <v>130</v>
      </c>
      <c r="C856" s="791"/>
      <c r="D856" s="27" t="s">
        <v>15</v>
      </c>
      <c r="E856" s="28">
        <f>H856/H$853</f>
        <v>9.3023255813953487E-3</v>
      </c>
      <c r="F856" s="203">
        <f>SUMIF('Cjenik RS'!$C$11:$C$26,$B856,'Cjenik RS'!$D$11:$D$88)</f>
        <v>0</v>
      </c>
      <c r="G856" s="29">
        <f>+F856*E856</f>
        <v>0</v>
      </c>
      <c r="H856" s="445">
        <v>40</v>
      </c>
      <c r="I856" s="445"/>
      <c r="J856" s="445"/>
      <c r="K856" s="26"/>
      <c r="L856" s="791" t="s">
        <v>130</v>
      </c>
      <c r="M856" s="791"/>
      <c r="N856" s="27" t="s">
        <v>15</v>
      </c>
      <c r="O856" s="28">
        <v>8.3330000000000001E-3</v>
      </c>
      <c r="P856" s="203">
        <f>SUMIF('Cjenik RS'!$C$11:$C$26,$B856,'Cjenik RS'!$D$11:$D$88)</f>
        <v>0</v>
      </c>
      <c r="Q856" s="29">
        <f>+P856*O856</f>
        <v>0</v>
      </c>
    </row>
    <row r="857" spans="1:17" ht="25.15" customHeight="1">
      <c r="A857" s="14"/>
      <c r="B857" s="15" t="str">
        <f>'Obrazac kalkulacije'!$B$11</f>
        <v>Vozila, strojevi i oprema:</v>
      </c>
      <c r="C857" s="15"/>
      <c r="D857" s="14"/>
      <c r="E857" s="14"/>
      <c r="F857" s="203"/>
      <c r="G857" s="16">
        <f>SUM(G858:G868)</f>
        <v>4.2014534883720929</v>
      </c>
      <c r="K857" s="14"/>
      <c r="L857" s="15" t="str">
        <f>'Obrazac kalkulacije'!$B$11</f>
        <v>Vozila, strojevi i oprema:</v>
      </c>
      <c r="M857" s="15"/>
      <c r="N857" s="14"/>
      <c r="O857" s="14"/>
      <c r="P857" s="203"/>
      <c r="Q857" s="16">
        <f>SUM(Q858:Q868)</f>
        <v>3.9311048799999999</v>
      </c>
    </row>
    <row r="858" spans="1:17" ht="25.15" customHeight="1">
      <c r="A858" s="49"/>
      <c r="B858" s="799" t="s">
        <v>144</v>
      </c>
      <c r="C858" s="799"/>
      <c r="D858" s="50" t="s">
        <v>15</v>
      </c>
      <c r="E858" s="28">
        <f t="shared" ref="E858:E868" si="36">H858/H$853</f>
        <v>2.3255813953488373E-4</v>
      </c>
      <c r="F858" s="201">
        <f>SUMIF('Cjenik VSO'!$B$9:$B$85,$B858,'Cjenik VSO'!$C$9:$C$85)</f>
        <v>718.97</v>
      </c>
      <c r="G858" s="52">
        <f t="shared" ref="G858:G868" si="37">E858*F858</f>
        <v>0.16720232558139536</v>
      </c>
      <c r="H858" s="445">
        <v>1</v>
      </c>
      <c r="I858" s="445"/>
      <c r="J858" s="445"/>
      <c r="K858" s="49"/>
      <c r="L858" s="800" t="s">
        <v>144</v>
      </c>
      <c r="M858" s="800"/>
      <c r="N858" s="50" t="s">
        <v>15</v>
      </c>
      <c r="O858" s="83">
        <v>1.56E-4</v>
      </c>
      <c r="P858" s="201">
        <f>SUMIF('Cjenik VSO'!$B$9:$B$85,$B858,'Cjenik VSO'!$C$9:$C$85)</f>
        <v>718.97</v>
      </c>
      <c r="Q858" s="52">
        <f t="shared" ref="Q858:Q868" si="38">O858*P858</f>
        <v>0.11215932000000001</v>
      </c>
    </row>
    <row r="859" spans="1:17" ht="25.15" customHeight="1">
      <c r="A859" s="49"/>
      <c r="B859" s="799" t="s">
        <v>133</v>
      </c>
      <c r="C859" s="799"/>
      <c r="D859" s="50" t="s">
        <v>15</v>
      </c>
      <c r="E859" s="28">
        <f t="shared" si="36"/>
        <v>4.6511627906976747E-4</v>
      </c>
      <c r="F859" s="201">
        <f>SUMIF('Cjenik VSO'!$B$9:$B$85,$B859,'Cjenik VSO'!$C$9:$C$85)</f>
        <v>328.73</v>
      </c>
      <c r="G859" s="52">
        <f t="shared" si="37"/>
        <v>0.15289767441860466</v>
      </c>
      <c r="H859" s="445">
        <v>2</v>
      </c>
      <c r="I859" s="445"/>
      <c r="J859" s="445"/>
      <c r="K859" s="49"/>
      <c r="L859" s="799" t="s">
        <v>133</v>
      </c>
      <c r="M859" s="799"/>
      <c r="N859" s="50" t="s">
        <v>15</v>
      </c>
      <c r="O859" s="83">
        <v>3.9800000000000002E-4</v>
      </c>
      <c r="P859" s="201">
        <f>SUMIF('Cjenik VSO'!$B$9:$B$85,$B859,'Cjenik VSO'!$C$9:$C$85)</f>
        <v>328.73</v>
      </c>
      <c r="Q859" s="52">
        <f t="shared" si="38"/>
        <v>0.13083454000000003</v>
      </c>
    </row>
    <row r="860" spans="1:17" ht="25.15" customHeight="1">
      <c r="A860" s="49"/>
      <c r="B860" s="799" t="s">
        <v>134</v>
      </c>
      <c r="C860" s="799"/>
      <c r="D860" s="50" t="s">
        <v>15</v>
      </c>
      <c r="E860" s="28">
        <f t="shared" si="36"/>
        <v>4.6511627906976747E-4</v>
      </c>
      <c r="F860" s="201">
        <f>SUMIF('Cjenik VSO'!$B$9:$B$85,$B860,'Cjenik VSO'!$C$9:$C$85)</f>
        <v>62.67</v>
      </c>
      <c r="G860" s="52">
        <f t="shared" si="37"/>
        <v>2.9148837209302329E-2</v>
      </c>
      <c r="H860" s="445">
        <v>2</v>
      </c>
      <c r="I860" s="445"/>
      <c r="J860" s="445"/>
      <c r="K860" s="49"/>
      <c r="L860" s="799" t="s">
        <v>134</v>
      </c>
      <c r="M860" s="799"/>
      <c r="N860" s="50" t="s">
        <v>15</v>
      </c>
      <c r="O860" s="83">
        <v>3.9800000000000002E-4</v>
      </c>
      <c r="P860" s="201">
        <f>SUMIF('Cjenik VSO'!$B$9:$B$85,$B860,'Cjenik VSO'!$C$9:$C$85)</f>
        <v>62.67</v>
      </c>
      <c r="Q860" s="52">
        <f t="shared" si="38"/>
        <v>2.4942660000000002E-2</v>
      </c>
    </row>
    <row r="861" spans="1:17" ht="25.15" customHeight="1">
      <c r="A861" s="49"/>
      <c r="B861" s="799" t="s">
        <v>142</v>
      </c>
      <c r="C861" s="799"/>
      <c r="D861" s="50" t="s">
        <v>15</v>
      </c>
      <c r="E861" s="28">
        <f t="shared" si="36"/>
        <v>4.6511627906976747E-4</v>
      </c>
      <c r="F861" s="201">
        <f>SUMIF('Cjenik VSO'!$B$9:$B$85,$B861,'Cjenik VSO'!$C$9:$C$85)</f>
        <v>291.72000000000003</v>
      </c>
      <c r="G861" s="52">
        <f t="shared" si="37"/>
        <v>0.13568372093023257</v>
      </c>
      <c r="H861" s="445">
        <v>2</v>
      </c>
      <c r="I861" s="445"/>
      <c r="J861" s="445"/>
      <c r="K861" s="49"/>
      <c r="L861" s="799" t="s">
        <v>142</v>
      </c>
      <c r="M861" s="799"/>
      <c r="N861" s="50" t="s">
        <v>15</v>
      </c>
      <c r="O861" s="83">
        <v>3.9599999999999998E-4</v>
      </c>
      <c r="P861" s="201">
        <f>SUMIF('Cjenik VSO'!$B$9:$B$85,$B861,'Cjenik VSO'!$C$9:$C$85)</f>
        <v>291.72000000000003</v>
      </c>
      <c r="Q861" s="52">
        <f t="shared" si="38"/>
        <v>0.11552112</v>
      </c>
    </row>
    <row r="862" spans="1:17" ht="25.15" customHeight="1">
      <c r="A862" s="49"/>
      <c r="B862" s="799" t="s">
        <v>143</v>
      </c>
      <c r="C862" s="799"/>
      <c r="D862" s="50" t="s">
        <v>15</v>
      </c>
      <c r="E862" s="28">
        <f t="shared" si="36"/>
        <v>2.0930232558139536E-3</v>
      </c>
      <c r="F862" s="201">
        <f>SUMIF('Cjenik VSO'!$B$9:$B$85,$B862,'Cjenik VSO'!$C$9:$C$85)</f>
        <v>355.64</v>
      </c>
      <c r="G862" s="52">
        <f t="shared" si="37"/>
        <v>0.74436279069767441</v>
      </c>
      <c r="H862" s="445">
        <v>9</v>
      </c>
      <c r="I862" s="445"/>
      <c r="J862" s="445"/>
      <c r="K862" s="49"/>
      <c r="L862" s="799" t="s">
        <v>143</v>
      </c>
      <c r="M862" s="799"/>
      <c r="N862" s="50" t="s">
        <v>15</v>
      </c>
      <c r="O862" s="83">
        <v>1.583E-3</v>
      </c>
      <c r="P862" s="201">
        <f>SUMIF('Cjenik VSO'!$B$9:$B$85,$B862,'Cjenik VSO'!$C$9:$C$85)</f>
        <v>355.64</v>
      </c>
      <c r="Q862" s="52">
        <f t="shared" si="38"/>
        <v>0.56297812000000003</v>
      </c>
    </row>
    <row r="863" spans="1:17" ht="25.15" customHeight="1">
      <c r="A863" s="49"/>
      <c r="B863" s="799" t="s">
        <v>165</v>
      </c>
      <c r="C863" s="799"/>
      <c r="D863" s="50" t="s">
        <v>15</v>
      </c>
      <c r="E863" s="28">
        <f t="shared" si="36"/>
        <v>1.8604651162790699E-3</v>
      </c>
      <c r="F863" s="201">
        <f>SUMIF('Cjenik VSO'!$B$9:$B$85,$B863,'Cjenik VSO'!$C$9:$C$85)</f>
        <v>693.43</v>
      </c>
      <c r="G863" s="52">
        <f t="shared" si="37"/>
        <v>1.2901023255813953</v>
      </c>
      <c r="H863" s="445">
        <v>8</v>
      </c>
      <c r="I863" s="445"/>
      <c r="J863" s="445"/>
      <c r="K863" s="49"/>
      <c r="L863" s="799" t="s">
        <v>165</v>
      </c>
      <c r="M863" s="799"/>
      <c r="N863" s="50" t="s">
        <v>15</v>
      </c>
      <c r="O863" s="83">
        <v>1.6670000000000001E-3</v>
      </c>
      <c r="P863" s="201">
        <f>SUMIF('Cjenik VSO'!$B$9:$B$85,$B863,'Cjenik VSO'!$C$9:$C$85)</f>
        <v>693.43</v>
      </c>
      <c r="Q863" s="52">
        <f t="shared" si="38"/>
        <v>1.15594781</v>
      </c>
    </row>
    <row r="864" spans="1:17" ht="25.15" customHeight="1">
      <c r="A864" s="49"/>
      <c r="B864" s="799" t="s">
        <v>156</v>
      </c>
      <c r="C864" s="799"/>
      <c r="D864" s="50" t="s">
        <v>15</v>
      </c>
      <c r="E864" s="28">
        <f t="shared" si="36"/>
        <v>9.3023255813953494E-4</v>
      </c>
      <c r="F864" s="201">
        <f>SUMIF('Cjenik VSO'!$B$9:$B$85,$B864,'Cjenik VSO'!$C$9:$C$85)</f>
        <v>240.85</v>
      </c>
      <c r="G864" s="52">
        <f t="shared" si="37"/>
        <v>0.22404651162790698</v>
      </c>
      <c r="H864" s="445">
        <v>4</v>
      </c>
      <c r="I864" s="445"/>
      <c r="J864" s="445"/>
      <c r="K864" s="49"/>
      <c r="L864" s="799" t="s">
        <v>156</v>
      </c>
      <c r="M864" s="799"/>
      <c r="N864" s="50" t="s">
        <v>15</v>
      </c>
      <c r="O864" s="83">
        <v>1.6670000000000001E-3</v>
      </c>
      <c r="P864" s="201">
        <f>SUMIF('Cjenik VSO'!$B$9:$B$85,$B864,'Cjenik VSO'!$C$9:$C$85)</f>
        <v>240.85</v>
      </c>
      <c r="Q864" s="52">
        <f t="shared" si="38"/>
        <v>0.40149695000000002</v>
      </c>
    </row>
    <row r="865" spans="1:17" ht="25.15" customHeight="1">
      <c r="A865" s="49"/>
      <c r="B865" s="799" t="s">
        <v>148</v>
      </c>
      <c r="C865" s="799"/>
      <c r="D865" s="50" t="s">
        <v>15</v>
      </c>
      <c r="E865" s="28">
        <f t="shared" si="36"/>
        <v>1.6279069767441861E-3</v>
      </c>
      <c r="F865" s="201">
        <f>SUMIF('Cjenik VSO'!$B$9:$B$85,$B865,'Cjenik VSO'!$C$9:$C$85)</f>
        <v>199.57</v>
      </c>
      <c r="G865" s="52">
        <f t="shared" si="37"/>
        <v>0.3248813953488372</v>
      </c>
      <c r="H865" s="445">
        <v>7</v>
      </c>
      <c r="I865" s="445"/>
      <c r="J865" s="445"/>
      <c r="K865" s="49"/>
      <c r="L865" s="799" t="s">
        <v>148</v>
      </c>
      <c r="M865" s="799"/>
      <c r="N865" s="50" t="s">
        <v>15</v>
      </c>
      <c r="O865" s="83">
        <v>1.6670000000000001E-3</v>
      </c>
      <c r="P865" s="201">
        <f>SUMIF('Cjenik VSO'!$B$9:$B$85,$B865,'Cjenik VSO'!$C$9:$C$85)</f>
        <v>199.57</v>
      </c>
      <c r="Q865" s="52">
        <f t="shared" si="38"/>
        <v>0.33268319000000002</v>
      </c>
    </row>
    <row r="866" spans="1:17" ht="25.15" customHeight="1">
      <c r="A866" s="49"/>
      <c r="B866" s="799" t="s">
        <v>157</v>
      </c>
      <c r="C866" s="799"/>
      <c r="D866" s="50" t="s">
        <v>15</v>
      </c>
      <c r="E866" s="28">
        <f t="shared" si="36"/>
        <v>3.2558139534883722E-3</v>
      </c>
      <c r="F866" s="201">
        <f>SUMIF('Cjenik VSO'!$B$9:$B$85,$B866,'Cjenik VSO'!$C$9:$C$85)</f>
        <v>269.36</v>
      </c>
      <c r="G866" s="52">
        <f t="shared" si="37"/>
        <v>0.87698604651162804</v>
      </c>
      <c r="H866" s="445">
        <v>14</v>
      </c>
      <c r="I866" s="445"/>
      <c r="J866" s="445"/>
      <c r="K866" s="49"/>
      <c r="L866" s="799" t="s">
        <v>157</v>
      </c>
      <c r="M866" s="799"/>
      <c r="N866" s="50" t="s">
        <v>15</v>
      </c>
      <c r="O866" s="83">
        <v>3.333E-3</v>
      </c>
      <c r="P866" s="201">
        <f>SUMIF('Cjenik VSO'!$B$9:$B$85,$B866,'Cjenik VSO'!$C$9:$C$85)</f>
        <v>269.36</v>
      </c>
      <c r="Q866" s="52">
        <f t="shared" si="38"/>
        <v>0.89777688</v>
      </c>
    </row>
    <row r="867" spans="1:17" ht="25.15" customHeight="1">
      <c r="A867" s="49"/>
      <c r="B867" s="799" t="s">
        <v>149</v>
      </c>
      <c r="C867" s="799"/>
      <c r="D867" s="50" t="s">
        <v>15</v>
      </c>
      <c r="E867" s="28">
        <f t="shared" si="36"/>
        <v>4.6511627906976747E-4</v>
      </c>
      <c r="F867" s="201">
        <f>SUMIF('Cjenik VSO'!$B$9:$B$85,$B867,'Cjenik VSO'!$C$9:$C$85)</f>
        <v>68.709999999999994</v>
      </c>
      <c r="G867" s="52">
        <f t="shared" si="37"/>
        <v>3.1958139534883717E-2</v>
      </c>
      <c r="H867" s="445">
        <v>2</v>
      </c>
      <c r="I867" s="445"/>
      <c r="J867" s="445"/>
      <c r="K867" s="49"/>
      <c r="L867" s="799" t="s">
        <v>149</v>
      </c>
      <c r="M867" s="799"/>
      <c r="N867" s="50" t="s">
        <v>15</v>
      </c>
      <c r="O867" s="83">
        <v>3.9599999999999998E-4</v>
      </c>
      <c r="P867" s="201">
        <f>SUMIF('Cjenik VSO'!$B$9:$B$85,$B867,'Cjenik VSO'!$C$9:$C$85)</f>
        <v>68.709999999999994</v>
      </c>
      <c r="Q867" s="52">
        <f t="shared" si="38"/>
        <v>2.7209159999999996E-2</v>
      </c>
    </row>
    <row r="868" spans="1:17" ht="25.15" customHeight="1">
      <c r="A868" s="54"/>
      <c r="B868" s="804" t="s">
        <v>150</v>
      </c>
      <c r="C868" s="804"/>
      <c r="D868" s="55" t="s">
        <v>15</v>
      </c>
      <c r="E868" s="28">
        <f t="shared" si="36"/>
        <v>2.0930232558139536E-3</v>
      </c>
      <c r="F868" s="202">
        <f>SUMIF('Cjenik VSO'!$B$9:$B$85,$B868,'Cjenik VSO'!$C$9:$C$85)</f>
        <v>107.11</v>
      </c>
      <c r="G868" s="57">
        <f t="shared" si="37"/>
        <v>0.22418372093023256</v>
      </c>
      <c r="H868" s="445">
        <v>9</v>
      </c>
      <c r="I868" s="445"/>
      <c r="J868" s="445"/>
      <c r="K868" s="54"/>
      <c r="L868" s="804" t="s">
        <v>150</v>
      </c>
      <c r="M868" s="804"/>
      <c r="N868" s="55" t="s">
        <v>15</v>
      </c>
      <c r="O868" s="79">
        <v>1.583E-3</v>
      </c>
      <c r="P868" s="202">
        <f>SUMIF('Cjenik VSO'!$B$9:$B$85,$B868,'Cjenik VSO'!$C$9:$C$85)</f>
        <v>107.11</v>
      </c>
      <c r="Q868" s="57">
        <f t="shared" si="38"/>
        <v>0.16955513</v>
      </c>
    </row>
    <row r="869" spans="1:17" ht="25.15" customHeight="1">
      <c r="A869" s="14"/>
      <c r="B869" s="802" t="str">
        <f>'Obrazac kalkulacije'!$B$15</f>
        <v>Materijali:</v>
      </c>
      <c r="C869" s="802"/>
      <c r="D869" s="14"/>
      <c r="E869" s="14"/>
      <c r="F869" s="203"/>
      <c r="G869" s="16">
        <f>SUM(G870:G871)</f>
        <v>2.476</v>
      </c>
      <c r="K869" s="14"/>
      <c r="L869" s="802" t="str">
        <f>'Obrazac kalkulacije'!$B$15</f>
        <v>Materijali:</v>
      </c>
      <c r="M869" s="802"/>
      <c r="N869" s="14"/>
      <c r="O869" s="14"/>
      <c r="P869" s="203"/>
      <c r="Q869" s="16">
        <f>SUM(Q870:Q871)</f>
        <v>2.476</v>
      </c>
    </row>
    <row r="870" spans="1:17" ht="25.15" customHeight="1">
      <c r="A870" s="70"/>
      <c r="B870" s="803" t="str">
        <f>'Cjenik M'!$B$18</f>
        <v xml:space="preserve">Cement 25 kg </v>
      </c>
      <c r="C870" s="803"/>
      <c r="D870" s="71" t="str">
        <f>'Cjenik M'!$C$18</f>
        <v>vreća</v>
      </c>
      <c r="E870" s="72">
        <v>7.4999999999999997E-2</v>
      </c>
      <c r="F870" s="213">
        <f>'Cjenik M'!$D$18</f>
        <v>19.36</v>
      </c>
      <c r="G870" s="73">
        <f>+F870*E870</f>
        <v>1.452</v>
      </c>
      <c r="K870" s="70"/>
      <c r="L870" s="814" t="str">
        <f>'Cjenik M'!$B$18</f>
        <v xml:space="preserve">Cement 25 kg </v>
      </c>
      <c r="M870" s="814"/>
      <c r="N870" s="71" t="str">
        <f>'Cjenik M'!$C$18</f>
        <v>vreća</v>
      </c>
      <c r="O870" s="72">
        <v>7.4999999999999997E-2</v>
      </c>
      <c r="P870" s="213">
        <f>'Cjenik M'!$D$18</f>
        <v>19.36</v>
      </c>
      <c r="Q870" s="73">
        <f>+P870*O870</f>
        <v>1.452</v>
      </c>
    </row>
    <row r="871" spans="1:17" ht="25.15" customHeight="1" thickBot="1">
      <c r="A871" s="67"/>
      <c r="B871" s="801" t="str">
        <f>'Cjenik M'!$B$21</f>
        <v>PVC koljeno 40x90</v>
      </c>
      <c r="C871" s="801"/>
      <c r="D871" s="60" t="str">
        <f>'Cjenik M'!$C$21</f>
        <v>kom.</v>
      </c>
      <c r="E871" s="74">
        <v>0.4</v>
      </c>
      <c r="F871" s="208">
        <f>'Cjenik M'!$D$21</f>
        <v>2.56</v>
      </c>
      <c r="G871" s="63">
        <f>+F871*E871</f>
        <v>1.024</v>
      </c>
      <c r="K871" s="67"/>
      <c r="L871" s="801" t="str">
        <f>'Cjenik M'!$B$21</f>
        <v>PVC koljeno 40x90</v>
      </c>
      <c r="M871" s="801"/>
      <c r="N871" s="60" t="str">
        <f>'Cjenik M'!$C$21</f>
        <v>kom.</v>
      </c>
      <c r="O871" s="74">
        <v>0.4</v>
      </c>
      <c r="P871" s="208">
        <f>'Cjenik M'!$D$21</f>
        <v>2.56</v>
      </c>
      <c r="Q871" s="63">
        <f>+P871*O871</f>
        <v>1.024</v>
      </c>
    </row>
    <row r="872" spans="1:17" ht="25.15" customHeight="1" thickTop="1" thickBot="1">
      <c r="B872" s="40"/>
      <c r="C872" s="20"/>
      <c r="D872" s="21"/>
      <c r="E872" s="118" t="str">
        <f>'Obrazac kalkulacije'!$E$18</f>
        <v>Ukupno (kn):</v>
      </c>
      <c r="F872" s="214"/>
      <c r="G872" s="22">
        <f>ROUND(SUM(G855+G857+G869),2)</f>
        <v>6.68</v>
      </c>
      <c r="H872" s="217"/>
      <c r="I872" s="602"/>
      <c r="J872" s="602"/>
      <c r="L872" s="40"/>
      <c r="M872" s="20"/>
      <c r="N872" s="21"/>
      <c r="O872" s="118" t="str">
        <f>'Obrazac kalkulacije'!$E$18</f>
        <v>Ukupno (kn):</v>
      </c>
      <c r="P872" s="214"/>
      <c r="Q872" s="22">
        <f>ROUND(SUM(Q855+Q857+Q869),2)</f>
        <v>6.41</v>
      </c>
    </row>
    <row r="873" spans="1:17" ht="25.15" customHeight="1" thickTop="1" thickBot="1">
      <c r="E873" s="23" t="str">
        <f>'Obrazac kalkulacije'!$E$19</f>
        <v>PDV:</v>
      </c>
      <c r="F873" s="207">
        <f>'Obrazac kalkulacije'!$F$19</f>
        <v>0.25</v>
      </c>
      <c r="G873" s="24">
        <f>G872*F873</f>
        <v>1.67</v>
      </c>
      <c r="H873" s="446"/>
      <c r="I873" s="446"/>
      <c r="J873" s="446"/>
      <c r="O873" s="23" t="str">
        <f>'Obrazac kalkulacije'!$E$19</f>
        <v>PDV:</v>
      </c>
      <c r="P873" s="207">
        <f>'Obrazac kalkulacije'!$F$19</f>
        <v>0.25</v>
      </c>
      <c r="Q873" s="24">
        <f>Q872*P873</f>
        <v>1.6025</v>
      </c>
    </row>
    <row r="874" spans="1:17" ht="25.15" customHeight="1" thickTop="1" thickBot="1">
      <c r="E874" s="119" t="str">
        <f>'Obrazac kalkulacije'!$E$20</f>
        <v>Sveukupno (kn):</v>
      </c>
      <c r="F874" s="215"/>
      <c r="G874" s="24">
        <f>ROUND(SUM(G872:G873),2)</f>
        <v>8.35</v>
      </c>
      <c r="H874" s="447"/>
      <c r="I874" s="447"/>
      <c r="J874" s="447"/>
      <c r="O874" s="119" t="str">
        <f>'Obrazac kalkulacije'!$E$20</f>
        <v>Sveukupno (kn):</v>
      </c>
      <c r="P874" s="215"/>
      <c r="Q874" s="24">
        <f>ROUND(SUM(Q872:Q873),2)</f>
        <v>8.01</v>
      </c>
    </row>
    <row r="875" spans="1:17" ht="15" customHeight="1" thickTop="1"/>
    <row r="876" spans="1:17" ht="15" customHeight="1"/>
    <row r="877" spans="1:17" ht="15" customHeight="1"/>
    <row r="878" spans="1:17" ht="15" customHeight="1">
      <c r="C878" s="3" t="str">
        <f>'Obrazac kalkulacije'!$C$24</f>
        <v>IZVODITELJ:</v>
      </c>
      <c r="F878" s="780" t="str">
        <f>'Obrazac kalkulacije'!$F$24</f>
        <v>NARUČITELJ:</v>
      </c>
      <c r="G878" s="780"/>
      <c r="M878" s="3" t="str">
        <f>'Obrazac kalkulacije'!$C$24</f>
        <v>IZVODITELJ:</v>
      </c>
      <c r="P878" s="780" t="str">
        <f>'Obrazac kalkulacije'!$F$24</f>
        <v>NARUČITELJ:</v>
      </c>
      <c r="Q878" s="780"/>
    </row>
    <row r="879" spans="1:17" ht="25.15" customHeight="1">
      <c r="C879" s="3" t="str">
        <f>'Obrazac kalkulacije'!$C$25</f>
        <v>__________________</v>
      </c>
      <c r="F879" s="780" t="str">
        <f>'Obrazac kalkulacije'!$F$25</f>
        <v>___________________</v>
      </c>
      <c r="G879" s="780"/>
      <c r="M879" s="3" t="str">
        <f>'Obrazac kalkulacije'!$C$25</f>
        <v>__________________</v>
      </c>
      <c r="P879" s="780" t="str">
        <f>'Obrazac kalkulacije'!$F$25</f>
        <v>___________________</v>
      </c>
      <c r="Q879" s="780"/>
    </row>
    <row r="880" spans="1:17" ht="15" customHeight="1">
      <c r="G880" s="25"/>
      <c r="Q880" s="25"/>
    </row>
    <row r="881" spans="1:17" ht="15" customHeight="1"/>
    <row r="882" spans="1:17" ht="15" customHeight="1">
      <c r="A882" s="115"/>
      <c r="B882" s="116" t="s">
        <v>17</v>
      </c>
      <c r="C882" s="117" t="s">
        <v>18</v>
      </c>
      <c r="D882" s="117"/>
      <c r="E882" s="117"/>
      <c r="F882" s="211"/>
      <c r="G882" s="117"/>
      <c r="K882" s="115"/>
      <c r="L882" s="116" t="s">
        <v>17</v>
      </c>
      <c r="M882" s="117" t="s">
        <v>18</v>
      </c>
      <c r="N882" s="117"/>
      <c r="O882" s="117"/>
      <c r="P882" s="211"/>
      <c r="Q882" s="117"/>
    </row>
    <row r="883" spans="1:17" ht="15" customHeight="1">
      <c r="A883" s="31"/>
      <c r="B883" s="32" t="s">
        <v>22</v>
      </c>
      <c r="C883" s="7" t="s">
        <v>23</v>
      </c>
      <c r="D883" s="7"/>
      <c r="E883" s="7"/>
      <c r="F883" s="212"/>
      <c r="G883" s="7"/>
      <c r="K883" s="31"/>
      <c r="L883" s="32" t="s">
        <v>22</v>
      </c>
      <c r="M883" s="7" t="s">
        <v>23</v>
      </c>
      <c r="N883" s="7"/>
      <c r="O883" s="7"/>
      <c r="P883" s="212"/>
      <c r="Q883" s="7"/>
    </row>
    <row r="884" spans="1:17" ht="15" customHeight="1">
      <c r="A884" s="41"/>
      <c r="B884" s="42" t="s">
        <v>55</v>
      </c>
      <c r="C884" s="43" t="s">
        <v>56</v>
      </c>
      <c r="D884" s="43"/>
      <c r="E884" s="43"/>
      <c r="F884" s="209"/>
      <c r="G884" s="43"/>
      <c r="K884" s="41"/>
      <c r="L884" s="42" t="s">
        <v>55</v>
      </c>
      <c r="M884" s="43" t="s">
        <v>56</v>
      </c>
      <c r="N884" s="43"/>
      <c r="O884" s="43"/>
      <c r="P884" s="209"/>
      <c r="Q884" s="43"/>
    </row>
    <row r="885" spans="1:17" ht="150" customHeight="1">
      <c r="A885" s="33"/>
      <c r="B885" s="443" t="s">
        <v>57</v>
      </c>
      <c r="C885" s="792" t="s">
        <v>191</v>
      </c>
      <c r="D885" s="792"/>
      <c r="E885" s="792"/>
      <c r="F885" s="792"/>
      <c r="G885" s="792"/>
      <c r="K885" s="33"/>
      <c r="L885" s="34" t="s">
        <v>57</v>
      </c>
      <c r="M885" s="795" t="s">
        <v>191</v>
      </c>
      <c r="N885" s="795"/>
      <c r="O885" s="795"/>
      <c r="P885" s="795"/>
      <c r="Q885" s="795"/>
    </row>
    <row r="886" spans="1:17" ht="15" customHeight="1" thickBot="1"/>
    <row r="887" spans="1:17" ht="30" customHeight="1" thickTop="1" thickBot="1">
      <c r="A887" s="8"/>
      <c r="B887" s="797" t="str">
        <f>'Obrazac kalkulacije'!$B$6:$C$6</f>
        <v>Opis</v>
      </c>
      <c r="C887" s="797"/>
      <c r="D887" s="8" t="str">
        <f>'Obrazac kalkulacije'!$D$6</f>
        <v>Jed.
mjere</v>
      </c>
      <c r="E887" s="8" t="str">
        <f>'Obrazac kalkulacije'!$E$6</f>
        <v>Normativ</v>
      </c>
      <c r="F887" s="8" t="str">
        <f>'Obrazac kalkulacije'!$F$6</f>
        <v>Jed.
cijena</v>
      </c>
      <c r="G887" s="8" t="str">
        <f>'Obrazac kalkulacije'!$G$6</f>
        <v>Iznos</v>
      </c>
      <c r="H887" s="3">
        <v>2500</v>
      </c>
      <c r="K887" s="8"/>
      <c r="L887" s="797" t="e">
        <f>'Obrazac kalkulacije'!$B$6:$C$6</f>
        <v>#VALUE!</v>
      </c>
      <c r="M887" s="797"/>
      <c r="N887" s="8" t="str">
        <f>'Obrazac kalkulacije'!$D$6</f>
        <v>Jed.
mjere</v>
      </c>
      <c r="O887" s="8" t="str">
        <f>'Obrazac kalkulacije'!$E$6</f>
        <v>Normativ</v>
      </c>
      <c r="P887" s="8" t="str">
        <f>'Obrazac kalkulacije'!$F$6</f>
        <v>Jed.
cijena</v>
      </c>
      <c r="Q887" s="8" t="str">
        <f>'Obrazac kalkulacije'!$G$6</f>
        <v>Iznos</v>
      </c>
    </row>
    <row r="888" spans="1:17" ht="4.5" customHeight="1" thickTop="1">
      <c r="B888" s="35"/>
      <c r="C888" s="1"/>
      <c r="D888" s="9"/>
      <c r="E888" s="11"/>
      <c r="F888" s="205"/>
      <c r="G888" s="13"/>
      <c r="L888" s="35"/>
      <c r="M888" s="1"/>
      <c r="N888" s="9"/>
      <c r="O888" s="11"/>
      <c r="P888" s="205"/>
      <c r="Q888" s="13"/>
    </row>
    <row r="889" spans="1:17" ht="25.15" customHeight="1">
      <c r="A889" s="14"/>
      <c r="B889" s="15" t="str">
        <f>'Obrazac kalkulacije'!$B$8</f>
        <v>Radna snaga:</v>
      </c>
      <c r="C889" s="15"/>
      <c r="D889" s="14"/>
      <c r="E889" s="14"/>
      <c r="F889" s="206"/>
      <c r="G889" s="16">
        <f>SUM(G890:G890)</f>
        <v>0</v>
      </c>
      <c r="K889" s="14"/>
      <c r="L889" s="15" t="str">
        <f>'Obrazac kalkulacije'!$B$8</f>
        <v>Radna snaga:</v>
      </c>
      <c r="M889" s="15"/>
      <c r="N889" s="14"/>
      <c r="O889" s="14"/>
      <c r="P889" s="206"/>
      <c r="Q889" s="16">
        <f>SUM(Q890:Q890)</f>
        <v>0</v>
      </c>
    </row>
    <row r="890" spans="1:17" ht="25.15" customHeight="1">
      <c r="A890" s="26"/>
      <c r="B890" s="791" t="s">
        <v>130</v>
      </c>
      <c r="C890" s="791"/>
      <c r="D890" s="27" t="s">
        <v>15</v>
      </c>
      <c r="E890" s="28">
        <f>H890/H$887</f>
        <v>8.3999999999999995E-3</v>
      </c>
      <c r="F890" s="203">
        <f>SUMIF('Cjenik RS'!$C$11:$C$26,$B890,'Cjenik RS'!$D$11:$D$88)</f>
        <v>0</v>
      </c>
      <c r="G890" s="29">
        <f>F890*E890</f>
        <v>0</v>
      </c>
      <c r="H890" s="444">
        <v>21</v>
      </c>
      <c r="I890" s="444"/>
      <c r="J890" s="444"/>
      <c r="K890" s="26"/>
      <c r="L890" s="791" t="s">
        <v>130</v>
      </c>
      <c r="M890" s="791"/>
      <c r="N890" s="27" t="s">
        <v>15</v>
      </c>
      <c r="O890" s="28">
        <v>8.5710000000000005E-3</v>
      </c>
      <c r="P890" s="203">
        <f>SUMIF('Cjenik RS'!$C$11:$C$26,$B890,'Cjenik RS'!$D$11:$D$88)</f>
        <v>0</v>
      </c>
      <c r="Q890" s="29">
        <f>P890*O890</f>
        <v>0</v>
      </c>
    </row>
    <row r="891" spans="1:17" ht="25.15" customHeight="1">
      <c r="A891" s="14"/>
      <c r="B891" s="15" t="str">
        <f>'Obrazac kalkulacije'!$B$11</f>
        <v>Vozila, strojevi i oprema:</v>
      </c>
      <c r="C891" s="15"/>
      <c r="D891" s="14"/>
      <c r="E891" s="14"/>
      <c r="F891" s="203"/>
      <c r="G891" s="16">
        <f>SUM(G892:G897)</f>
        <v>5.2408240000000017</v>
      </c>
      <c r="H891" s="444"/>
      <c r="I891" s="444"/>
      <c r="J891" s="444"/>
      <c r="K891" s="14"/>
      <c r="L891" s="15" t="str">
        <f>'Obrazac kalkulacije'!$B$11</f>
        <v>Vozila, strojevi i oprema:</v>
      </c>
      <c r="M891" s="15"/>
      <c r="N891" s="14"/>
      <c r="O891" s="14"/>
      <c r="P891" s="203"/>
      <c r="Q891" s="16">
        <f>SUM(Q892:Q897)</f>
        <v>5.2002329500000002</v>
      </c>
    </row>
    <row r="892" spans="1:17" ht="25.15" customHeight="1">
      <c r="A892" s="49"/>
      <c r="B892" s="799" t="s">
        <v>143</v>
      </c>
      <c r="C892" s="799"/>
      <c r="D892" s="50" t="s">
        <v>15</v>
      </c>
      <c r="E892" s="28">
        <f t="shared" ref="E892:E897" si="39">H892/H$887</f>
        <v>6.0000000000000001E-3</v>
      </c>
      <c r="F892" s="201">
        <f>SUMIF('Cjenik VSO'!$B$9:$B$85,$B892,'Cjenik VSO'!$C$9:$C$85)</f>
        <v>355.64</v>
      </c>
      <c r="G892" s="52">
        <f t="shared" ref="G892:G897" si="40">E892*F892</f>
        <v>2.1338400000000002</v>
      </c>
      <c r="H892" s="444">
        <v>15</v>
      </c>
      <c r="I892" s="444"/>
      <c r="J892" s="444"/>
      <c r="K892" s="49"/>
      <c r="L892" s="800" t="s">
        <v>143</v>
      </c>
      <c r="M892" s="800"/>
      <c r="N892" s="50" t="s">
        <v>15</v>
      </c>
      <c r="O892" s="83">
        <v>6.4289999999999998E-3</v>
      </c>
      <c r="P892" s="201">
        <f>SUMIF('Cjenik VSO'!$B$9:$B$85,$B892,'Cjenik VSO'!$C$9:$C$85)</f>
        <v>355.64</v>
      </c>
      <c r="Q892" s="52">
        <f t="shared" ref="Q892:Q897" si="41">O892*P892</f>
        <v>2.2864095600000001</v>
      </c>
    </row>
    <row r="893" spans="1:17" ht="25.15" customHeight="1">
      <c r="A893" s="49"/>
      <c r="B893" s="799" t="s">
        <v>144</v>
      </c>
      <c r="C893" s="799"/>
      <c r="D893" s="50" t="s">
        <v>15</v>
      </c>
      <c r="E893" s="28">
        <f t="shared" si="39"/>
        <v>3.2000000000000002E-3</v>
      </c>
      <c r="F893" s="201">
        <f>SUMIF('Cjenik VSO'!$B$9:$B$85,$B893,'Cjenik VSO'!$C$9:$C$85)</f>
        <v>718.97</v>
      </c>
      <c r="G893" s="52">
        <f t="shared" si="40"/>
        <v>2.3007040000000001</v>
      </c>
      <c r="H893" s="444">
        <v>8</v>
      </c>
      <c r="I893" s="444"/>
      <c r="J893" s="444"/>
      <c r="K893" s="49"/>
      <c r="L893" s="799" t="s">
        <v>144</v>
      </c>
      <c r="M893" s="799"/>
      <c r="N893" s="50" t="s">
        <v>15</v>
      </c>
      <c r="O893" s="83">
        <v>2.8570000000000002E-3</v>
      </c>
      <c r="P893" s="201">
        <f>SUMIF('Cjenik VSO'!$B$9:$B$85,$B893,'Cjenik VSO'!$C$9:$C$85)</f>
        <v>718.97</v>
      </c>
      <c r="Q893" s="52">
        <f t="shared" si="41"/>
        <v>2.0540972900000001</v>
      </c>
    </row>
    <row r="894" spans="1:17" ht="25.15" customHeight="1">
      <c r="A894" s="49"/>
      <c r="B894" s="799" t="s">
        <v>133</v>
      </c>
      <c r="C894" s="799"/>
      <c r="D894" s="50" t="s">
        <v>15</v>
      </c>
      <c r="E894" s="28">
        <f t="shared" si="39"/>
        <v>1.1999999999999999E-3</v>
      </c>
      <c r="F894" s="201">
        <f>SUMIF('Cjenik VSO'!$B$9:$B$85,$B894,'Cjenik VSO'!$C$9:$C$85)</f>
        <v>328.73</v>
      </c>
      <c r="G894" s="52">
        <f t="shared" si="40"/>
        <v>0.39447599999999999</v>
      </c>
      <c r="H894" s="444">
        <v>3</v>
      </c>
      <c r="I894" s="444"/>
      <c r="J894" s="444"/>
      <c r="K894" s="49"/>
      <c r="L894" s="799" t="s">
        <v>133</v>
      </c>
      <c r="M894" s="799"/>
      <c r="N894" s="50" t="s">
        <v>15</v>
      </c>
      <c r="O894" s="83">
        <v>1.4289999999999999E-3</v>
      </c>
      <c r="P894" s="201">
        <f>SUMIF('Cjenik VSO'!$B$9:$B$85,$B894,'Cjenik VSO'!$C$9:$C$85)</f>
        <v>328.73</v>
      </c>
      <c r="Q894" s="52">
        <f t="shared" si="41"/>
        <v>0.46975517</v>
      </c>
    </row>
    <row r="895" spans="1:17" ht="25.15" customHeight="1">
      <c r="A895" s="49"/>
      <c r="B895" s="799" t="s">
        <v>134</v>
      </c>
      <c r="C895" s="799"/>
      <c r="D895" s="50" t="s">
        <v>15</v>
      </c>
      <c r="E895" s="28">
        <f t="shared" si="39"/>
        <v>1.1999999999999999E-3</v>
      </c>
      <c r="F895" s="201">
        <f>SUMIF('Cjenik VSO'!$B$9:$B$85,$B895,'Cjenik VSO'!$C$9:$C$85)</f>
        <v>62.67</v>
      </c>
      <c r="G895" s="52">
        <f t="shared" si="40"/>
        <v>7.5203999999999993E-2</v>
      </c>
      <c r="H895" s="444">
        <v>3</v>
      </c>
      <c r="I895" s="444"/>
      <c r="J895" s="444"/>
      <c r="K895" s="49"/>
      <c r="L895" s="799" t="s">
        <v>134</v>
      </c>
      <c r="M895" s="799"/>
      <c r="N895" s="50" t="s">
        <v>15</v>
      </c>
      <c r="O895" s="83">
        <v>1.4289999999999999E-3</v>
      </c>
      <c r="P895" s="201">
        <f>SUMIF('Cjenik VSO'!$B$9:$B$85,$B895,'Cjenik VSO'!$C$9:$C$85)</f>
        <v>62.67</v>
      </c>
      <c r="Q895" s="52">
        <f t="shared" si="41"/>
        <v>8.9555429999999991E-2</v>
      </c>
    </row>
    <row r="896" spans="1:17" ht="25.15" customHeight="1">
      <c r="A896" s="49"/>
      <c r="B896" s="799" t="s">
        <v>150</v>
      </c>
      <c r="C896" s="799"/>
      <c r="D896" s="50" t="s">
        <v>15</v>
      </c>
      <c r="E896" s="28">
        <f t="shared" si="39"/>
        <v>8.0000000000000004E-4</v>
      </c>
      <c r="F896" s="201">
        <f>SUMIF('Cjenik VSO'!$B$9:$B$85,$B896,'Cjenik VSO'!$C$9:$C$85)</f>
        <v>107.11</v>
      </c>
      <c r="G896" s="52">
        <f t="shared" si="40"/>
        <v>8.5688E-2</v>
      </c>
      <c r="H896" s="444">
        <v>2</v>
      </c>
      <c r="I896" s="444"/>
      <c r="J896" s="444"/>
      <c r="K896" s="49"/>
      <c r="L896" s="799" t="s">
        <v>150</v>
      </c>
      <c r="M896" s="799"/>
      <c r="N896" s="50" t="s">
        <v>15</v>
      </c>
      <c r="O896" s="83">
        <v>7.1400000000000001E-4</v>
      </c>
      <c r="P896" s="201">
        <f>SUMIF('Cjenik VSO'!$B$9:$B$85,$B896,'Cjenik VSO'!$C$9:$C$85)</f>
        <v>107.11</v>
      </c>
      <c r="Q896" s="52">
        <f t="shared" si="41"/>
        <v>7.6476539999999996E-2</v>
      </c>
    </row>
    <row r="897" spans="1:17" ht="25.15" customHeight="1" thickBot="1">
      <c r="A897" s="59"/>
      <c r="B897" s="806" t="s">
        <v>136</v>
      </c>
      <c r="C897" s="806"/>
      <c r="D897" s="60" t="s">
        <v>15</v>
      </c>
      <c r="E897" s="28">
        <f t="shared" si="39"/>
        <v>8.0000000000000004E-4</v>
      </c>
      <c r="F897" s="208">
        <f>SUMIF('Cjenik VSO'!$B$9:$B$85,$B897,'Cjenik VSO'!$C$9:$C$85)</f>
        <v>313.64</v>
      </c>
      <c r="G897" s="62">
        <f t="shared" si="40"/>
        <v>0.25091200000000002</v>
      </c>
      <c r="H897" s="444">
        <v>2</v>
      </c>
      <c r="I897" s="444"/>
      <c r="J897" s="444"/>
      <c r="K897" s="59"/>
      <c r="L897" s="806" t="s">
        <v>136</v>
      </c>
      <c r="M897" s="806"/>
      <c r="N897" s="60" t="s">
        <v>15</v>
      </c>
      <c r="O897" s="86">
        <v>7.1400000000000001E-4</v>
      </c>
      <c r="P897" s="208">
        <f>SUMIF('Cjenik VSO'!$B$9:$B$85,$B897,'Cjenik VSO'!$C$9:$C$85)</f>
        <v>313.64</v>
      </c>
      <c r="Q897" s="62">
        <f t="shared" si="41"/>
        <v>0.22393895999999999</v>
      </c>
    </row>
    <row r="898" spans="1:17" ht="25.15" customHeight="1" thickTop="1" thickBot="1">
      <c r="B898" s="40"/>
      <c r="C898" s="20"/>
      <c r="D898" s="21"/>
      <c r="E898" s="118" t="str">
        <f>'Obrazac kalkulacije'!$E$18</f>
        <v>Ukupno (kn):</v>
      </c>
      <c r="F898" s="214"/>
      <c r="G898" s="22">
        <f>ROUND(SUM(G889+G891),2)</f>
        <v>5.24</v>
      </c>
      <c r="H898" s="217"/>
      <c r="I898" s="602"/>
      <c r="J898" s="602"/>
      <c r="L898" s="40"/>
      <c r="M898" s="20"/>
      <c r="N898" s="21"/>
      <c r="O898" s="118" t="str">
        <f>'Obrazac kalkulacije'!$E$18</f>
        <v>Ukupno (kn):</v>
      </c>
      <c r="P898" s="214"/>
      <c r="Q898" s="22">
        <f>ROUND(SUM(Q889+Q891),2)</f>
        <v>5.2</v>
      </c>
    </row>
    <row r="899" spans="1:17" ht="25.15" customHeight="1" thickTop="1" thickBot="1">
      <c r="E899" s="23" t="str">
        <f>'Obrazac kalkulacije'!$E$19</f>
        <v>PDV:</v>
      </c>
      <c r="F899" s="207">
        <f>'Obrazac kalkulacije'!$F$19</f>
        <v>0.25</v>
      </c>
      <c r="G899" s="24">
        <f>G898*F899</f>
        <v>1.31</v>
      </c>
      <c r="H899" s="446"/>
      <c r="I899" s="446"/>
      <c r="J899" s="446"/>
      <c r="O899" s="23" t="str">
        <f>'Obrazac kalkulacije'!$E$19</f>
        <v>PDV:</v>
      </c>
      <c r="P899" s="207">
        <f>'Obrazac kalkulacije'!$F$19</f>
        <v>0.25</v>
      </c>
      <c r="Q899" s="24">
        <f>Q898*P899</f>
        <v>1.3</v>
      </c>
    </row>
    <row r="900" spans="1:17" ht="25.15" customHeight="1" thickTop="1" thickBot="1">
      <c r="E900" s="119" t="str">
        <f>'Obrazac kalkulacije'!$E$20</f>
        <v>Sveukupno (kn):</v>
      </c>
      <c r="F900" s="215"/>
      <c r="G900" s="24">
        <f>ROUND(SUM(G898:G899),2)</f>
        <v>6.55</v>
      </c>
      <c r="H900" s="447"/>
      <c r="I900" s="447"/>
      <c r="J900" s="447"/>
      <c r="O900" s="119" t="str">
        <f>'Obrazac kalkulacije'!$E$20</f>
        <v>Sveukupno (kn):</v>
      </c>
      <c r="P900" s="215"/>
      <c r="Q900" s="24">
        <f>ROUND(SUM(Q898:Q899),2)</f>
        <v>6.5</v>
      </c>
    </row>
    <row r="901" spans="1:17" ht="15" customHeight="1" thickTop="1"/>
    <row r="902" spans="1:17" ht="15" customHeight="1"/>
    <row r="903" spans="1:17" ht="15" customHeight="1"/>
    <row r="904" spans="1:17" ht="15" customHeight="1">
      <c r="C904" s="3" t="str">
        <f>'Obrazac kalkulacije'!$C$24</f>
        <v>IZVODITELJ:</v>
      </c>
      <c r="F904" s="780" t="str">
        <f>'Obrazac kalkulacije'!$F$24</f>
        <v>NARUČITELJ:</v>
      </c>
      <c r="G904" s="780"/>
      <c r="M904" s="3" t="str">
        <f>'Obrazac kalkulacije'!$C$24</f>
        <v>IZVODITELJ:</v>
      </c>
      <c r="P904" s="780" t="str">
        <f>'Obrazac kalkulacije'!$F$24</f>
        <v>NARUČITELJ:</v>
      </c>
      <c r="Q904" s="780"/>
    </row>
    <row r="905" spans="1:17" ht="25.15" customHeight="1">
      <c r="C905" s="3" t="str">
        <f>'Obrazac kalkulacije'!$C$25</f>
        <v>__________________</v>
      </c>
      <c r="F905" s="780" t="str">
        <f>'Obrazac kalkulacije'!$F$25</f>
        <v>___________________</v>
      </c>
      <c r="G905" s="780"/>
      <c r="M905" s="3" t="str">
        <f>'Obrazac kalkulacije'!$C$25</f>
        <v>__________________</v>
      </c>
      <c r="P905" s="780" t="str">
        <f>'Obrazac kalkulacije'!$F$25</f>
        <v>___________________</v>
      </c>
      <c r="Q905" s="780"/>
    </row>
    <row r="906" spans="1:17" ht="15" customHeight="1">
      <c r="G906" s="25"/>
      <c r="Q906" s="25"/>
    </row>
    <row r="907" spans="1:17" ht="15" customHeight="1"/>
    <row r="908" spans="1:17" ht="15" customHeight="1">
      <c r="A908" s="115"/>
      <c r="B908" s="116" t="s">
        <v>17</v>
      </c>
      <c r="C908" s="117" t="s">
        <v>18</v>
      </c>
      <c r="D908" s="117"/>
      <c r="E908" s="117"/>
      <c r="F908" s="211"/>
      <c r="G908" s="117"/>
      <c r="K908" s="115"/>
      <c r="L908" s="116" t="s">
        <v>17</v>
      </c>
      <c r="M908" s="117" t="s">
        <v>18</v>
      </c>
      <c r="N908" s="117"/>
      <c r="O908" s="117"/>
      <c r="P908" s="211"/>
      <c r="Q908" s="117"/>
    </row>
    <row r="909" spans="1:17" ht="15" customHeight="1">
      <c r="A909" s="31"/>
      <c r="B909" s="32" t="s">
        <v>22</v>
      </c>
      <c r="C909" s="7" t="s">
        <v>23</v>
      </c>
      <c r="D909" s="7"/>
      <c r="E909" s="7"/>
      <c r="F909" s="212"/>
      <c r="G909" s="7"/>
      <c r="K909" s="31"/>
      <c r="L909" s="32" t="s">
        <v>22</v>
      </c>
      <c r="M909" s="7" t="s">
        <v>23</v>
      </c>
      <c r="N909" s="7"/>
      <c r="O909" s="7"/>
      <c r="P909" s="212"/>
      <c r="Q909" s="7"/>
    </row>
    <row r="910" spans="1:17" ht="15" customHeight="1">
      <c r="A910" s="41"/>
      <c r="B910" s="42" t="s">
        <v>55</v>
      </c>
      <c r="C910" s="43" t="s">
        <v>56</v>
      </c>
      <c r="D910" s="43"/>
      <c r="E910" s="43"/>
      <c r="F910" s="209"/>
      <c r="G910" s="43"/>
      <c r="K910" s="41"/>
      <c r="L910" s="42" t="s">
        <v>55</v>
      </c>
      <c r="M910" s="43" t="s">
        <v>56</v>
      </c>
      <c r="N910" s="43"/>
      <c r="O910" s="43"/>
      <c r="P910" s="209"/>
      <c r="Q910" s="43"/>
    </row>
    <row r="911" spans="1:17" ht="150" customHeight="1">
      <c r="A911" s="33"/>
      <c r="B911" s="443" t="s">
        <v>58</v>
      </c>
      <c r="C911" s="792" t="s">
        <v>192</v>
      </c>
      <c r="D911" s="792"/>
      <c r="E911" s="792"/>
      <c r="F911" s="792"/>
      <c r="G911" s="792"/>
      <c r="K911" s="33"/>
      <c r="L911" s="34" t="s">
        <v>58</v>
      </c>
      <c r="M911" s="795" t="s">
        <v>192</v>
      </c>
      <c r="N911" s="795"/>
      <c r="O911" s="795"/>
      <c r="P911" s="795"/>
      <c r="Q911" s="795"/>
    </row>
    <row r="912" spans="1:17" ht="15" customHeight="1" thickBot="1"/>
    <row r="913" spans="1:17" ht="30" customHeight="1" thickTop="1" thickBot="1">
      <c r="A913" s="8"/>
      <c r="B913" s="797" t="str">
        <f>'Obrazac kalkulacije'!$B$6:$C$6</f>
        <v>Opis</v>
      </c>
      <c r="C913" s="797"/>
      <c r="D913" s="8" t="str">
        <f>'Obrazac kalkulacije'!$D$6</f>
        <v>Jed.
mjere</v>
      </c>
      <c r="E913" s="8" t="str">
        <f>'Obrazac kalkulacije'!$E$6</f>
        <v>Normativ</v>
      </c>
      <c r="F913" s="8" t="str">
        <f>'Obrazac kalkulacije'!$F$6</f>
        <v>Jed.
cijena</v>
      </c>
      <c r="G913" s="8" t="str">
        <f>'Obrazac kalkulacije'!$G$6</f>
        <v>Iznos</v>
      </c>
      <c r="H913" s="3">
        <v>1700</v>
      </c>
      <c r="K913" s="8"/>
      <c r="L913" s="797" t="e">
        <f>'Obrazac kalkulacije'!$B$6:$C$6</f>
        <v>#VALUE!</v>
      </c>
      <c r="M913" s="797"/>
      <c r="N913" s="8" t="str">
        <f>'Obrazac kalkulacije'!$D$6</f>
        <v>Jed.
mjere</v>
      </c>
      <c r="O913" s="8" t="str">
        <f>'Obrazac kalkulacije'!$E$6</f>
        <v>Normativ</v>
      </c>
      <c r="P913" s="8" t="str">
        <f>'Obrazac kalkulacije'!$F$6</f>
        <v>Jed.
cijena</v>
      </c>
      <c r="Q913" s="8" t="str">
        <f>'Obrazac kalkulacije'!$G$6</f>
        <v>Iznos</v>
      </c>
    </row>
    <row r="914" spans="1:17" ht="4.5" customHeight="1" thickTop="1">
      <c r="B914" s="35"/>
      <c r="C914" s="1"/>
      <c r="D914" s="9"/>
      <c r="E914" s="11"/>
      <c r="F914" s="205"/>
      <c r="G914" s="13"/>
      <c r="L914" s="35"/>
      <c r="M914" s="1"/>
      <c r="N914" s="9"/>
      <c r="O914" s="11"/>
      <c r="P914" s="205"/>
      <c r="Q914" s="13"/>
    </row>
    <row r="915" spans="1:17" ht="25.15" customHeight="1">
      <c r="A915" s="14"/>
      <c r="B915" s="15" t="str">
        <f>'Obrazac kalkulacije'!$B$8</f>
        <v>Radna snaga:</v>
      </c>
      <c r="C915" s="15"/>
      <c r="D915" s="14"/>
      <c r="E915" s="14"/>
      <c r="F915" s="206"/>
      <c r="G915" s="16">
        <f>SUM(G916:G916)</f>
        <v>0</v>
      </c>
      <c r="K915" s="14"/>
      <c r="L915" s="15" t="str">
        <f>'Obrazac kalkulacije'!$B$8</f>
        <v>Radna snaga:</v>
      </c>
      <c r="M915" s="15"/>
      <c r="N915" s="14"/>
      <c r="O915" s="14"/>
      <c r="P915" s="206"/>
      <c r="Q915" s="16">
        <f>SUM(Q916:Q916)</f>
        <v>0</v>
      </c>
    </row>
    <row r="916" spans="1:17" ht="25.15" customHeight="1">
      <c r="A916" s="26"/>
      <c r="B916" s="791" t="s">
        <v>130</v>
      </c>
      <c r="C916" s="791"/>
      <c r="D916" s="27" t="s">
        <v>15</v>
      </c>
      <c r="E916" s="28">
        <f>H916/H913</f>
        <v>1.2352941176470587E-2</v>
      </c>
      <c r="F916" s="203">
        <f>SUMIF('Cjenik RS'!$C$11:$C$26,$B916,'Cjenik RS'!$D$11:$D$88)</f>
        <v>0</v>
      </c>
      <c r="G916" s="29">
        <f>F916*E916</f>
        <v>0</v>
      </c>
      <c r="H916" s="444">
        <v>21</v>
      </c>
      <c r="I916" s="444"/>
      <c r="J916" s="444"/>
      <c r="K916" s="26"/>
      <c r="L916" s="791" t="s">
        <v>130</v>
      </c>
      <c r="M916" s="791"/>
      <c r="N916" s="27" t="s">
        <v>15</v>
      </c>
      <c r="O916" s="28">
        <v>1.6E-2</v>
      </c>
      <c r="P916" s="203">
        <f>SUMIF('Cjenik RS'!$C$11:$C$26,$B916,'Cjenik RS'!$D$11:$D$88)</f>
        <v>0</v>
      </c>
      <c r="Q916" s="29">
        <f>P916*O916</f>
        <v>0</v>
      </c>
    </row>
    <row r="917" spans="1:17" ht="25.15" customHeight="1">
      <c r="A917" s="14"/>
      <c r="B917" s="15" t="str">
        <f>'Obrazac kalkulacije'!$B$11</f>
        <v>Vozila, strojevi i oprema:</v>
      </c>
      <c r="C917" s="15"/>
      <c r="D917" s="14"/>
      <c r="E917" s="14"/>
      <c r="F917" s="203"/>
      <c r="G917" s="16">
        <f>SUM(G918:G923)</f>
        <v>7.7070941176470589</v>
      </c>
      <c r="H917" s="444"/>
      <c r="I917" s="444"/>
      <c r="J917" s="444"/>
      <c r="K917" s="14"/>
      <c r="L917" s="15" t="str">
        <f>'Obrazac kalkulacije'!$B$11</f>
        <v>Vozila, strojevi i oprema:</v>
      </c>
      <c r="M917" s="15"/>
      <c r="N917" s="14"/>
      <c r="O917" s="14"/>
      <c r="P917" s="203"/>
      <c r="Q917" s="16">
        <f>SUM(Q918:Q923)</f>
        <v>7.2801899999999993</v>
      </c>
    </row>
    <row r="918" spans="1:17" ht="25.15" customHeight="1">
      <c r="A918" s="49"/>
      <c r="B918" s="799" t="s">
        <v>143</v>
      </c>
      <c r="C918" s="799"/>
      <c r="D918" s="50" t="s">
        <v>15</v>
      </c>
      <c r="E918" s="28">
        <f>H918/H913</f>
        <v>8.8235294117647058E-3</v>
      </c>
      <c r="F918" s="201">
        <f>SUMIF('Cjenik VSO'!$B$9:$B$85,$B918,'Cjenik VSO'!$C$9:$C$85)</f>
        <v>355.64</v>
      </c>
      <c r="G918" s="52">
        <f t="shared" ref="G918:G923" si="42">E918*F918</f>
        <v>3.1379999999999999</v>
      </c>
      <c r="H918" s="444">
        <v>15</v>
      </c>
      <c r="I918" s="444"/>
      <c r="J918" s="444"/>
      <c r="K918" s="49"/>
      <c r="L918" s="800" t="s">
        <v>143</v>
      </c>
      <c r="M918" s="800"/>
      <c r="N918" s="50" t="s">
        <v>15</v>
      </c>
      <c r="O918" s="83">
        <v>8.9999999999999993E-3</v>
      </c>
      <c r="P918" s="201">
        <f>SUMIF('Cjenik VSO'!$B$9:$B$85,$B918,'Cjenik VSO'!$C$9:$C$85)</f>
        <v>355.64</v>
      </c>
      <c r="Q918" s="52">
        <f t="shared" ref="Q918:Q923" si="43">O918*P918</f>
        <v>3.2007599999999998</v>
      </c>
    </row>
    <row r="919" spans="1:17" ht="25.15" customHeight="1">
      <c r="A919" s="49"/>
      <c r="B919" s="799" t="s">
        <v>144</v>
      </c>
      <c r="C919" s="799"/>
      <c r="D919" s="50" t="s">
        <v>15</v>
      </c>
      <c r="E919" s="28">
        <f>H919/H913</f>
        <v>4.7058823529411761E-3</v>
      </c>
      <c r="F919" s="201">
        <f>SUMIF('Cjenik VSO'!$B$9:$B$85,$B919,'Cjenik VSO'!$C$9:$C$85)</f>
        <v>718.97</v>
      </c>
      <c r="G919" s="52">
        <f t="shared" si="42"/>
        <v>3.3833882352941176</v>
      </c>
      <c r="H919" s="444">
        <v>8</v>
      </c>
      <c r="I919" s="444"/>
      <c r="J919" s="444"/>
      <c r="K919" s="49"/>
      <c r="L919" s="799" t="s">
        <v>144</v>
      </c>
      <c r="M919" s="799"/>
      <c r="N919" s="50" t="s">
        <v>15</v>
      </c>
      <c r="O919" s="83">
        <v>4.0000000000000001E-3</v>
      </c>
      <c r="P919" s="201">
        <f>SUMIF('Cjenik VSO'!$B$9:$B$85,$B919,'Cjenik VSO'!$C$9:$C$85)</f>
        <v>718.97</v>
      </c>
      <c r="Q919" s="52">
        <f t="shared" si="43"/>
        <v>2.87588</v>
      </c>
    </row>
    <row r="920" spans="1:17" ht="25.15" customHeight="1">
      <c r="A920" s="49"/>
      <c r="B920" s="799" t="s">
        <v>133</v>
      </c>
      <c r="C920" s="799"/>
      <c r="D920" s="50" t="s">
        <v>15</v>
      </c>
      <c r="E920" s="28">
        <f>H920/H913</f>
        <v>1.7647058823529412E-3</v>
      </c>
      <c r="F920" s="201">
        <f>SUMIF('Cjenik VSO'!$B$9:$B$85,$B920,'Cjenik VSO'!$C$9:$C$85)</f>
        <v>328.73</v>
      </c>
      <c r="G920" s="52">
        <f t="shared" si="42"/>
        <v>0.58011176470588244</v>
      </c>
      <c r="H920" s="444">
        <v>3</v>
      </c>
      <c r="I920" s="444"/>
      <c r="J920" s="444"/>
      <c r="K920" s="49"/>
      <c r="L920" s="799" t="s">
        <v>133</v>
      </c>
      <c r="M920" s="799"/>
      <c r="N920" s="50" t="s">
        <v>15</v>
      </c>
      <c r="O920" s="83">
        <v>2E-3</v>
      </c>
      <c r="P920" s="201">
        <f>SUMIF('Cjenik VSO'!$B$9:$B$85,$B920,'Cjenik VSO'!$C$9:$C$85)</f>
        <v>328.73</v>
      </c>
      <c r="Q920" s="52">
        <f t="shared" si="43"/>
        <v>0.65746000000000004</v>
      </c>
    </row>
    <row r="921" spans="1:17" ht="25.15" customHeight="1">
      <c r="A921" s="49"/>
      <c r="B921" s="799" t="s">
        <v>134</v>
      </c>
      <c r="C921" s="799"/>
      <c r="D921" s="50" t="s">
        <v>15</v>
      </c>
      <c r="E921" s="28">
        <f>H921/H913</f>
        <v>1.7647058823529412E-3</v>
      </c>
      <c r="F921" s="201">
        <f>SUMIF('Cjenik VSO'!$B$9:$B$85,$B921,'Cjenik VSO'!$C$9:$C$85)</f>
        <v>62.67</v>
      </c>
      <c r="G921" s="52">
        <f t="shared" si="42"/>
        <v>0.11059411764705883</v>
      </c>
      <c r="H921" s="444">
        <v>3</v>
      </c>
      <c r="I921" s="444"/>
      <c r="J921" s="444"/>
      <c r="K921" s="49"/>
      <c r="L921" s="799" t="s">
        <v>134</v>
      </c>
      <c r="M921" s="799"/>
      <c r="N921" s="50" t="s">
        <v>15</v>
      </c>
      <c r="O921" s="83">
        <v>2E-3</v>
      </c>
      <c r="P921" s="201">
        <f>SUMIF('Cjenik VSO'!$B$9:$B$85,$B921,'Cjenik VSO'!$C$9:$C$85)</f>
        <v>62.67</v>
      </c>
      <c r="Q921" s="52">
        <f t="shared" si="43"/>
        <v>0.12534000000000001</v>
      </c>
    </row>
    <row r="922" spans="1:17" ht="25.15" customHeight="1">
      <c r="A922" s="49"/>
      <c r="B922" s="799" t="s">
        <v>150</v>
      </c>
      <c r="C922" s="799"/>
      <c r="D922" s="50" t="s">
        <v>15</v>
      </c>
      <c r="E922" s="28">
        <f>H922/H913</f>
        <v>1.176470588235294E-3</v>
      </c>
      <c r="F922" s="201">
        <f>SUMIF('Cjenik VSO'!$B$9:$B$85,$B922,'Cjenik VSO'!$C$9:$C$85)</f>
        <v>107.11</v>
      </c>
      <c r="G922" s="52">
        <f t="shared" si="42"/>
        <v>0.12601176470588235</v>
      </c>
      <c r="H922" s="444">
        <v>2</v>
      </c>
      <c r="I922" s="444"/>
      <c r="J922" s="444"/>
      <c r="K922" s="49"/>
      <c r="L922" s="799" t="s">
        <v>150</v>
      </c>
      <c r="M922" s="799"/>
      <c r="N922" s="50" t="s">
        <v>15</v>
      </c>
      <c r="O922" s="83">
        <v>1E-3</v>
      </c>
      <c r="P922" s="201">
        <f>SUMIF('Cjenik VSO'!$B$9:$B$85,$B922,'Cjenik VSO'!$C$9:$C$85)</f>
        <v>107.11</v>
      </c>
      <c r="Q922" s="52">
        <f t="shared" si="43"/>
        <v>0.10711</v>
      </c>
    </row>
    <row r="923" spans="1:17" ht="25.15" customHeight="1" thickBot="1">
      <c r="A923" s="59"/>
      <c r="B923" s="806" t="s">
        <v>136</v>
      </c>
      <c r="C923" s="806"/>
      <c r="D923" s="60" t="s">
        <v>15</v>
      </c>
      <c r="E923" s="28">
        <f>H923/H913</f>
        <v>1.176470588235294E-3</v>
      </c>
      <c r="F923" s="208">
        <f>SUMIF('Cjenik VSO'!$B$9:$B$85,$B923,'Cjenik VSO'!$C$9:$C$85)</f>
        <v>313.64</v>
      </c>
      <c r="G923" s="62">
        <f t="shared" si="42"/>
        <v>0.36898823529411762</v>
      </c>
      <c r="H923" s="444">
        <v>2</v>
      </c>
      <c r="I923" s="444"/>
      <c r="J923" s="444"/>
      <c r="K923" s="59"/>
      <c r="L923" s="806" t="s">
        <v>136</v>
      </c>
      <c r="M923" s="806"/>
      <c r="N923" s="60" t="s">
        <v>15</v>
      </c>
      <c r="O923" s="86">
        <v>1E-3</v>
      </c>
      <c r="P923" s="208">
        <f>SUMIF('Cjenik VSO'!$B$9:$B$85,$B923,'Cjenik VSO'!$C$9:$C$85)</f>
        <v>313.64</v>
      </c>
      <c r="Q923" s="62">
        <f t="shared" si="43"/>
        <v>0.31363999999999997</v>
      </c>
    </row>
    <row r="924" spans="1:17" ht="25.15" customHeight="1" thickTop="1" thickBot="1">
      <c r="B924" s="40"/>
      <c r="C924" s="20"/>
      <c r="D924" s="21"/>
      <c r="E924" s="118" t="str">
        <f>'Obrazac kalkulacije'!$E$18</f>
        <v>Ukupno (kn):</v>
      </c>
      <c r="F924" s="214"/>
      <c r="G924" s="22">
        <f>ROUND(SUM(G915+G917),2)</f>
        <v>7.71</v>
      </c>
      <c r="H924" s="217"/>
      <c r="I924" s="602"/>
      <c r="J924" s="602"/>
      <c r="L924" s="40"/>
      <c r="M924" s="20"/>
      <c r="N924" s="21"/>
      <c r="O924" s="118" t="str">
        <f>'Obrazac kalkulacije'!$E$18</f>
        <v>Ukupno (kn):</v>
      </c>
      <c r="P924" s="214"/>
      <c r="Q924" s="22">
        <f>ROUND(SUM(Q915+Q917),2)</f>
        <v>7.28</v>
      </c>
    </row>
    <row r="925" spans="1:17" ht="25.15" customHeight="1" thickTop="1" thickBot="1">
      <c r="E925" s="23" t="str">
        <f>'Obrazac kalkulacije'!$E$19</f>
        <v>PDV:</v>
      </c>
      <c r="F925" s="207">
        <f>'Obrazac kalkulacije'!$F$19</f>
        <v>0.25</v>
      </c>
      <c r="G925" s="24">
        <f>G924*F925</f>
        <v>1.9275</v>
      </c>
      <c r="H925" s="446"/>
      <c r="I925" s="446"/>
      <c r="J925" s="446"/>
      <c r="O925" s="23" t="str">
        <f>'Obrazac kalkulacije'!$E$19</f>
        <v>PDV:</v>
      </c>
      <c r="P925" s="207">
        <f>'Obrazac kalkulacije'!$F$19</f>
        <v>0.25</v>
      </c>
      <c r="Q925" s="24">
        <f>Q924*P925</f>
        <v>1.82</v>
      </c>
    </row>
    <row r="926" spans="1:17" ht="25.15" customHeight="1" thickTop="1" thickBot="1">
      <c r="E926" s="119" t="str">
        <f>'Obrazac kalkulacije'!$E$20</f>
        <v>Sveukupno (kn):</v>
      </c>
      <c r="F926" s="215"/>
      <c r="G926" s="24">
        <f>ROUND(SUM(G924:G925),2)</f>
        <v>9.64</v>
      </c>
      <c r="H926" s="447"/>
      <c r="I926" s="447"/>
      <c r="J926" s="447"/>
      <c r="O926" s="119" t="str">
        <f>'Obrazac kalkulacije'!$E$20</f>
        <v>Sveukupno (kn):</v>
      </c>
      <c r="P926" s="215"/>
      <c r="Q926" s="24">
        <f>ROUND(SUM(Q924:Q925),2)</f>
        <v>9.1</v>
      </c>
    </row>
    <row r="927" spans="1:17" ht="15" customHeight="1" thickTop="1"/>
    <row r="928" spans="1:17" ht="15" customHeight="1"/>
    <row r="929" spans="1:17" ht="15" customHeight="1"/>
    <row r="930" spans="1:17" ht="15" customHeight="1">
      <c r="C930" s="3" t="str">
        <f>'Obrazac kalkulacije'!$C$24</f>
        <v>IZVODITELJ:</v>
      </c>
      <c r="F930" s="780" t="str">
        <f>'Obrazac kalkulacije'!$F$24</f>
        <v>NARUČITELJ:</v>
      </c>
      <c r="G930" s="780"/>
      <c r="M930" s="3" t="str">
        <f>'Obrazac kalkulacije'!$C$24</f>
        <v>IZVODITELJ:</v>
      </c>
      <c r="P930" s="780" t="str">
        <f>'Obrazac kalkulacije'!$F$24</f>
        <v>NARUČITELJ:</v>
      </c>
      <c r="Q930" s="780"/>
    </row>
    <row r="931" spans="1:17" ht="25.15" customHeight="1">
      <c r="C931" s="3" t="str">
        <f>'Obrazac kalkulacije'!$C$25</f>
        <v>__________________</v>
      </c>
      <c r="F931" s="780" t="str">
        <f>'Obrazac kalkulacije'!$F$25</f>
        <v>___________________</v>
      </c>
      <c r="G931" s="780"/>
      <c r="M931" s="3" t="str">
        <f>'Obrazac kalkulacije'!$C$25</f>
        <v>__________________</v>
      </c>
      <c r="P931" s="780" t="str">
        <f>'Obrazac kalkulacije'!$F$25</f>
        <v>___________________</v>
      </c>
      <c r="Q931" s="780"/>
    </row>
    <row r="932" spans="1:17" ht="15" customHeight="1">
      <c r="G932" s="25"/>
      <c r="Q932" s="25"/>
    </row>
    <row r="933" spans="1:17" ht="15" customHeight="1"/>
    <row r="934" spans="1:17" ht="15" customHeight="1">
      <c r="A934" s="115"/>
      <c r="B934" s="116" t="s">
        <v>17</v>
      </c>
      <c r="C934" s="117" t="s">
        <v>18</v>
      </c>
      <c r="D934" s="117"/>
      <c r="E934" s="117"/>
      <c r="F934" s="211"/>
      <c r="G934" s="117"/>
      <c r="K934" s="115"/>
      <c r="L934" s="116" t="s">
        <v>17</v>
      </c>
      <c r="M934" s="117" t="s">
        <v>18</v>
      </c>
      <c r="N934" s="117"/>
      <c r="O934" s="117"/>
      <c r="P934" s="211"/>
      <c r="Q934" s="117"/>
    </row>
    <row r="935" spans="1:17" ht="15" customHeight="1">
      <c r="A935" s="31"/>
      <c r="B935" s="32" t="s">
        <v>22</v>
      </c>
      <c r="C935" s="7" t="s">
        <v>23</v>
      </c>
      <c r="D935" s="7"/>
      <c r="E935" s="7"/>
      <c r="F935" s="212"/>
      <c r="G935" s="7"/>
      <c r="K935" s="31"/>
      <c r="L935" s="32" t="s">
        <v>22</v>
      </c>
      <c r="M935" s="7" t="s">
        <v>23</v>
      </c>
      <c r="N935" s="7"/>
      <c r="O935" s="7"/>
      <c r="P935" s="212"/>
      <c r="Q935" s="7"/>
    </row>
    <row r="936" spans="1:17" ht="15" customHeight="1">
      <c r="A936" s="41"/>
      <c r="B936" s="42" t="s">
        <v>55</v>
      </c>
      <c r="C936" s="43" t="s">
        <v>56</v>
      </c>
      <c r="D936" s="43"/>
      <c r="E936" s="43"/>
      <c r="F936" s="209"/>
      <c r="G936" s="43"/>
      <c r="K936" s="41"/>
      <c r="L936" s="42" t="s">
        <v>55</v>
      </c>
      <c r="M936" s="43" t="s">
        <v>56</v>
      </c>
      <c r="N936" s="43"/>
      <c r="O936" s="43"/>
      <c r="P936" s="209"/>
      <c r="Q936" s="43"/>
    </row>
    <row r="937" spans="1:17" ht="150" customHeight="1">
      <c r="A937" s="33"/>
      <c r="B937" s="443" t="s">
        <v>59</v>
      </c>
      <c r="C937" s="792" t="s">
        <v>193</v>
      </c>
      <c r="D937" s="792"/>
      <c r="E937" s="792"/>
      <c r="F937" s="792"/>
      <c r="G937" s="792"/>
      <c r="K937" s="33"/>
      <c r="L937" s="34" t="s">
        <v>59</v>
      </c>
      <c r="M937" s="795" t="s">
        <v>193</v>
      </c>
      <c r="N937" s="795"/>
      <c r="O937" s="795"/>
      <c r="P937" s="795"/>
      <c r="Q937" s="795"/>
    </row>
    <row r="938" spans="1:17" ht="15" customHeight="1" thickBot="1"/>
    <row r="939" spans="1:17" ht="30" customHeight="1" thickTop="1" thickBot="1">
      <c r="A939" s="8"/>
      <c r="B939" s="797" t="str">
        <f>'Obrazac kalkulacije'!$B$6:$C$6</f>
        <v>Opis</v>
      </c>
      <c r="C939" s="797"/>
      <c r="D939" s="8" t="str">
        <f>'Obrazac kalkulacije'!$D$6</f>
        <v>Jed.
mjere</v>
      </c>
      <c r="E939" s="8" t="str">
        <f>'Obrazac kalkulacije'!$E$6</f>
        <v>Normativ</v>
      </c>
      <c r="F939" s="8" t="str">
        <f>'Obrazac kalkulacije'!$F$6</f>
        <v>Jed.
cijena</v>
      </c>
      <c r="G939" s="8" t="str">
        <f>'Obrazac kalkulacije'!$G$6</f>
        <v>Iznos</v>
      </c>
      <c r="H939" s="3">
        <v>1400</v>
      </c>
      <c r="K939" s="8"/>
      <c r="L939" s="797" t="e">
        <f>'Obrazac kalkulacije'!$B$6:$C$6</f>
        <v>#VALUE!</v>
      </c>
      <c r="M939" s="797"/>
      <c r="N939" s="8" t="str">
        <f>'Obrazac kalkulacije'!$D$6</f>
        <v>Jed.
mjere</v>
      </c>
      <c r="O939" s="8" t="str">
        <f>'Obrazac kalkulacije'!$E$6</f>
        <v>Normativ</v>
      </c>
      <c r="P939" s="8" t="str">
        <f>'Obrazac kalkulacije'!$F$6</f>
        <v>Jed.
cijena</v>
      </c>
      <c r="Q939" s="8" t="str">
        <f>'Obrazac kalkulacije'!$G$6</f>
        <v>Iznos</v>
      </c>
    </row>
    <row r="940" spans="1:17" ht="4.5" customHeight="1" thickTop="1">
      <c r="B940" s="35"/>
      <c r="C940" s="1"/>
      <c r="D940" s="9"/>
      <c r="E940" s="11"/>
      <c r="F940" s="205"/>
      <c r="G940" s="13"/>
      <c r="L940" s="35"/>
      <c r="M940" s="1"/>
      <c r="N940" s="9"/>
      <c r="O940" s="11"/>
      <c r="P940" s="205"/>
      <c r="Q940" s="13"/>
    </row>
    <row r="941" spans="1:17" ht="25.15" customHeight="1">
      <c r="A941" s="14"/>
      <c r="B941" s="15" t="str">
        <f>'Obrazac kalkulacije'!$B$8</f>
        <v>Radna snaga:</v>
      </c>
      <c r="C941" s="15"/>
      <c r="D941" s="14"/>
      <c r="E941" s="14"/>
      <c r="F941" s="206"/>
      <c r="G941" s="16">
        <f>SUM(G942:G942)</f>
        <v>0</v>
      </c>
      <c r="K941" s="14"/>
      <c r="L941" s="15" t="str">
        <f>'Obrazac kalkulacije'!$B$8</f>
        <v>Radna snaga:</v>
      </c>
      <c r="M941" s="15"/>
      <c r="N941" s="14"/>
      <c r="O941" s="14"/>
      <c r="P941" s="206"/>
      <c r="Q941" s="16">
        <f>SUM(Q942:Q942)</f>
        <v>0</v>
      </c>
    </row>
    <row r="942" spans="1:17" ht="25.15" customHeight="1">
      <c r="A942" s="26"/>
      <c r="B942" s="791" t="s">
        <v>130</v>
      </c>
      <c r="C942" s="791"/>
      <c r="D942" s="27" t="s">
        <v>15</v>
      </c>
      <c r="E942" s="28">
        <f>H942/H939</f>
        <v>1.4999999999999999E-2</v>
      </c>
      <c r="F942" s="203">
        <f>SUMIF('Cjenik RS'!$C$11:$C$26,$B942,'Cjenik RS'!$D$11:$D$88)</f>
        <v>0</v>
      </c>
      <c r="G942" s="29">
        <f>F942*E942</f>
        <v>0</v>
      </c>
      <c r="H942" s="444">
        <v>21</v>
      </c>
      <c r="I942" s="444"/>
      <c r="J942" s="444"/>
      <c r="K942" s="26"/>
      <c r="L942" s="791" t="s">
        <v>130</v>
      </c>
      <c r="M942" s="791"/>
      <c r="N942" s="27" t="s">
        <v>15</v>
      </c>
      <c r="O942" s="28">
        <v>0.02</v>
      </c>
      <c r="P942" s="203">
        <f>SUMIF('Cjenik RS'!$C$11:$C$26,$B942,'Cjenik RS'!$D$11:$D$88)</f>
        <v>0</v>
      </c>
      <c r="Q942" s="29">
        <f>P942*O942</f>
        <v>0</v>
      </c>
    </row>
    <row r="943" spans="1:17" ht="25.15" customHeight="1">
      <c r="A943" s="14"/>
      <c r="B943" s="15" t="str">
        <f>'Obrazac kalkulacije'!$B$11</f>
        <v>Vozila, strojevi i oprema:</v>
      </c>
      <c r="C943" s="15"/>
      <c r="D943" s="14"/>
      <c r="E943" s="14"/>
      <c r="F943" s="203"/>
      <c r="G943" s="16">
        <f>SUM(G944:G949)</f>
        <v>9.3586142857142853</v>
      </c>
      <c r="H943" s="444"/>
      <c r="I943" s="444"/>
      <c r="J943" s="444"/>
      <c r="K943" s="14"/>
      <c r="L943" s="15" t="str">
        <f>'Obrazac kalkulacije'!$B$11</f>
        <v>Vozila, strojevi i oprema:</v>
      </c>
      <c r="M943" s="15"/>
      <c r="N943" s="14"/>
      <c r="O943" s="14"/>
      <c r="P943" s="203"/>
      <c r="Q943" s="16">
        <f>SUM(Q944:Q949)</f>
        <v>9.1002374999999986</v>
      </c>
    </row>
    <row r="944" spans="1:17" ht="25.15" customHeight="1">
      <c r="A944" s="49"/>
      <c r="B944" s="799" t="s">
        <v>143</v>
      </c>
      <c r="C944" s="799"/>
      <c r="D944" s="50" t="s">
        <v>15</v>
      </c>
      <c r="E944" s="28">
        <f>H944/H939</f>
        <v>1.0714285714285714E-2</v>
      </c>
      <c r="F944" s="201">
        <f>SUMIF('Cjenik VSO'!$B$9:$B$85,$B944,'Cjenik VSO'!$C$9:$C$85)</f>
        <v>355.64</v>
      </c>
      <c r="G944" s="52">
        <f t="shared" ref="G944:G949" si="44">E944*F944</f>
        <v>3.8104285714285715</v>
      </c>
      <c r="H944" s="444">
        <v>15</v>
      </c>
      <c r="I944" s="444"/>
      <c r="J944" s="444"/>
      <c r="K944" s="49"/>
      <c r="L944" s="800" t="s">
        <v>143</v>
      </c>
      <c r="M944" s="800"/>
      <c r="N944" s="50" t="s">
        <v>15</v>
      </c>
      <c r="O944" s="83">
        <v>1.125E-2</v>
      </c>
      <c r="P944" s="201">
        <f>SUMIF('Cjenik VSO'!$B$9:$B$85,$B944,'Cjenik VSO'!$C$9:$C$85)</f>
        <v>355.64</v>
      </c>
      <c r="Q944" s="52">
        <f t="shared" ref="Q944:Q949" si="45">O944*P944</f>
        <v>4.0009499999999996</v>
      </c>
    </row>
    <row r="945" spans="1:17" ht="25.15" customHeight="1">
      <c r="A945" s="49"/>
      <c r="B945" s="799" t="s">
        <v>144</v>
      </c>
      <c r="C945" s="799"/>
      <c r="D945" s="50" t="s">
        <v>15</v>
      </c>
      <c r="E945" s="28">
        <f>H945/H939</f>
        <v>5.7142857142857143E-3</v>
      </c>
      <c r="F945" s="201">
        <f>SUMIF('Cjenik VSO'!$B$9:$B$85,$B945,'Cjenik VSO'!$C$9:$C$85)</f>
        <v>718.97</v>
      </c>
      <c r="G945" s="52">
        <f t="shared" si="44"/>
        <v>4.1084000000000005</v>
      </c>
      <c r="H945" s="444">
        <v>8</v>
      </c>
      <c r="I945" s="444"/>
      <c r="J945" s="444"/>
      <c r="K945" s="49"/>
      <c r="L945" s="799" t="s">
        <v>144</v>
      </c>
      <c r="M945" s="799"/>
      <c r="N945" s="50" t="s">
        <v>15</v>
      </c>
      <c r="O945" s="83">
        <v>5.0000000000000001E-3</v>
      </c>
      <c r="P945" s="201">
        <f>SUMIF('Cjenik VSO'!$B$9:$B$85,$B945,'Cjenik VSO'!$C$9:$C$85)</f>
        <v>718.97</v>
      </c>
      <c r="Q945" s="52">
        <f t="shared" si="45"/>
        <v>3.5948500000000001</v>
      </c>
    </row>
    <row r="946" spans="1:17" ht="25.15" customHeight="1">
      <c r="A946" s="49"/>
      <c r="B946" s="799" t="s">
        <v>133</v>
      </c>
      <c r="C946" s="799"/>
      <c r="D946" s="50" t="s">
        <v>15</v>
      </c>
      <c r="E946" s="28">
        <f>H946/H939</f>
        <v>2.142857142857143E-3</v>
      </c>
      <c r="F946" s="201">
        <f>SUMIF('Cjenik VSO'!$B$9:$B$85,$B946,'Cjenik VSO'!$C$9:$C$85)</f>
        <v>328.73</v>
      </c>
      <c r="G946" s="52">
        <f t="shared" si="44"/>
        <v>0.70442142857142864</v>
      </c>
      <c r="H946" s="444">
        <v>3</v>
      </c>
      <c r="I946" s="444"/>
      <c r="J946" s="444"/>
      <c r="K946" s="49"/>
      <c r="L946" s="799" t="s">
        <v>133</v>
      </c>
      <c r="M946" s="799"/>
      <c r="N946" s="50" t="s">
        <v>15</v>
      </c>
      <c r="O946" s="83">
        <v>2.5000000000000001E-3</v>
      </c>
      <c r="P946" s="201">
        <f>SUMIF('Cjenik VSO'!$B$9:$B$85,$B946,'Cjenik VSO'!$C$9:$C$85)</f>
        <v>328.73</v>
      </c>
      <c r="Q946" s="52">
        <f t="shared" si="45"/>
        <v>0.82182500000000003</v>
      </c>
    </row>
    <row r="947" spans="1:17" ht="25.15" customHeight="1">
      <c r="A947" s="49"/>
      <c r="B947" s="799" t="s">
        <v>134</v>
      </c>
      <c r="C947" s="799"/>
      <c r="D947" s="50" t="s">
        <v>15</v>
      </c>
      <c r="E947" s="28">
        <f>H947/H939</f>
        <v>2.142857142857143E-3</v>
      </c>
      <c r="F947" s="201">
        <f>SUMIF('Cjenik VSO'!$B$9:$B$85,$B947,'Cjenik VSO'!$C$9:$C$85)</f>
        <v>62.67</v>
      </c>
      <c r="G947" s="52">
        <f t="shared" si="44"/>
        <v>0.13429285714285716</v>
      </c>
      <c r="H947" s="444">
        <v>3</v>
      </c>
      <c r="I947" s="444"/>
      <c r="J947" s="444"/>
      <c r="K947" s="49"/>
      <c r="L947" s="799" t="s">
        <v>134</v>
      </c>
      <c r="M947" s="799"/>
      <c r="N947" s="50" t="s">
        <v>15</v>
      </c>
      <c r="O947" s="83">
        <v>2.5000000000000001E-3</v>
      </c>
      <c r="P947" s="201">
        <f>SUMIF('Cjenik VSO'!$B$9:$B$85,$B947,'Cjenik VSO'!$C$9:$C$85)</f>
        <v>62.67</v>
      </c>
      <c r="Q947" s="52">
        <f t="shared" si="45"/>
        <v>0.15667500000000001</v>
      </c>
    </row>
    <row r="948" spans="1:17" ht="25.15" customHeight="1">
      <c r="A948" s="49"/>
      <c r="B948" s="799" t="s">
        <v>150</v>
      </c>
      <c r="C948" s="799"/>
      <c r="D948" s="50" t="s">
        <v>15</v>
      </c>
      <c r="E948" s="28">
        <f>H948/H939</f>
        <v>1.4285714285714286E-3</v>
      </c>
      <c r="F948" s="201">
        <f>SUMIF('Cjenik VSO'!$B$9:$B$85,$B948,'Cjenik VSO'!$C$9:$C$85)</f>
        <v>107.11</v>
      </c>
      <c r="G948" s="52">
        <f t="shared" si="44"/>
        <v>0.15301428571428571</v>
      </c>
      <c r="H948" s="444">
        <v>2</v>
      </c>
      <c r="I948" s="444"/>
      <c r="J948" s="444"/>
      <c r="K948" s="49"/>
      <c r="L948" s="799" t="s">
        <v>150</v>
      </c>
      <c r="M948" s="799"/>
      <c r="N948" s="50" t="s">
        <v>15</v>
      </c>
      <c r="O948" s="83">
        <v>1.25E-3</v>
      </c>
      <c r="P948" s="201">
        <f>SUMIF('Cjenik VSO'!$B$9:$B$85,$B948,'Cjenik VSO'!$C$9:$C$85)</f>
        <v>107.11</v>
      </c>
      <c r="Q948" s="52">
        <f t="shared" si="45"/>
        <v>0.13388749999999999</v>
      </c>
    </row>
    <row r="949" spans="1:17" ht="25.15" customHeight="1" thickBot="1">
      <c r="A949" s="59"/>
      <c r="B949" s="806" t="s">
        <v>136</v>
      </c>
      <c r="C949" s="806"/>
      <c r="D949" s="60" t="s">
        <v>15</v>
      </c>
      <c r="E949" s="28">
        <f>H949/H939</f>
        <v>1.4285714285714286E-3</v>
      </c>
      <c r="F949" s="208">
        <f>SUMIF('Cjenik VSO'!$B$9:$B$85,$B949,'Cjenik VSO'!$C$9:$C$85)</f>
        <v>313.64</v>
      </c>
      <c r="G949" s="62">
        <f t="shared" si="44"/>
        <v>0.44805714285714282</v>
      </c>
      <c r="H949" s="444">
        <v>2</v>
      </c>
      <c r="I949" s="444"/>
      <c r="J949" s="444"/>
      <c r="K949" s="59"/>
      <c r="L949" s="806" t="s">
        <v>136</v>
      </c>
      <c r="M949" s="806"/>
      <c r="N949" s="60" t="s">
        <v>15</v>
      </c>
      <c r="O949" s="86">
        <v>1.25E-3</v>
      </c>
      <c r="P949" s="208">
        <f>SUMIF('Cjenik VSO'!$B$9:$B$85,$B949,'Cjenik VSO'!$C$9:$C$85)</f>
        <v>313.64</v>
      </c>
      <c r="Q949" s="62">
        <f t="shared" si="45"/>
        <v>0.39205000000000001</v>
      </c>
    </row>
    <row r="950" spans="1:17" ht="25.15" customHeight="1" thickTop="1" thickBot="1">
      <c r="B950" s="40"/>
      <c r="C950" s="20"/>
      <c r="D950" s="21"/>
      <c r="E950" s="118" t="str">
        <f>'Obrazac kalkulacije'!$E$18</f>
        <v>Ukupno (kn):</v>
      </c>
      <c r="F950" s="214"/>
      <c r="G950" s="22">
        <f>ROUND(SUM(G941+G943),2)</f>
        <v>9.36</v>
      </c>
      <c r="H950" s="217"/>
      <c r="I950" s="602"/>
      <c r="J950" s="602"/>
      <c r="L950" s="40"/>
      <c r="M950" s="20"/>
      <c r="N950" s="21"/>
      <c r="O950" s="118" t="str">
        <f>'Obrazac kalkulacije'!$E$18</f>
        <v>Ukupno (kn):</v>
      </c>
      <c r="P950" s="214"/>
      <c r="Q950" s="22">
        <f>ROUND(SUM(Q941+Q943),2)</f>
        <v>9.1</v>
      </c>
    </row>
    <row r="951" spans="1:17" ht="25.15" customHeight="1" thickTop="1" thickBot="1">
      <c r="E951" s="23" t="str">
        <f>'Obrazac kalkulacije'!$E$19</f>
        <v>PDV:</v>
      </c>
      <c r="F951" s="207">
        <f>'Obrazac kalkulacije'!$F$19</f>
        <v>0.25</v>
      </c>
      <c r="G951" s="24">
        <f>G950*F951</f>
        <v>2.34</v>
      </c>
      <c r="H951" s="446"/>
      <c r="I951" s="446"/>
      <c r="J951" s="446"/>
      <c r="O951" s="23" t="str">
        <f>'Obrazac kalkulacije'!$E$19</f>
        <v>PDV:</v>
      </c>
      <c r="P951" s="207">
        <f>'Obrazac kalkulacije'!$F$19</f>
        <v>0.25</v>
      </c>
      <c r="Q951" s="24">
        <f>Q950*P951</f>
        <v>2.2749999999999999</v>
      </c>
    </row>
    <row r="952" spans="1:17" ht="25.15" customHeight="1" thickTop="1" thickBot="1">
      <c r="E952" s="119" t="str">
        <f>'Obrazac kalkulacije'!$E$20</f>
        <v>Sveukupno (kn):</v>
      </c>
      <c r="F952" s="215"/>
      <c r="G952" s="24">
        <f>ROUND(SUM(G950:G951),2)</f>
        <v>11.7</v>
      </c>
      <c r="H952" s="447"/>
      <c r="I952" s="447"/>
      <c r="J952" s="447"/>
      <c r="O952" s="119" t="str">
        <f>'Obrazac kalkulacije'!$E$20</f>
        <v>Sveukupno (kn):</v>
      </c>
      <c r="P952" s="215"/>
      <c r="Q952" s="24">
        <f>ROUND(SUM(Q950:Q951),2)</f>
        <v>11.38</v>
      </c>
    </row>
    <row r="953" spans="1:17" ht="15" customHeight="1" thickTop="1"/>
    <row r="954" spans="1:17" ht="15" customHeight="1"/>
    <row r="955" spans="1:17" ht="15" customHeight="1"/>
    <row r="956" spans="1:17" ht="15" customHeight="1">
      <c r="C956" s="3" t="str">
        <f>'Obrazac kalkulacije'!$C$24</f>
        <v>IZVODITELJ:</v>
      </c>
      <c r="F956" s="780" t="str">
        <f>'Obrazac kalkulacije'!$F$24</f>
        <v>NARUČITELJ:</v>
      </c>
      <c r="G956" s="780"/>
      <c r="M956" s="3" t="str">
        <f>'Obrazac kalkulacije'!$C$24</f>
        <v>IZVODITELJ:</v>
      </c>
      <c r="P956" s="780" t="str">
        <f>'Obrazac kalkulacije'!$F$24</f>
        <v>NARUČITELJ:</v>
      </c>
      <c r="Q956" s="780"/>
    </row>
    <row r="957" spans="1:17" ht="25.15" customHeight="1">
      <c r="C957" s="3" t="str">
        <f>'Obrazac kalkulacije'!$C$25</f>
        <v>__________________</v>
      </c>
      <c r="F957" s="780" t="str">
        <f>'Obrazac kalkulacije'!$F$25</f>
        <v>___________________</v>
      </c>
      <c r="G957" s="780"/>
      <c r="M957" s="3" t="str">
        <f>'Obrazac kalkulacije'!$C$25</f>
        <v>__________________</v>
      </c>
      <c r="P957" s="780" t="str">
        <f>'Obrazac kalkulacije'!$F$25</f>
        <v>___________________</v>
      </c>
      <c r="Q957" s="780"/>
    </row>
    <row r="958" spans="1:17" ht="15" customHeight="1">
      <c r="G958" s="25"/>
      <c r="Q958" s="25"/>
    </row>
    <row r="959" spans="1:17" ht="15" customHeight="1"/>
    <row r="960" spans="1:17" ht="15" customHeight="1">
      <c r="A960" s="115"/>
      <c r="B960" s="116" t="s">
        <v>17</v>
      </c>
      <c r="C960" s="117" t="s">
        <v>18</v>
      </c>
      <c r="D960" s="117"/>
      <c r="E960" s="117"/>
      <c r="F960" s="211"/>
      <c r="G960" s="117"/>
      <c r="K960" s="115"/>
      <c r="L960" s="116" t="s">
        <v>17</v>
      </c>
      <c r="M960" s="117" t="s">
        <v>18</v>
      </c>
      <c r="N960" s="117"/>
      <c r="O960" s="117"/>
      <c r="P960" s="211"/>
      <c r="Q960" s="117"/>
    </row>
    <row r="961" spans="1:17" ht="15" customHeight="1">
      <c r="A961" s="31"/>
      <c r="B961" s="32" t="s">
        <v>22</v>
      </c>
      <c r="C961" s="7" t="s">
        <v>23</v>
      </c>
      <c r="D961" s="7"/>
      <c r="E961" s="7"/>
      <c r="F961" s="212"/>
      <c r="G961" s="7"/>
      <c r="K961" s="31"/>
      <c r="L961" s="32" t="s">
        <v>22</v>
      </c>
      <c r="M961" s="7" t="s">
        <v>23</v>
      </c>
      <c r="N961" s="7"/>
      <c r="O961" s="7"/>
      <c r="P961" s="212"/>
      <c r="Q961" s="7"/>
    </row>
    <row r="962" spans="1:17" ht="15" customHeight="1">
      <c r="A962" s="41"/>
      <c r="B962" s="42" t="s">
        <v>55</v>
      </c>
      <c r="C962" s="43" t="s">
        <v>56</v>
      </c>
      <c r="D962" s="43"/>
      <c r="E962" s="43"/>
      <c r="F962" s="209"/>
      <c r="G962" s="43"/>
      <c r="K962" s="41"/>
      <c r="L962" s="42" t="s">
        <v>55</v>
      </c>
      <c r="M962" s="43" t="s">
        <v>56</v>
      </c>
      <c r="N962" s="43"/>
      <c r="O962" s="43"/>
      <c r="P962" s="209"/>
      <c r="Q962" s="43"/>
    </row>
    <row r="963" spans="1:17" ht="150" customHeight="1">
      <c r="A963" s="33"/>
      <c r="B963" s="443" t="s">
        <v>60</v>
      </c>
      <c r="C963" s="792" t="s">
        <v>194</v>
      </c>
      <c r="D963" s="792"/>
      <c r="E963" s="792"/>
      <c r="F963" s="792"/>
      <c r="G963" s="792"/>
      <c r="K963" s="33"/>
      <c r="L963" s="34" t="s">
        <v>60</v>
      </c>
      <c r="M963" s="795" t="s">
        <v>194</v>
      </c>
      <c r="N963" s="795"/>
      <c r="O963" s="795"/>
      <c r="P963" s="795"/>
      <c r="Q963" s="795"/>
    </row>
    <row r="964" spans="1:17" ht="15" customHeight="1" thickBot="1"/>
    <row r="965" spans="1:17" ht="30" customHeight="1" thickTop="1" thickBot="1">
      <c r="A965" s="8"/>
      <c r="B965" s="797" t="str">
        <f>'Obrazac kalkulacije'!$B$6:$C$6</f>
        <v>Opis</v>
      </c>
      <c r="C965" s="797"/>
      <c r="D965" s="8" t="str">
        <f>'Obrazac kalkulacije'!$D$6</f>
        <v>Jed.
mjere</v>
      </c>
      <c r="E965" s="8" t="str">
        <f>'Obrazac kalkulacije'!$E$6</f>
        <v>Normativ</v>
      </c>
      <c r="F965" s="8" t="str">
        <f>'Obrazac kalkulacije'!$F$6</f>
        <v>Jed.
cijena</v>
      </c>
      <c r="G965" s="8" t="str">
        <f>'Obrazac kalkulacije'!$G$6</f>
        <v>Iznos</v>
      </c>
      <c r="H965" s="3">
        <v>1100</v>
      </c>
      <c r="K965" s="8"/>
      <c r="L965" s="797" t="e">
        <f>'Obrazac kalkulacije'!$B$6:$C$6</f>
        <v>#VALUE!</v>
      </c>
      <c r="M965" s="797"/>
      <c r="N965" s="8" t="str">
        <f>'Obrazac kalkulacije'!$D$6</f>
        <v>Jed.
mjere</v>
      </c>
      <c r="O965" s="8" t="str">
        <f>'Obrazac kalkulacije'!$E$6</f>
        <v>Normativ</v>
      </c>
      <c r="P965" s="8" t="str">
        <f>'Obrazac kalkulacije'!$F$6</f>
        <v>Jed.
cijena</v>
      </c>
      <c r="Q965" s="8" t="str">
        <f>'Obrazac kalkulacije'!$G$6</f>
        <v>Iznos</v>
      </c>
    </row>
    <row r="966" spans="1:17" ht="4.5" customHeight="1" thickTop="1">
      <c r="B966" s="35"/>
      <c r="C966" s="1"/>
      <c r="D966" s="9"/>
      <c r="E966" s="11"/>
      <c r="F966" s="205"/>
      <c r="G966" s="13"/>
      <c r="L966" s="35"/>
      <c r="M966" s="1"/>
      <c r="N966" s="9"/>
      <c r="O966" s="11"/>
      <c r="P966" s="205"/>
      <c r="Q966" s="13"/>
    </row>
    <row r="967" spans="1:17" ht="25.15" customHeight="1">
      <c r="A967" s="14"/>
      <c r="B967" s="15" t="str">
        <f>'Obrazac kalkulacije'!$B$8</f>
        <v>Radna snaga:</v>
      </c>
      <c r="C967" s="15"/>
      <c r="D967" s="14"/>
      <c r="E967" s="14"/>
      <c r="F967" s="206"/>
      <c r="G967" s="16">
        <f>SUM(G968:G968)</f>
        <v>0</v>
      </c>
      <c r="K967" s="14"/>
      <c r="L967" s="15" t="str">
        <f>'Obrazac kalkulacije'!$B$8</f>
        <v>Radna snaga:</v>
      </c>
      <c r="M967" s="15"/>
      <c r="N967" s="14"/>
      <c r="O967" s="14"/>
      <c r="P967" s="206"/>
      <c r="Q967" s="16">
        <f>SUM(Q968:Q968)</f>
        <v>0</v>
      </c>
    </row>
    <row r="968" spans="1:17" ht="25.15" customHeight="1">
      <c r="A968" s="26"/>
      <c r="B968" s="791" t="s">
        <v>130</v>
      </c>
      <c r="C968" s="791"/>
      <c r="D968" s="27" t="s">
        <v>15</v>
      </c>
      <c r="E968" s="28">
        <f>H968/H965</f>
        <v>1.9090909090909092E-2</v>
      </c>
      <c r="F968" s="203">
        <f>SUMIF('Cjenik RS'!$C$11:$C$26,$B968,'Cjenik RS'!$D$11:$D$88)</f>
        <v>0</v>
      </c>
      <c r="G968" s="29">
        <f>F968*E968</f>
        <v>0</v>
      </c>
      <c r="H968" s="444">
        <v>21</v>
      </c>
      <c r="I968" s="444"/>
      <c r="J968" s="444"/>
      <c r="K968" s="26"/>
      <c r="L968" s="791" t="s">
        <v>130</v>
      </c>
      <c r="M968" s="791"/>
      <c r="N968" s="27" t="s">
        <v>15</v>
      </c>
      <c r="O968" s="28">
        <v>1.7142999999999999E-2</v>
      </c>
      <c r="P968" s="203">
        <f>SUMIF('Cjenik RS'!$C$11:$C$26,$B968,'Cjenik RS'!$D$11:$D$88)</f>
        <v>0</v>
      </c>
      <c r="Q968" s="29">
        <f>+P968*O968</f>
        <v>0</v>
      </c>
    </row>
    <row r="969" spans="1:17" ht="25.15" customHeight="1">
      <c r="A969" s="14"/>
      <c r="B969" s="15" t="str">
        <f>'Obrazac kalkulacije'!$B$11</f>
        <v>Vozila, strojevi i oprema:</v>
      </c>
      <c r="C969" s="15"/>
      <c r="D969" s="14"/>
      <c r="E969" s="14"/>
      <c r="F969" s="203"/>
      <c r="G969" s="16">
        <f>SUM(G970:G975)</f>
        <v>11.910963636363636</v>
      </c>
      <c r="H969" s="444"/>
      <c r="I969" s="444"/>
      <c r="J969" s="444"/>
      <c r="K969" s="14"/>
      <c r="L969" s="15" t="str">
        <f>'Obrazac kalkulacije'!$B$11</f>
        <v>Vozila, strojevi i oprema:</v>
      </c>
      <c r="M969" s="15"/>
      <c r="N969" s="14"/>
      <c r="O969" s="14"/>
      <c r="P969" s="203"/>
      <c r="Q969" s="16">
        <f>SUM(Q970:Q975)</f>
        <v>12.483723249999999</v>
      </c>
    </row>
    <row r="970" spans="1:17" ht="25.15" customHeight="1">
      <c r="A970" s="49"/>
      <c r="B970" s="799" t="s">
        <v>143</v>
      </c>
      <c r="C970" s="799"/>
      <c r="D970" s="50" t="s">
        <v>15</v>
      </c>
      <c r="E970" s="28">
        <f>H970/H965</f>
        <v>1.3636363636363636E-2</v>
      </c>
      <c r="F970" s="201">
        <f>SUMIF('Cjenik VSO'!$B$9:$B$85,$B970,'Cjenik VSO'!$C$9:$C$85)</f>
        <v>355.64</v>
      </c>
      <c r="G970" s="52">
        <f t="shared" ref="G970:G975" si="46">E970*F970</f>
        <v>4.8496363636363631</v>
      </c>
      <c r="H970" s="444">
        <v>15</v>
      </c>
      <c r="I970" s="444"/>
      <c r="J970" s="444"/>
      <c r="K970" s="49"/>
      <c r="L970" s="800" t="s">
        <v>143</v>
      </c>
      <c r="M970" s="800"/>
      <c r="N970" s="50" t="s">
        <v>15</v>
      </c>
      <c r="O970" s="83">
        <v>1.7142999999999999E-2</v>
      </c>
      <c r="P970" s="201">
        <f>SUMIF('Cjenik VSO'!$B$9:$B$85,$B970,'Cjenik VSO'!$C$9:$C$85)</f>
        <v>355.64</v>
      </c>
      <c r="Q970" s="52">
        <f t="shared" ref="Q970:Q975" si="47">O970*P970</f>
        <v>6.0967365199999994</v>
      </c>
    </row>
    <row r="971" spans="1:17" ht="25.15" customHeight="1">
      <c r="A971" s="49"/>
      <c r="B971" s="799" t="s">
        <v>144</v>
      </c>
      <c r="C971" s="799"/>
      <c r="D971" s="50" t="s">
        <v>15</v>
      </c>
      <c r="E971" s="28">
        <f>H971/H965</f>
        <v>7.2727272727272727E-3</v>
      </c>
      <c r="F971" s="201">
        <f>SUMIF('Cjenik VSO'!$B$9:$B$85,$B971,'Cjenik VSO'!$C$9:$C$85)</f>
        <v>718.97</v>
      </c>
      <c r="G971" s="52">
        <f t="shared" si="46"/>
        <v>5.2288727272727273</v>
      </c>
      <c r="H971" s="444">
        <v>8</v>
      </c>
      <c r="I971" s="444"/>
      <c r="J971" s="444"/>
      <c r="K971" s="49"/>
      <c r="L971" s="799" t="s">
        <v>144</v>
      </c>
      <c r="M971" s="799"/>
      <c r="N971" s="50" t="s">
        <v>15</v>
      </c>
      <c r="O971" s="83">
        <v>5.7140000000000003E-3</v>
      </c>
      <c r="P971" s="201">
        <f>SUMIF('Cjenik VSO'!$B$9:$B$85,$B971,'Cjenik VSO'!$C$9:$C$85)</f>
        <v>718.97</v>
      </c>
      <c r="Q971" s="52">
        <f t="shared" si="47"/>
        <v>4.1081945800000002</v>
      </c>
    </row>
    <row r="972" spans="1:17" ht="25.15" customHeight="1">
      <c r="A972" s="49"/>
      <c r="B972" s="799" t="s">
        <v>133</v>
      </c>
      <c r="C972" s="799"/>
      <c r="D972" s="50" t="s">
        <v>15</v>
      </c>
      <c r="E972" s="28">
        <f>H972/H965</f>
        <v>2.7272727272727275E-3</v>
      </c>
      <c r="F972" s="201">
        <f>SUMIF('Cjenik VSO'!$B$9:$B$85,$B972,'Cjenik VSO'!$C$9:$C$85)</f>
        <v>328.73</v>
      </c>
      <c r="G972" s="52">
        <f t="shared" si="46"/>
        <v>0.8965363636363638</v>
      </c>
      <c r="H972" s="444">
        <v>3</v>
      </c>
      <c r="I972" s="444"/>
      <c r="J972" s="444"/>
      <c r="K972" s="49"/>
      <c r="L972" s="799" t="s">
        <v>133</v>
      </c>
      <c r="M972" s="799"/>
      <c r="N972" s="50" t="s">
        <v>15</v>
      </c>
      <c r="O972" s="83">
        <v>4.2859999999999999E-3</v>
      </c>
      <c r="P972" s="201">
        <f>SUMIF('Cjenik VSO'!$B$9:$B$85,$B972,'Cjenik VSO'!$C$9:$C$85)</f>
        <v>328.73</v>
      </c>
      <c r="Q972" s="52">
        <f t="shared" si="47"/>
        <v>1.4089367800000001</v>
      </c>
    </row>
    <row r="973" spans="1:17" ht="25.15" customHeight="1">
      <c r="A973" s="49"/>
      <c r="B973" s="799" t="s">
        <v>134</v>
      </c>
      <c r="C973" s="799"/>
      <c r="D973" s="50" t="s">
        <v>15</v>
      </c>
      <c r="E973" s="28">
        <f>H973/H965</f>
        <v>2.7272727272727275E-3</v>
      </c>
      <c r="F973" s="201">
        <f>SUMIF('Cjenik VSO'!$B$9:$B$85,$B973,'Cjenik VSO'!$C$9:$C$85)</f>
        <v>62.67</v>
      </c>
      <c r="G973" s="52">
        <f t="shared" si="46"/>
        <v>0.17091818181818183</v>
      </c>
      <c r="H973" s="444">
        <v>3</v>
      </c>
      <c r="I973" s="444"/>
      <c r="J973" s="444"/>
      <c r="K973" s="49"/>
      <c r="L973" s="799" t="s">
        <v>134</v>
      </c>
      <c r="M973" s="799"/>
      <c r="N973" s="50" t="s">
        <v>15</v>
      </c>
      <c r="O973" s="83">
        <v>4.2859999999999999E-3</v>
      </c>
      <c r="P973" s="201">
        <f>SUMIF('Cjenik VSO'!$B$9:$B$85,$B973,'Cjenik VSO'!$C$9:$C$85)</f>
        <v>62.67</v>
      </c>
      <c r="Q973" s="52">
        <f t="shared" si="47"/>
        <v>0.26860361999999999</v>
      </c>
    </row>
    <row r="974" spans="1:17" ht="25.15" customHeight="1">
      <c r="A974" s="49"/>
      <c r="B974" s="799" t="s">
        <v>150</v>
      </c>
      <c r="C974" s="799"/>
      <c r="D974" s="50" t="s">
        <v>15</v>
      </c>
      <c r="E974" s="28">
        <f>H974/H965</f>
        <v>1.8181818181818182E-3</v>
      </c>
      <c r="F974" s="201">
        <f>SUMIF('Cjenik VSO'!$B$9:$B$85,$B974,'Cjenik VSO'!$C$9:$C$85)</f>
        <v>107.11</v>
      </c>
      <c r="G974" s="52">
        <f t="shared" si="46"/>
        <v>0.19474545454545455</v>
      </c>
      <c r="H974" s="444">
        <v>2</v>
      </c>
      <c r="I974" s="444"/>
      <c r="J974" s="444"/>
      <c r="K974" s="49"/>
      <c r="L974" s="799" t="s">
        <v>150</v>
      </c>
      <c r="M974" s="799"/>
      <c r="N974" s="50" t="s">
        <v>15</v>
      </c>
      <c r="O974" s="83">
        <v>1.4289999999999999E-3</v>
      </c>
      <c r="P974" s="201">
        <f>SUMIF('Cjenik VSO'!$B$9:$B$85,$B974,'Cjenik VSO'!$C$9:$C$85)</f>
        <v>107.11</v>
      </c>
      <c r="Q974" s="52">
        <f t="shared" si="47"/>
        <v>0.15306018999999998</v>
      </c>
    </row>
    <row r="975" spans="1:17" ht="25.15" customHeight="1" thickBot="1">
      <c r="A975" s="59"/>
      <c r="B975" s="806" t="s">
        <v>136</v>
      </c>
      <c r="C975" s="806"/>
      <c r="D975" s="60" t="s">
        <v>15</v>
      </c>
      <c r="E975" s="28">
        <f>H975/H965</f>
        <v>1.8181818181818182E-3</v>
      </c>
      <c r="F975" s="208">
        <f>SUMIF('Cjenik VSO'!$B$9:$B$85,$B975,'Cjenik VSO'!$C$9:$C$85)</f>
        <v>313.64</v>
      </c>
      <c r="G975" s="62">
        <f t="shared" si="46"/>
        <v>0.57025454545454546</v>
      </c>
      <c r="H975" s="444">
        <v>2</v>
      </c>
      <c r="I975" s="444"/>
      <c r="J975" s="444"/>
      <c r="K975" s="59"/>
      <c r="L975" s="806" t="s">
        <v>136</v>
      </c>
      <c r="M975" s="806"/>
      <c r="N975" s="60" t="s">
        <v>15</v>
      </c>
      <c r="O975" s="86">
        <v>1.4289999999999999E-3</v>
      </c>
      <c r="P975" s="208">
        <f>SUMIF('Cjenik VSO'!$B$9:$B$85,$B975,'Cjenik VSO'!$C$9:$C$85)</f>
        <v>313.64</v>
      </c>
      <c r="Q975" s="62">
        <f t="shared" si="47"/>
        <v>0.44819155999999993</v>
      </c>
    </row>
    <row r="976" spans="1:17" ht="25.15" customHeight="1" thickTop="1" thickBot="1">
      <c r="B976" s="40"/>
      <c r="C976" s="20"/>
      <c r="D976" s="21"/>
      <c r="E976" s="118" t="str">
        <f>'Obrazac kalkulacije'!$E$18</f>
        <v>Ukupno (kn):</v>
      </c>
      <c r="F976" s="214"/>
      <c r="G976" s="22">
        <f>ROUND(SUM(G967+G969),2)</f>
        <v>11.91</v>
      </c>
      <c r="H976" s="217"/>
      <c r="I976" s="602"/>
      <c r="J976" s="602"/>
      <c r="L976" s="40"/>
      <c r="M976" s="20"/>
      <c r="N976" s="21"/>
      <c r="O976" s="118" t="str">
        <f>'Obrazac kalkulacije'!$E$18</f>
        <v>Ukupno (kn):</v>
      </c>
      <c r="P976" s="214"/>
      <c r="Q976" s="22">
        <f>ROUND(SUM(Q967+Q969),2)</f>
        <v>12.48</v>
      </c>
    </row>
    <row r="977" spans="1:17" ht="25.15" customHeight="1" thickTop="1" thickBot="1">
      <c r="E977" s="23" t="str">
        <f>'Obrazac kalkulacije'!$E$19</f>
        <v>PDV:</v>
      </c>
      <c r="F977" s="207">
        <f>'Obrazac kalkulacije'!$F$19</f>
        <v>0.25</v>
      </c>
      <c r="G977" s="24">
        <f>G976*F977</f>
        <v>2.9775</v>
      </c>
      <c r="H977" s="446"/>
      <c r="I977" s="446"/>
      <c r="J977" s="446"/>
      <c r="O977" s="23" t="str">
        <f>'Obrazac kalkulacije'!$E$19</f>
        <v>PDV:</v>
      </c>
      <c r="P977" s="207">
        <f>'Obrazac kalkulacije'!$F$19</f>
        <v>0.25</v>
      </c>
      <c r="Q977" s="24">
        <f>Q976*P977</f>
        <v>3.12</v>
      </c>
    </row>
    <row r="978" spans="1:17" ht="25.15" customHeight="1" thickTop="1" thickBot="1">
      <c r="E978" s="119" t="str">
        <f>'Obrazac kalkulacije'!$E$20</f>
        <v>Sveukupno (kn):</v>
      </c>
      <c r="F978" s="215"/>
      <c r="G978" s="24">
        <f>ROUND(SUM(G976:G977),2)</f>
        <v>14.89</v>
      </c>
      <c r="H978" s="447"/>
      <c r="I978" s="447"/>
      <c r="J978" s="447"/>
      <c r="O978" s="119" t="str">
        <f>'Obrazac kalkulacije'!$E$20</f>
        <v>Sveukupno (kn):</v>
      </c>
      <c r="P978" s="215"/>
      <c r="Q978" s="24">
        <f>ROUND(SUM(Q976:Q977),2)</f>
        <v>15.6</v>
      </c>
    </row>
    <row r="979" spans="1:17" ht="15" customHeight="1" thickTop="1"/>
    <row r="980" spans="1:17" ht="15" customHeight="1"/>
    <row r="981" spans="1:17" ht="15" customHeight="1"/>
    <row r="982" spans="1:17" ht="15" customHeight="1">
      <c r="C982" s="3" t="str">
        <f>'Obrazac kalkulacije'!$C$24</f>
        <v>IZVODITELJ:</v>
      </c>
      <c r="F982" s="780" t="str">
        <f>'Obrazac kalkulacije'!$F$24</f>
        <v>NARUČITELJ:</v>
      </c>
      <c r="G982" s="780"/>
      <c r="M982" s="3" t="str">
        <f>'Obrazac kalkulacije'!$C$24</f>
        <v>IZVODITELJ:</v>
      </c>
      <c r="P982" s="780" t="str">
        <f>'Obrazac kalkulacije'!$F$24</f>
        <v>NARUČITELJ:</v>
      </c>
      <c r="Q982" s="780"/>
    </row>
    <row r="983" spans="1:17" ht="25.15" customHeight="1">
      <c r="C983" s="3" t="str">
        <f>'Obrazac kalkulacije'!$C$25</f>
        <v>__________________</v>
      </c>
      <c r="F983" s="780" t="str">
        <f>'Obrazac kalkulacije'!$F$25</f>
        <v>___________________</v>
      </c>
      <c r="G983" s="780"/>
      <c r="M983" s="3" t="str">
        <f>'Obrazac kalkulacije'!$C$25</f>
        <v>__________________</v>
      </c>
      <c r="P983" s="780" t="str">
        <f>'Obrazac kalkulacije'!$F$25</f>
        <v>___________________</v>
      </c>
      <c r="Q983" s="780"/>
    </row>
    <row r="984" spans="1:17" ht="15" customHeight="1">
      <c r="G984" s="25"/>
      <c r="Q984" s="25"/>
    </row>
    <row r="985" spans="1:17" ht="15" customHeight="1"/>
    <row r="986" spans="1:17" ht="15" customHeight="1">
      <c r="A986" s="115"/>
      <c r="B986" s="116" t="s">
        <v>17</v>
      </c>
      <c r="C986" s="117" t="s">
        <v>18</v>
      </c>
      <c r="D986" s="117"/>
      <c r="E986" s="117"/>
      <c r="F986" s="211"/>
      <c r="G986" s="117"/>
      <c r="K986" s="115"/>
      <c r="L986" s="116" t="s">
        <v>17</v>
      </c>
      <c r="M986" s="117" t="s">
        <v>18</v>
      </c>
      <c r="N986" s="117"/>
      <c r="O986" s="117"/>
      <c r="P986" s="211"/>
      <c r="Q986" s="117"/>
    </row>
    <row r="987" spans="1:17" ht="15" customHeight="1">
      <c r="A987" s="31"/>
      <c r="B987" s="32" t="s">
        <v>61</v>
      </c>
      <c r="C987" s="7" t="s">
        <v>62</v>
      </c>
      <c r="D987" s="7"/>
      <c r="E987" s="7"/>
      <c r="F987" s="212"/>
      <c r="G987" s="7"/>
      <c r="K987" s="31"/>
      <c r="L987" s="32" t="s">
        <v>195</v>
      </c>
      <c r="M987" s="7" t="s">
        <v>62</v>
      </c>
      <c r="N987" s="7"/>
      <c r="O987" s="7"/>
      <c r="P987" s="212"/>
      <c r="Q987" s="7"/>
    </row>
    <row r="988" spans="1:17" ht="150" customHeight="1">
      <c r="A988" s="33"/>
      <c r="B988" s="443" t="s">
        <v>63</v>
      </c>
      <c r="C988" s="792" t="s">
        <v>196</v>
      </c>
      <c r="D988" s="792"/>
      <c r="E988" s="792"/>
      <c r="F988" s="792"/>
      <c r="G988" s="792"/>
      <c r="K988" s="33"/>
      <c r="L988" s="34" t="s">
        <v>197</v>
      </c>
      <c r="M988" s="795" t="s">
        <v>196</v>
      </c>
      <c r="N988" s="795"/>
      <c r="O988" s="795"/>
      <c r="P988" s="795"/>
      <c r="Q988" s="795"/>
    </row>
    <row r="989" spans="1:17" ht="15" customHeight="1" thickBot="1"/>
    <row r="990" spans="1:17" ht="30" customHeight="1" thickTop="1" thickBot="1">
      <c r="A990" s="8"/>
      <c r="B990" s="797" t="str">
        <f>'Obrazac kalkulacije'!$B$6:$C$6</f>
        <v>Opis</v>
      </c>
      <c r="C990" s="797"/>
      <c r="D990" s="8" t="str">
        <f>'Obrazac kalkulacije'!$D$6</f>
        <v>Jed.
mjere</v>
      </c>
      <c r="E990" s="8" t="str">
        <f>'Obrazac kalkulacije'!$E$6</f>
        <v>Normativ</v>
      </c>
      <c r="F990" s="8" t="str">
        <f>'Obrazac kalkulacije'!$F$6</f>
        <v>Jed.
cijena</v>
      </c>
      <c r="G990" s="8" t="str">
        <f>'Obrazac kalkulacije'!$G$6</f>
        <v>Iznos</v>
      </c>
      <c r="K990" s="8"/>
      <c r="L990" s="797" t="e">
        <f>'Obrazac kalkulacije'!$B$6:$C$6</f>
        <v>#VALUE!</v>
      </c>
      <c r="M990" s="797"/>
      <c r="N990" s="8" t="str">
        <f>'Obrazac kalkulacije'!$D$6</f>
        <v>Jed.
mjere</v>
      </c>
      <c r="O990" s="8" t="str">
        <f>'Obrazac kalkulacije'!$E$6</f>
        <v>Normativ</v>
      </c>
      <c r="P990" s="8" t="str">
        <f>'Obrazac kalkulacije'!$F$6</f>
        <v>Jed.
cijena</v>
      </c>
      <c r="Q990" s="8" t="str">
        <f>'Obrazac kalkulacije'!$G$6</f>
        <v>Iznos</v>
      </c>
    </row>
    <row r="991" spans="1:17" ht="4.5" customHeight="1" thickTop="1">
      <c r="B991" s="35"/>
      <c r="C991" s="1"/>
      <c r="D991" s="9"/>
      <c r="E991" s="11"/>
      <c r="F991" s="205"/>
      <c r="G991" s="13"/>
      <c r="L991" s="35"/>
      <c r="M991" s="1"/>
      <c r="N991" s="9"/>
      <c r="O991" s="11"/>
      <c r="P991" s="205"/>
      <c r="Q991" s="13"/>
    </row>
    <row r="992" spans="1:17" ht="25.15" customHeight="1">
      <c r="A992" s="14"/>
      <c r="B992" s="15" t="str">
        <f>'Obrazac kalkulacije'!$B$8</f>
        <v>Radna snaga:</v>
      </c>
      <c r="C992" s="15"/>
      <c r="D992" s="14"/>
      <c r="E992" s="14"/>
      <c r="F992" s="206"/>
      <c r="G992" s="16">
        <f>SUM(G993:G993)</f>
        <v>0</v>
      </c>
      <c r="K992" s="14"/>
      <c r="L992" s="15" t="str">
        <f>'Obrazac kalkulacije'!$B$8</f>
        <v>Radna snaga:</v>
      </c>
      <c r="M992" s="15"/>
      <c r="N992" s="14"/>
      <c r="O992" s="14"/>
      <c r="P992" s="206"/>
      <c r="Q992" s="16">
        <f>SUM(Q993:Q993)</f>
        <v>0</v>
      </c>
    </row>
    <row r="993" spans="1:17" ht="25.15" customHeight="1">
      <c r="A993" s="26"/>
      <c r="B993" s="791" t="s">
        <v>130</v>
      </c>
      <c r="C993" s="791"/>
      <c r="D993" s="27" t="s">
        <v>15</v>
      </c>
      <c r="E993" s="28">
        <v>3.0142796550261558E-2</v>
      </c>
      <c r="F993" s="203">
        <f>SUMIF('Cjenik RS'!$C$11:$C$26,$B993,'Cjenik RS'!$D$11:$D$88)</f>
        <v>0</v>
      </c>
      <c r="G993" s="29">
        <f>+F993*E993</f>
        <v>0</v>
      </c>
      <c r="K993" s="26"/>
      <c r="L993" s="791" t="s">
        <v>130</v>
      </c>
      <c r="M993" s="791"/>
      <c r="N993" s="27" t="s">
        <v>15</v>
      </c>
      <c r="O993" s="28">
        <v>0.03</v>
      </c>
      <c r="P993" s="203">
        <f>SUMIF('Cjenik RS'!$C$11:$C$26,$B993,'Cjenik RS'!$D$11:$D$88)</f>
        <v>0</v>
      </c>
      <c r="Q993" s="29">
        <f>+P993*O993</f>
        <v>0</v>
      </c>
    </row>
    <row r="994" spans="1:17" ht="25.15" customHeight="1">
      <c r="A994" s="14"/>
      <c r="B994" s="802" t="str">
        <f>'Obrazac kalkulacije'!$B$15</f>
        <v>Materijali:</v>
      </c>
      <c r="C994" s="802"/>
      <c r="D994" s="14"/>
      <c r="E994" s="14"/>
      <c r="F994" s="203"/>
      <c r="G994" s="16">
        <f>SUM(G995:G995)</f>
        <v>622.79999999999995</v>
      </c>
      <c r="K994" s="14"/>
      <c r="L994" s="802" t="str">
        <f>'Obrazac kalkulacije'!$B$15</f>
        <v>Materijali:</v>
      </c>
      <c r="M994" s="802"/>
      <c r="N994" s="14"/>
      <c r="O994" s="14"/>
      <c r="P994" s="203"/>
      <c r="Q994" s="16">
        <f>SUM(Q995:Q995)</f>
        <v>0</v>
      </c>
    </row>
    <row r="995" spans="1:17" ht="25.15" customHeight="1" thickBot="1">
      <c r="A995" s="67"/>
      <c r="B995" s="807" t="str">
        <f>'Cjenik M'!B27</f>
        <v>Beton klase C30/37 sa prijevozom</v>
      </c>
      <c r="C995" s="807"/>
      <c r="D995" s="50" t="str">
        <f>'Cjenik M'!C27</f>
        <v>m3</v>
      </c>
      <c r="E995" s="68">
        <v>1</v>
      </c>
      <c r="F995" s="201">
        <f>'Cjenik M'!D27</f>
        <v>622.79999999999995</v>
      </c>
      <c r="G995" s="53">
        <f>+F995*E995</f>
        <v>622.79999999999995</v>
      </c>
      <c r="K995" s="67"/>
      <c r="L995" s="807">
        <f>'Cjenik M'!J27</f>
        <v>0</v>
      </c>
      <c r="M995" s="807"/>
      <c r="N995" s="50">
        <f>'Cjenik M'!K27</f>
        <v>0</v>
      </c>
      <c r="O995" s="68">
        <v>1</v>
      </c>
      <c r="P995" s="201">
        <f>'Cjenik M'!L27</f>
        <v>0</v>
      </c>
      <c r="Q995" s="53">
        <f>+P995*O995</f>
        <v>0</v>
      </c>
    </row>
    <row r="996" spans="1:17" ht="25.15" customHeight="1" thickTop="1" thickBot="1">
      <c r="B996" s="40"/>
      <c r="C996" s="20"/>
      <c r="D996" s="21"/>
      <c r="E996" s="118" t="str">
        <f>'Obrazac kalkulacije'!$E$18</f>
        <v>Ukupno (kn):</v>
      </c>
      <c r="F996" s="214"/>
      <c r="G996" s="22">
        <f>ROUND(SUM(G992+G994),2)</f>
        <v>622.79999999999995</v>
      </c>
      <c r="H996" s="217"/>
      <c r="I996" s="602"/>
      <c r="J996" s="602"/>
      <c r="L996" s="40"/>
      <c r="M996" s="20"/>
      <c r="N996" s="21"/>
      <c r="O996" s="118" t="str">
        <f>'Obrazac kalkulacije'!$E$18</f>
        <v>Ukupno (kn):</v>
      </c>
      <c r="P996" s="214"/>
      <c r="Q996" s="22">
        <f>ROUND(SUM(Q992+Q994),2)</f>
        <v>0</v>
      </c>
    </row>
    <row r="997" spans="1:17" ht="25.15" customHeight="1" thickTop="1" thickBot="1">
      <c r="E997" s="23" t="str">
        <f>'Obrazac kalkulacije'!$E$19</f>
        <v>PDV:</v>
      </c>
      <c r="F997" s="207">
        <f>'Obrazac kalkulacije'!$F$19</f>
        <v>0.25</v>
      </c>
      <c r="G997" s="24">
        <f>G996*F997</f>
        <v>155.69999999999999</v>
      </c>
      <c r="H997" s="446"/>
      <c r="I997" s="446"/>
      <c r="J997" s="446"/>
      <c r="O997" s="23" t="str">
        <f>'Obrazac kalkulacije'!$E$19</f>
        <v>PDV:</v>
      </c>
      <c r="P997" s="207">
        <f>'Obrazac kalkulacije'!$F$19</f>
        <v>0.25</v>
      </c>
      <c r="Q997" s="24">
        <f>Q996*P997</f>
        <v>0</v>
      </c>
    </row>
    <row r="998" spans="1:17" ht="25.15" customHeight="1" thickTop="1" thickBot="1">
      <c r="E998" s="119" t="str">
        <f>'Obrazac kalkulacije'!$E$20</f>
        <v>Sveukupno (kn):</v>
      </c>
      <c r="F998" s="215"/>
      <c r="G998" s="24">
        <f>ROUND(SUM(G996:G997),2)</f>
        <v>778.5</v>
      </c>
      <c r="H998" s="447"/>
      <c r="I998" s="447"/>
      <c r="J998" s="447"/>
      <c r="O998" s="119" t="str">
        <f>'Obrazac kalkulacije'!$E$20</f>
        <v>Sveukupno (kn):</v>
      </c>
      <c r="P998" s="215"/>
      <c r="Q998" s="24">
        <f>ROUND(SUM(Q996:Q997),2)</f>
        <v>0</v>
      </c>
    </row>
    <row r="999" spans="1:17" ht="15" customHeight="1" thickTop="1"/>
    <row r="1000" spans="1:17" ht="15" customHeight="1"/>
    <row r="1001" spans="1:17" ht="15" customHeight="1"/>
    <row r="1002" spans="1:17" ht="15" customHeight="1">
      <c r="C1002" s="3" t="str">
        <f>'Obrazac kalkulacije'!$C$24</f>
        <v>IZVODITELJ:</v>
      </c>
      <c r="F1002" s="780" t="str">
        <f>'Obrazac kalkulacije'!$F$24</f>
        <v>NARUČITELJ:</v>
      </c>
      <c r="G1002" s="780"/>
      <c r="M1002" s="3" t="str">
        <f>'Obrazac kalkulacije'!$C$24</f>
        <v>IZVODITELJ:</v>
      </c>
      <c r="P1002" s="780" t="str">
        <f>'Obrazac kalkulacije'!$F$24</f>
        <v>NARUČITELJ:</v>
      </c>
      <c r="Q1002" s="780"/>
    </row>
    <row r="1003" spans="1:17" ht="25.15" customHeight="1">
      <c r="C1003" s="3" t="str">
        <f>'Obrazac kalkulacije'!$C$25</f>
        <v>__________________</v>
      </c>
      <c r="F1003" s="780" t="str">
        <f>'Obrazac kalkulacije'!$F$25</f>
        <v>___________________</v>
      </c>
      <c r="G1003" s="780"/>
      <c r="M1003" s="3" t="str">
        <f>'Obrazac kalkulacije'!$C$25</f>
        <v>__________________</v>
      </c>
      <c r="P1003" s="780" t="str">
        <f>'Obrazac kalkulacije'!$F$25</f>
        <v>___________________</v>
      </c>
      <c r="Q1003" s="780"/>
    </row>
    <row r="1004" spans="1:17" ht="15" customHeight="1">
      <c r="G1004" s="25"/>
      <c r="Q1004" s="25"/>
    </row>
    <row r="1005" spans="1:17" ht="15" customHeight="1"/>
    <row r="1006" spans="1:17" ht="15" customHeight="1">
      <c r="A1006" s="115"/>
      <c r="B1006" s="116" t="s">
        <v>17</v>
      </c>
      <c r="C1006" s="117" t="s">
        <v>18</v>
      </c>
      <c r="D1006" s="117"/>
      <c r="E1006" s="117"/>
      <c r="F1006" s="211"/>
      <c r="G1006" s="117"/>
      <c r="K1006" s="115"/>
      <c r="L1006" s="116" t="s">
        <v>17</v>
      </c>
      <c r="M1006" s="117" t="s">
        <v>18</v>
      </c>
      <c r="N1006" s="117"/>
      <c r="O1006" s="117"/>
      <c r="P1006" s="211"/>
      <c r="Q1006" s="117"/>
    </row>
    <row r="1007" spans="1:17" ht="15" customHeight="1">
      <c r="A1007" s="31"/>
      <c r="B1007" s="32" t="s">
        <v>61</v>
      </c>
      <c r="C1007" s="7" t="s">
        <v>62</v>
      </c>
      <c r="D1007" s="7"/>
      <c r="E1007" s="7"/>
      <c r="F1007" s="212"/>
      <c r="G1007" s="7"/>
      <c r="K1007" s="31"/>
      <c r="L1007" s="32" t="s">
        <v>195</v>
      </c>
      <c r="M1007" s="7" t="s">
        <v>62</v>
      </c>
      <c r="N1007" s="7"/>
      <c r="O1007" s="7"/>
      <c r="P1007" s="212"/>
      <c r="Q1007" s="7"/>
    </row>
    <row r="1008" spans="1:17" ht="150" customHeight="1">
      <c r="A1008" s="33"/>
      <c r="B1008" s="443" t="s">
        <v>64</v>
      </c>
      <c r="C1008" s="792" t="s">
        <v>198</v>
      </c>
      <c r="D1008" s="792"/>
      <c r="E1008" s="792"/>
      <c r="F1008" s="792"/>
      <c r="G1008" s="792"/>
      <c r="K1008" s="33"/>
      <c r="L1008" s="34" t="s">
        <v>199</v>
      </c>
      <c r="M1008" s="795" t="s">
        <v>198</v>
      </c>
      <c r="N1008" s="795"/>
      <c r="O1008" s="795"/>
      <c r="P1008" s="795"/>
      <c r="Q1008" s="795"/>
    </row>
    <row r="1009" spans="1:17" ht="15" customHeight="1" thickBot="1"/>
    <row r="1010" spans="1:17" ht="30" customHeight="1" thickTop="1" thickBot="1">
      <c r="A1010" s="8"/>
      <c r="B1010" s="797" t="str">
        <f>'Obrazac kalkulacije'!$B$6:$C$6</f>
        <v>Opis</v>
      </c>
      <c r="C1010" s="797"/>
      <c r="D1010" s="8" t="str">
        <f>'Obrazac kalkulacije'!$D$6</f>
        <v>Jed.
mjere</v>
      </c>
      <c r="E1010" s="8" t="str">
        <f>'Obrazac kalkulacije'!$E$6</f>
        <v>Normativ</v>
      </c>
      <c r="F1010" s="8" t="str">
        <f>'Obrazac kalkulacije'!$F$6</f>
        <v>Jed.
cijena</v>
      </c>
      <c r="G1010" s="8" t="str">
        <f>'Obrazac kalkulacije'!$G$6</f>
        <v>Iznos</v>
      </c>
      <c r="K1010" s="8"/>
      <c r="L1010" s="797" t="e">
        <f>'Obrazac kalkulacije'!$B$6:$C$6</f>
        <v>#VALUE!</v>
      </c>
      <c r="M1010" s="797"/>
      <c r="N1010" s="8" t="str">
        <f>'Obrazac kalkulacije'!$D$6</f>
        <v>Jed.
mjere</v>
      </c>
      <c r="O1010" s="8" t="str">
        <f>'Obrazac kalkulacije'!$E$6</f>
        <v>Normativ</v>
      </c>
      <c r="P1010" s="8" t="str">
        <f>'Obrazac kalkulacije'!$F$6</f>
        <v>Jed.
cijena</v>
      </c>
      <c r="Q1010" s="8" t="str">
        <f>'Obrazac kalkulacije'!$G$6</f>
        <v>Iznos</v>
      </c>
    </row>
    <row r="1011" spans="1:17" ht="4.5" customHeight="1" thickTop="1">
      <c r="B1011" s="35"/>
      <c r="C1011" s="1"/>
      <c r="D1011" s="9"/>
      <c r="E1011" s="11"/>
      <c r="F1011" s="205"/>
      <c r="G1011" s="13"/>
      <c r="L1011" s="35"/>
      <c r="M1011" s="1"/>
      <c r="N1011" s="9"/>
      <c r="O1011" s="11"/>
      <c r="P1011" s="205"/>
      <c r="Q1011" s="13"/>
    </row>
    <row r="1012" spans="1:17" ht="25.15" customHeight="1">
      <c r="A1012" s="14"/>
      <c r="B1012" s="15" t="str">
        <f>'Obrazac kalkulacije'!$B$8</f>
        <v>Radna snaga:</v>
      </c>
      <c r="C1012" s="15"/>
      <c r="D1012" s="14"/>
      <c r="E1012" s="14"/>
      <c r="F1012" s="206"/>
      <c r="G1012" s="16">
        <f>SUM(G1013:G1013)</f>
        <v>0</v>
      </c>
      <c r="K1012" s="14"/>
      <c r="L1012" s="15" t="str">
        <f>'Obrazac kalkulacije'!$B$8</f>
        <v>Radna snaga:</v>
      </c>
      <c r="M1012" s="15"/>
      <c r="N1012" s="14"/>
      <c r="O1012" s="14"/>
      <c r="P1012" s="206"/>
      <c r="Q1012" s="16">
        <f>SUM(Q1013:Q1013)</f>
        <v>0</v>
      </c>
    </row>
    <row r="1013" spans="1:17" ht="25.15" customHeight="1" thickBot="1">
      <c r="A1013" s="17"/>
      <c r="B1013" s="798" t="s">
        <v>130</v>
      </c>
      <c r="C1013" s="798"/>
      <c r="D1013" s="27" t="s">
        <v>15</v>
      </c>
      <c r="E1013" s="28">
        <v>2</v>
      </c>
      <c r="F1013" s="203">
        <f>SUMIF('Cjenik RS'!$C$11:$C$26,$B1013,'Cjenik RS'!$D$11:$D$88)</f>
        <v>0</v>
      </c>
      <c r="G1013" s="29">
        <f>E1013*F1013</f>
        <v>0</v>
      </c>
      <c r="K1013" s="17"/>
      <c r="L1013" s="798" t="s">
        <v>130</v>
      </c>
      <c r="M1013" s="798"/>
      <c r="N1013" s="27" t="s">
        <v>15</v>
      </c>
      <c r="O1013" s="28">
        <v>2</v>
      </c>
      <c r="P1013" s="203">
        <f>SUMIF('Cjenik RS'!$C$11:$C$26,$B1013,'Cjenik RS'!$D$11:$D$88)</f>
        <v>0</v>
      </c>
      <c r="Q1013" s="29">
        <f>O1013*P1013</f>
        <v>0</v>
      </c>
    </row>
    <row r="1014" spans="1:17" ht="25.15" customHeight="1" thickTop="1" thickBot="1">
      <c r="B1014" s="40"/>
      <c r="C1014" s="20"/>
      <c r="D1014" s="21"/>
      <c r="E1014" s="118" t="str">
        <f>'Obrazac kalkulacije'!$E$18</f>
        <v>Ukupno (kn):</v>
      </c>
      <c r="F1014" s="214"/>
      <c r="G1014" s="22">
        <f>ROUND(SUM(G1012),2)</f>
        <v>0</v>
      </c>
      <c r="H1014" s="217"/>
      <c r="I1014" s="602"/>
      <c r="J1014" s="602"/>
      <c r="L1014" s="40"/>
      <c r="M1014" s="20"/>
      <c r="N1014" s="21"/>
      <c r="O1014" s="118" t="str">
        <f>'Obrazac kalkulacije'!$E$18</f>
        <v>Ukupno (kn):</v>
      </c>
      <c r="P1014" s="214"/>
      <c r="Q1014" s="22">
        <f>ROUND(SUM(Q1012),2)</f>
        <v>0</v>
      </c>
    </row>
    <row r="1015" spans="1:17" ht="25.15" customHeight="1" thickTop="1" thickBot="1">
      <c r="E1015" s="23" t="str">
        <f>'Obrazac kalkulacije'!$E$19</f>
        <v>PDV:</v>
      </c>
      <c r="F1015" s="207">
        <f>'Obrazac kalkulacije'!$F$19</f>
        <v>0.25</v>
      </c>
      <c r="G1015" s="24">
        <f>G1014*F1015</f>
        <v>0</v>
      </c>
      <c r="H1015" s="446"/>
      <c r="I1015" s="446"/>
      <c r="J1015" s="446"/>
      <c r="O1015" s="23" t="str">
        <f>'Obrazac kalkulacije'!$E$19</f>
        <v>PDV:</v>
      </c>
      <c r="P1015" s="207">
        <f>'Obrazac kalkulacije'!$F$19</f>
        <v>0.25</v>
      </c>
      <c r="Q1015" s="24">
        <f>Q1014*P1015</f>
        <v>0</v>
      </c>
    </row>
    <row r="1016" spans="1:17" ht="25.15" customHeight="1" thickTop="1" thickBot="1">
      <c r="E1016" s="119" t="str">
        <f>'Obrazac kalkulacije'!$E$20</f>
        <v>Sveukupno (kn):</v>
      </c>
      <c r="F1016" s="215"/>
      <c r="G1016" s="24">
        <f>ROUND(SUM(G1014:G1015),2)</f>
        <v>0</v>
      </c>
      <c r="H1016" s="447"/>
      <c r="I1016" s="447"/>
      <c r="J1016" s="447"/>
      <c r="O1016" s="119" t="str">
        <f>'Obrazac kalkulacije'!$E$20</f>
        <v>Sveukupno (kn):</v>
      </c>
      <c r="P1016" s="215"/>
      <c r="Q1016" s="24">
        <f>ROUND(SUM(Q1014:Q1015),2)</f>
        <v>0</v>
      </c>
    </row>
    <row r="1017" spans="1:17" ht="15" customHeight="1" thickTop="1"/>
    <row r="1018" spans="1:17" ht="15" customHeight="1"/>
    <row r="1019" spans="1:17" ht="15" customHeight="1"/>
    <row r="1020" spans="1:17" ht="15" customHeight="1">
      <c r="C1020" s="3" t="str">
        <f>'Obrazac kalkulacije'!$C$24</f>
        <v>IZVODITELJ:</v>
      </c>
      <c r="F1020" s="780" t="str">
        <f>'Obrazac kalkulacije'!$F$24</f>
        <v>NARUČITELJ:</v>
      </c>
      <c r="G1020" s="780"/>
      <c r="M1020" s="3" t="str">
        <f>'Obrazac kalkulacije'!$C$24</f>
        <v>IZVODITELJ:</v>
      </c>
      <c r="P1020" s="780" t="str">
        <f>'Obrazac kalkulacije'!$F$24</f>
        <v>NARUČITELJ:</v>
      </c>
      <c r="Q1020" s="780"/>
    </row>
    <row r="1021" spans="1:17" ht="25.15" customHeight="1">
      <c r="C1021" s="3" t="str">
        <f>'Obrazac kalkulacije'!$C$25</f>
        <v>__________________</v>
      </c>
      <c r="F1021" s="780" t="str">
        <f>'Obrazac kalkulacije'!$F$25</f>
        <v>___________________</v>
      </c>
      <c r="G1021" s="780"/>
      <c r="M1021" s="3" t="str">
        <f>'Obrazac kalkulacije'!$C$25</f>
        <v>__________________</v>
      </c>
      <c r="P1021" s="780" t="str">
        <f>'Obrazac kalkulacije'!$F$25</f>
        <v>___________________</v>
      </c>
      <c r="Q1021" s="780"/>
    </row>
    <row r="1022" spans="1:17" ht="15" customHeight="1">
      <c r="G1022" s="25"/>
      <c r="Q1022" s="25"/>
    </row>
    <row r="1023" spans="1:17" ht="15" customHeight="1"/>
    <row r="1024" spans="1:17" ht="15" customHeight="1">
      <c r="A1024" s="115"/>
      <c r="B1024" s="116" t="s">
        <v>17</v>
      </c>
      <c r="C1024" s="117" t="s">
        <v>18</v>
      </c>
      <c r="D1024" s="117"/>
      <c r="E1024" s="117"/>
      <c r="F1024" s="211"/>
      <c r="G1024" s="117"/>
      <c r="K1024" s="115"/>
      <c r="L1024" s="116" t="s">
        <v>17</v>
      </c>
      <c r="M1024" s="117" t="s">
        <v>18</v>
      </c>
      <c r="N1024" s="117"/>
      <c r="O1024" s="117"/>
      <c r="P1024" s="211"/>
      <c r="Q1024" s="117"/>
    </row>
    <row r="1025" spans="1:17" ht="15" customHeight="1">
      <c r="A1025" s="31"/>
      <c r="B1025" s="32" t="s">
        <v>61</v>
      </c>
      <c r="C1025" s="7" t="s">
        <v>62</v>
      </c>
      <c r="D1025" s="7"/>
      <c r="E1025" s="7"/>
      <c r="F1025" s="212"/>
      <c r="G1025" s="7"/>
      <c r="K1025" s="31"/>
      <c r="L1025" s="32" t="s">
        <v>195</v>
      </c>
      <c r="M1025" s="7" t="s">
        <v>62</v>
      </c>
      <c r="N1025" s="7"/>
      <c r="O1025" s="7"/>
      <c r="P1025" s="212"/>
      <c r="Q1025" s="7"/>
    </row>
    <row r="1026" spans="1:17" ht="150" customHeight="1">
      <c r="A1026" s="33"/>
      <c r="B1026" s="443" t="s">
        <v>65</v>
      </c>
      <c r="C1026" s="792" t="s">
        <v>200</v>
      </c>
      <c r="D1026" s="792"/>
      <c r="E1026" s="792"/>
      <c r="F1026" s="792"/>
      <c r="G1026" s="792"/>
      <c r="K1026" s="33"/>
      <c r="L1026" s="34" t="s">
        <v>201</v>
      </c>
      <c r="M1026" s="795" t="s">
        <v>200</v>
      </c>
      <c r="N1026" s="795"/>
      <c r="O1026" s="795"/>
      <c r="P1026" s="795"/>
      <c r="Q1026" s="795"/>
    </row>
    <row r="1027" spans="1:17" ht="15" customHeight="1" thickBot="1"/>
    <row r="1028" spans="1:17" ht="30" customHeight="1" thickTop="1" thickBot="1">
      <c r="A1028" s="8"/>
      <c r="B1028" s="797" t="str">
        <f>'Obrazac kalkulacije'!$B$6:$C$6</f>
        <v>Opis</v>
      </c>
      <c r="C1028" s="797"/>
      <c r="D1028" s="8" t="str">
        <f>'Obrazac kalkulacije'!$D$6</f>
        <v>Jed.
mjere</v>
      </c>
      <c r="E1028" s="8" t="str">
        <f>'Obrazac kalkulacije'!$E$6</f>
        <v>Normativ</v>
      </c>
      <c r="F1028" s="8" t="str">
        <f>'Obrazac kalkulacije'!$F$6</f>
        <v>Jed.
cijena</v>
      </c>
      <c r="G1028" s="8" t="str">
        <f>'Obrazac kalkulacije'!$G$6</f>
        <v>Iznos</v>
      </c>
      <c r="K1028" s="8"/>
      <c r="L1028" s="797" t="e">
        <f>'Obrazac kalkulacije'!$B$6:$C$6</f>
        <v>#VALUE!</v>
      </c>
      <c r="M1028" s="797"/>
      <c r="N1028" s="8" t="str">
        <f>'Obrazac kalkulacije'!$D$6</f>
        <v>Jed.
mjere</v>
      </c>
      <c r="O1028" s="8" t="str">
        <f>'Obrazac kalkulacije'!$E$6</f>
        <v>Normativ</v>
      </c>
      <c r="P1028" s="8" t="str">
        <f>'Obrazac kalkulacije'!$F$6</f>
        <v>Jed.
cijena</v>
      </c>
      <c r="Q1028" s="8" t="str">
        <f>'Obrazac kalkulacije'!$G$6</f>
        <v>Iznos</v>
      </c>
    </row>
    <row r="1029" spans="1:17" ht="4.5" customHeight="1" thickTop="1">
      <c r="B1029" s="35"/>
      <c r="C1029" s="1"/>
      <c r="D1029" s="9"/>
      <c r="E1029" s="11"/>
      <c r="F1029" s="205"/>
      <c r="G1029" s="13"/>
      <c r="L1029" s="35"/>
      <c r="M1029" s="1"/>
      <c r="N1029" s="9"/>
      <c r="O1029" s="11"/>
      <c r="P1029" s="205"/>
      <c r="Q1029" s="13"/>
    </row>
    <row r="1030" spans="1:17" ht="25.15" customHeight="1">
      <c r="A1030" s="14"/>
      <c r="B1030" s="15" t="str">
        <f>'Obrazac kalkulacije'!$B$8</f>
        <v>Radna snaga:</v>
      </c>
      <c r="C1030" s="15"/>
      <c r="D1030" s="14"/>
      <c r="E1030" s="14"/>
      <c r="F1030" s="206"/>
      <c r="G1030" s="16">
        <f>SUM(G1031:G1031)</f>
        <v>0</v>
      </c>
      <c r="K1030" s="14"/>
      <c r="L1030" s="15" t="str">
        <f>'Obrazac kalkulacije'!$B$8</f>
        <v>Radna snaga:</v>
      </c>
      <c r="M1030" s="15"/>
      <c r="N1030" s="14"/>
      <c r="O1030" s="14"/>
      <c r="P1030" s="206"/>
      <c r="Q1030" s="16">
        <f>SUM(Q1031:Q1031)</f>
        <v>0</v>
      </c>
    </row>
    <row r="1031" spans="1:17" ht="25.15" customHeight="1">
      <c r="A1031" s="26"/>
      <c r="B1031" s="791" t="s">
        <v>130</v>
      </c>
      <c r="C1031" s="791"/>
      <c r="D1031" s="27" t="s">
        <v>15</v>
      </c>
      <c r="E1031" s="28">
        <v>5.71E-4</v>
      </c>
      <c r="F1031" s="203">
        <f>SUMIF('Cjenik RS'!$C$11:$C$26,$B1031,'Cjenik RS'!$D$11:$D$88)</f>
        <v>0</v>
      </c>
      <c r="G1031" s="29">
        <f>+F1031*E1031</f>
        <v>0</v>
      </c>
      <c r="H1031" s="3">
        <f>8/E1031</f>
        <v>14010.507880910684</v>
      </c>
      <c r="K1031" s="26"/>
      <c r="L1031" s="791" t="s">
        <v>130</v>
      </c>
      <c r="M1031" s="791"/>
      <c r="N1031" s="27" t="s">
        <v>15</v>
      </c>
      <c r="O1031" s="28">
        <v>5.71E-4</v>
      </c>
      <c r="P1031" s="203">
        <f>SUMIF('Cjenik RS'!$C$11:$C$26,$B1031,'Cjenik RS'!$D$11:$D$88)</f>
        <v>0</v>
      </c>
      <c r="Q1031" s="29">
        <f>+P1031*O1031</f>
        <v>0</v>
      </c>
    </row>
    <row r="1032" spans="1:17" ht="25.15" customHeight="1">
      <c r="A1032" s="14"/>
      <c r="B1032" s="15" t="str">
        <f>'Obrazac kalkulacije'!$B$11</f>
        <v>Vozila, strojevi i oprema:</v>
      </c>
      <c r="C1032" s="15"/>
      <c r="D1032" s="14"/>
      <c r="E1032" s="14"/>
      <c r="F1032" s="203"/>
      <c r="G1032" s="16">
        <f>SUM(G1033:G1033)</f>
        <v>0.25544826999999998</v>
      </c>
      <c r="K1032" s="14"/>
      <c r="L1032" s="15" t="str">
        <f>'Obrazac kalkulacije'!$B$11</f>
        <v>Vozila, strojevi i oprema:</v>
      </c>
      <c r="M1032" s="15"/>
      <c r="N1032" s="14"/>
      <c r="O1032" s="14"/>
      <c r="P1032" s="203"/>
      <c r="Q1032" s="16">
        <f>SUM(Q1033:Q1033)</f>
        <v>0.25544826999999998</v>
      </c>
    </row>
    <row r="1033" spans="1:17" ht="25.15" customHeight="1" thickBot="1">
      <c r="A1033" s="17"/>
      <c r="B1033" s="807" t="s">
        <v>202</v>
      </c>
      <c r="C1033" s="807"/>
      <c r="D1033" s="45" t="s">
        <v>15</v>
      </c>
      <c r="E1033" s="28">
        <v>5.71E-4</v>
      </c>
      <c r="F1033" s="200">
        <f>SUMIF('Cjenik VSO'!$B$9:$B$85,$B1033,'Cjenik VSO'!$C$9:$C$85)</f>
        <v>447.37</v>
      </c>
      <c r="G1033" s="48">
        <f>+F1033*E1033</f>
        <v>0.25544826999999998</v>
      </c>
      <c r="H1033" s="3">
        <f>8/E1033</f>
        <v>14010.507880910684</v>
      </c>
      <c r="K1033" s="17"/>
      <c r="L1033" s="807" t="s">
        <v>202</v>
      </c>
      <c r="M1033" s="807"/>
      <c r="N1033" s="45" t="s">
        <v>15</v>
      </c>
      <c r="O1033" s="66">
        <v>5.71E-4</v>
      </c>
      <c r="P1033" s="200">
        <f>SUMIF('Cjenik VSO'!$B$9:$B$85,$B1033,'Cjenik VSO'!$C$9:$C$85)</f>
        <v>447.37</v>
      </c>
      <c r="Q1033" s="48">
        <f>+P1033*O1033</f>
        <v>0.25544826999999998</v>
      </c>
    </row>
    <row r="1034" spans="1:17" ht="25.15" customHeight="1" thickTop="1" thickBot="1">
      <c r="B1034" s="40"/>
      <c r="C1034" s="20"/>
      <c r="D1034" s="21"/>
      <c r="E1034" s="118" t="str">
        <f>'Obrazac kalkulacije'!$E$18</f>
        <v>Ukupno (kn):</v>
      </c>
      <c r="F1034" s="214"/>
      <c r="G1034" s="22">
        <f>ROUND(SUM(G1030+G1032),2)</f>
        <v>0.26</v>
      </c>
      <c r="H1034" s="217"/>
      <c r="I1034" s="602"/>
      <c r="J1034" s="602"/>
      <c r="L1034" s="40"/>
      <c r="M1034" s="20"/>
      <c r="N1034" s="21"/>
      <c r="O1034" s="118" t="str">
        <f>'Obrazac kalkulacije'!$E$18</f>
        <v>Ukupno (kn):</v>
      </c>
      <c r="P1034" s="214"/>
      <c r="Q1034" s="22">
        <f>ROUND(SUM(Q1030+Q1032),2)</f>
        <v>0.26</v>
      </c>
    </row>
    <row r="1035" spans="1:17" ht="25.15" customHeight="1" thickTop="1" thickBot="1">
      <c r="E1035" s="23" t="str">
        <f>'Obrazac kalkulacije'!$E$19</f>
        <v>PDV:</v>
      </c>
      <c r="F1035" s="207">
        <f>'Obrazac kalkulacije'!$F$19</f>
        <v>0.25</v>
      </c>
      <c r="G1035" s="24">
        <f>G1034*F1035</f>
        <v>6.5000000000000002E-2</v>
      </c>
      <c r="H1035" s="446"/>
      <c r="I1035" s="446"/>
      <c r="J1035" s="446"/>
      <c r="O1035" s="23" t="str">
        <f>'Obrazac kalkulacije'!$E$19</f>
        <v>PDV:</v>
      </c>
      <c r="P1035" s="207">
        <f>'Obrazac kalkulacije'!$F$19</f>
        <v>0.25</v>
      </c>
      <c r="Q1035" s="24">
        <f>Q1034*P1035</f>
        <v>6.5000000000000002E-2</v>
      </c>
    </row>
    <row r="1036" spans="1:17" ht="25.15" customHeight="1" thickTop="1" thickBot="1">
      <c r="E1036" s="119" t="str">
        <f>'Obrazac kalkulacije'!$E$20</f>
        <v>Sveukupno (kn):</v>
      </c>
      <c r="F1036" s="215"/>
      <c r="G1036" s="24">
        <f>ROUND(SUM(G1034:G1035),2)</f>
        <v>0.33</v>
      </c>
      <c r="H1036" s="447"/>
      <c r="I1036" s="447"/>
      <c r="J1036" s="447"/>
      <c r="O1036" s="119" t="str">
        <f>'Obrazac kalkulacije'!$E$20</f>
        <v>Sveukupno (kn):</v>
      </c>
      <c r="P1036" s="215"/>
      <c r="Q1036" s="24">
        <f>ROUND(SUM(Q1034:Q1035),2)</f>
        <v>0.33</v>
      </c>
    </row>
    <row r="1037" spans="1:17" ht="15" customHeight="1" thickTop="1"/>
    <row r="1038" spans="1:17" ht="15" customHeight="1"/>
    <row r="1039" spans="1:17" ht="15" customHeight="1"/>
    <row r="1040" spans="1:17" ht="15" customHeight="1">
      <c r="C1040" s="3" t="str">
        <f>'Obrazac kalkulacije'!$C$24</f>
        <v>IZVODITELJ:</v>
      </c>
      <c r="F1040" s="780" t="str">
        <f>'Obrazac kalkulacije'!$F$24</f>
        <v>NARUČITELJ:</v>
      </c>
      <c r="G1040" s="780"/>
      <c r="M1040" s="3" t="str">
        <f>'Obrazac kalkulacije'!$C$24</f>
        <v>IZVODITELJ:</v>
      </c>
      <c r="P1040" s="780" t="str">
        <f>'Obrazac kalkulacije'!$F$24</f>
        <v>NARUČITELJ:</v>
      </c>
      <c r="Q1040" s="780"/>
    </row>
    <row r="1041" spans="1:17" ht="25.15" customHeight="1">
      <c r="C1041" s="3" t="str">
        <f>'Obrazac kalkulacije'!$C$25</f>
        <v>__________________</v>
      </c>
      <c r="F1041" s="780" t="str">
        <f>'Obrazac kalkulacije'!$F$25</f>
        <v>___________________</v>
      </c>
      <c r="G1041" s="780"/>
      <c r="M1041" s="3" t="str">
        <f>'Obrazac kalkulacije'!$C$25</f>
        <v>__________________</v>
      </c>
      <c r="P1041" s="780" t="str">
        <f>'Obrazac kalkulacije'!$F$25</f>
        <v>___________________</v>
      </c>
      <c r="Q1041" s="780"/>
    </row>
    <row r="1042" spans="1:17" ht="15" customHeight="1">
      <c r="G1042" s="25"/>
      <c r="Q1042" s="25"/>
    </row>
    <row r="1043" spans="1:17" ht="15" customHeight="1"/>
    <row r="1044" spans="1:17" ht="15" customHeight="1">
      <c r="A1044" s="115"/>
      <c r="B1044" s="116" t="s">
        <v>17</v>
      </c>
      <c r="C1044" s="117" t="s">
        <v>18</v>
      </c>
      <c r="D1044" s="117"/>
      <c r="E1044" s="117"/>
      <c r="F1044" s="211"/>
      <c r="G1044" s="117"/>
      <c r="K1044" s="115"/>
      <c r="L1044" s="116" t="s">
        <v>17</v>
      </c>
      <c r="M1044" s="117" t="s">
        <v>18</v>
      </c>
      <c r="N1044" s="117"/>
      <c r="O1044" s="117"/>
      <c r="P1044" s="211"/>
      <c r="Q1044" s="117"/>
    </row>
    <row r="1045" spans="1:17" ht="15" customHeight="1">
      <c r="A1045" s="31"/>
      <c r="B1045" s="32" t="s">
        <v>61</v>
      </c>
      <c r="C1045" s="7" t="s">
        <v>62</v>
      </c>
      <c r="D1045" s="7"/>
      <c r="E1045" s="7"/>
      <c r="F1045" s="212"/>
      <c r="G1045" s="7"/>
      <c r="K1045" s="31"/>
      <c r="L1045" s="32" t="s">
        <v>195</v>
      </c>
      <c r="M1045" s="7" t="s">
        <v>62</v>
      </c>
      <c r="N1045" s="7"/>
      <c r="O1045" s="7"/>
      <c r="P1045" s="212"/>
      <c r="Q1045" s="7"/>
    </row>
    <row r="1046" spans="1:17" ht="150" customHeight="1">
      <c r="A1046" s="33"/>
      <c r="B1046" s="443" t="s">
        <v>66</v>
      </c>
      <c r="C1046" s="792" t="s">
        <v>203</v>
      </c>
      <c r="D1046" s="792"/>
      <c r="E1046" s="792"/>
      <c r="F1046" s="792"/>
      <c r="G1046" s="792"/>
      <c r="K1046" s="33"/>
      <c r="L1046" s="34" t="s">
        <v>204</v>
      </c>
      <c r="M1046" s="795" t="s">
        <v>203</v>
      </c>
      <c r="N1046" s="795"/>
      <c r="O1046" s="795"/>
      <c r="P1046" s="795"/>
      <c r="Q1046" s="795"/>
    </row>
    <row r="1047" spans="1:17" ht="15" customHeight="1" thickBot="1"/>
    <row r="1048" spans="1:17" ht="30" customHeight="1" thickTop="1" thickBot="1">
      <c r="A1048" s="8"/>
      <c r="B1048" s="797" t="str">
        <f>'Obrazac kalkulacije'!$B$6:$C$6</f>
        <v>Opis</v>
      </c>
      <c r="C1048" s="797"/>
      <c r="D1048" s="8" t="str">
        <f>'Obrazac kalkulacije'!$D$6</f>
        <v>Jed.
mjere</v>
      </c>
      <c r="E1048" s="8" t="str">
        <f>'Obrazac kalkulacije'!$E$6</f>
        <v>Normativ</v>
      </c>
      <c r="F1048" s="8" t="str">
        <f>'Obrazac kalkulacije'!$F$6</f>
        <v>Jed.
cijena</v>
      </c>
      <c r="G1048" s="8" t="str">
        <f>'Obrazac kalkulacije'!$G$6</f>
        <v>Iznos</v>
      </c>
      <c r="K1048" s="8"/>
      <c r="L1048" s="797" t="e">
        <f>'Obrazac kalkulacije'!$B$6:$C$6</f>
        <v>#VALUE!</v>
      </c>
      <c r="M1048" s="797"/>
      <c r="N1048" s="8" t="str">
        <f>'Obrazac kalkulacije'!$D$6</f>
        <v>Jed.
mjere</v>
      </c>
      <c r="O1048" s="8" t="str">
        <f>'Obrazac kalkulacije'!$E$6</f>
        <v>Normativ</v>
      </c>
      <c r="P1048" s="8" t="str">
        <f>'Obrazac kalkulacije'!$F$6</f>
        <v>Jed.
cijena</v>
      </c>
      <c r="Q1048" s="8" t="str">
        <f>'Obrazac kalkulacije'!$G$6</f>
        <v>Iznos</v>
      </c>
    </row>
    <row r="1049" spans="1:17" ht="4.5" customHeight="1" thickTop="1">
      <c r="B1049" s="35"/>
      <c r="C1049" s="1"/>
      <c r="D1049" s="9"/>
      <c r="E1049" s="11"/>
      <c r="F1049" s="205"/>
      <c r="G1049" s="13"/>
      <c r="L1049" s="35"/>
      <c r="M1049" s="1"/>
      <c r="N1049" s="9"/>
      <c r="O1049" s="11"/>
      <c r="P1049" s="205"/>
      <c r="Q1049" s="13"/>
    </row>
    <row r="1050" spans="1:17" ht="25.15" customHeight="1">
      <c r="A1050" s="14"/>
      <c r="B1050" s="15" t="str">
        <f>'Obrazac kalkulacije'!$B$8</f>
        <v>Radna snaga:</v>
      </c>
      <c r="C1050" s="15"/>
      <c r="D1050" s="14"/>
      <c r="E1050" s="14"/>
      <c r="F1050" s="206"/>
      <c r="G1050" s="16">
        <f>SUM(G1051:G1051)</f>
        <v>0</v>
      </c>
      <c r="K1050" s="14"/>
      <c r="L1050" s="15" t="str">
        <f>'Obrazac kalkulacije'!$B$8</f>
        <v>Radna snaga:</v>
      </c>
      <c r="M1050" s="15"/>
      <c r="N1050" s="14"/>
      <c r="O1050" s="14"/>
      <c r="P1050" s="206"/>
      <c r="Q1050" s="16">
        <f>SUM(Q1051:Q1051)</f>
        <v>0</v>
      </c>
    </row>
    <row r="1051" spans="1:17" ht="25.15" customHeight="1">
      <c r="A1051" s="26"/>
      <c r="B1051" s="791" t="s">
        <v>130</v>
      </c>
      <c r="C1051" s="791"/>
      <c r="D1051" s="27" t="s">
        <v>15</v>
      </c>
      <c r="E1051" s="28">
        <v>3.8094999999999997E-2</v>
      </c>
      <c r="F1051" s="203">
        <f>SUMIF('Cjenik RS'!$C$11:$C$26,$B1051,'Cjenik RS'!$D$11:$D$88)</f>
        <v>0</v>
      </c>
      <c r="G1051" s="29">
        <f>+F1051*E1051</f>
        <v>0</v>
      </c>
      <c r="K1051" s="26"/>
      <c r="L1051" s="791" t="s">
        <v>130</v>
      </c>
      <c r="M1051" s="791"/>
      <c r="N1051" s="27" t="s">
        <v>15</v>
      </c>
      <c r="O1051" s="28">
        <v>3.8094999999999997E-2</v>
      </c>
      <c r="P1051" s="203">
        <f>SUMIF('Cjenik RS'!$C$11:$C$26,$B1051,'Cjenik RS'!$D$11:$D$88)</f>
        <v>0</v>
      </c>
      <c r="Q1051" s="29">
        <f>+P1051*O1051</f>
        <v>0</v>
      </c>
    </row>
    <row r="1052" spans="1:17" ht="25.15" customHeight="1">
      <c r="A1052" s="14"/>
      <c r="B1052" s="802" t="str">
        <f>'Obrazac kalkulacije'!$B$11</f>
        <v>Vozila, strojevi i oprema:</v>
      </c>
      <c r="C1052" s="802"/>
      <c r="D1052" s="14"/>
      <c r="E1052" s="14"/>
      <c r="F1052" s="203"/>
      <c r="G1052" s="16">
        <f>SUM(G1053:G1053)</f>
        <v>17.04256015</v>
      </c>
      <c r="K1052" s="14"/>
      <c r="L1052" s="802" t="str">
        <f>'Obrazac kalkulacije'!$B$11</f>
        <v>Vozila, strojevi i oprema:</v>
      </c>
      <c r="M1052" s="802"/>
      <c r="N1052" s="14"/>
      <c r="O1052" s="14"/>
      <c r="P1052" s="203"/>
      <c r="Q1052" s="16">
        <f>SUM(Q1053:Q1053)</f>
        <v>17.04256015</v>
      </c>
    </row>
    <row r="1053" spans="1:17" ht="25.15" customHeight="1" thickBot="1">
      <c r="A1053" s="17"/>
      <c r="B1053" s="807" t="s">
        <v>202</v>
      </c>
      <c r="C1053" s="807"/>
      <c r="D1053" s="45" t="s">
        <v>15</v>
      </c>
      <c r="E1053" s="66">
        <v>3.8094999999999997E-2</v>
      </c>
      <c r="F1053" s="200">
        <f>SUMIF('Cjenik VSO'!$B$9:$B$85,$B1053,'Cjenik VSO'!$C$9:$C$85)</f>
        <v>447.37</v>
      </c>
      <c r="G1053" s="48">
        <f>+F1053*E1053</f>
        <v>17.04256015</v>
      </c>
      <c r="H1053" s="3">
        <f>8/E1053</f>
        <v>210.0013125082032</v>
      </c>
      <c r="K1053" s="17"/>
      <c r="L1053" s="807" t="s">
        <v>202</v>
      </c>
      <c r="M1053" s="807"/>
      <c r="N1053" s="45" t="s">
        <v>15</v>
      </c>
      <c r="O1053" s="66">
        <v>3.8094999999999997E-2</v>
      </c>
      <c r="P1053" s="200">
        <f>SUMIF('Cjenik VSO'!$B$9:$B$85,$B1053,'Cjenik VSO'!$C$9:$C$85)</f>
        <v>447.37</v>
      </c>
      <c r="Q1053" s="48">
        <f>+P1053*O1053</f>
        <v>17.04256015</v>
      </c>
    </row>
    <row r="1054" spans="1:17" ht="25.15" customHeight="1" thickTop="1" thickBot="1">
      <c r="B1054" s="40"/>
      <c r="C1054" s="20"/>
      <c r="D1054" s="21"/>
      <c r="E1054" s="118" t="str">
        <f>'Obrazac kalkulacije'!$E$18</f>
        <v>Ukupno (kn):</v>
      </c>
      <c r="F1054" s="214"/>
      <c r="G1054" s="22">
        <f>ROUND(SUM(G1050+G1052),2)</f>
        <v>17.04</v>
      </c>
      <c r="H1054" s="217"/>
      <c r="I1054" s="602"/>
      <c r="J1054" s="602"/>
      <c r="L1054" s="40"/>
      <c r="M1054" s="20"/>
      <c r="N1054" s="21"/>
      <c r="O1054" s="118" t="str">
        <f>'Obrazac kalkulacije'!$E$18</f>
        <v>Ukupno (kn):</v>
      </c>
      <c r="P1054" s="214"/>
      <c r="Q1054" s="22">
        <f>ROUND(SUM(Q1050+Q1052),2)</f>
        <v>17.04</v>
      </c>
    </row>
    <row r="1055" spans="1:17" ht="25.15" customHeight="1" thickTop="1" thickBot="1">
      <c r="E1055" s="23" t="str">
        <f>'Obrazac kalkulacije'!$E$19</f>
        <v>PDV:</v>
      </c>
      <c r="F1055" s="207">
        <f>'Obrazac kalkulacije'!$F$19</f>
        <v>0.25</v>
      </c>
      <c r="G1055" s="24">
        <f>G1054*F1055</f>
        <v>4.26</v>
      </c>
      <c r="H1055" s="446"/>
      <c r="I1055" s="446"/>
      <c r="J1055" s="446"/>
      <c r="O1055" s="23" t="str">
        <f>'Obrazac kalkulacije'!$E$19</f>
        <v>PDV:</v>
      </c>
      <c r="P1055" s="207">
        <f>'Obrazac kalkulacije'!$F$19</f>
        <v>0.25</v>
      </c>
      <c r="Q1055" s="24">
        <f>Q1054*P1055</f>
        <v>4.26</v>
      </c>
    </row>
    <row r="1056" spans="1:17" ht="25.15" customHeight="1" thickTop="1" thickBot="1">
      <c r="E1056" s="119" t="str">
        <f>'Obrazac kalkulacije'!$E$20</f>
        <v>Sveukupno (kn):</v>
      </c>
      <c r="F1056" s="215"/>
      <c r="G1056" s="24">
        <f>ROUND(SUM(G1054:G1055),2)</f>
        <v>21.3</v>
      </c>
      <c r="H1056" s="447"/>
      <c r="I1056" s="447"/>
      <c r="J1056" s="447"/>
      <c r="O1056" s="119" t="str">
        <f>'Obrazac kalkulacije'!$E$20</f>
        <v>Sveukupno (kn):</v>
      </c>
      <c r="P1056" s="215"/>
      <c r="Q1056" s="24">
        <f>ROUND(SUM(Q1054:Q1055),2)</f>
        <v>21.3</v>
      </c>
    </row>
    <row r="1057" spans="1:17" ht="15" customHeight="1" thickTop="1"/>
    <row r="1058" spans="1:17" ht="15" customHeight="1"/>
    <row r="1059" spans="1:17" ht="15" customHeight="1"/>
    <row r="1060" spans="1:17" ht="15" customHeight="1">
      <c r="C1060" s="3" t="str">
        <f>'Obrazac kalkulacije'!$C$24</f>
        <v>IZVODITELJ:</v>
      </c>
      <c r="F1060" s="780" t="str">
        <f>'Obrazac kalkulacije'!$F$24</f>
        <v>NARUČITELJ:</v>
      </c>
      <c r="G1060" s="780"/>
      <c r="M1060" s="3" t="str">
        <f>'Obrazac kalkulacije'!$C$24</f>
        <v>IZVODITELJ:</v>
      </c>
      <c r="P1060" s="780" t="str">
        <f>'Obrazac kalkulacije'!$F$24</f>
        <v>NARUČITELJ:</v>
      </c>
      <c r="Q1060" s="780"/>
    </row>
    <row r="1061" spans="1:17" ht="25.15" customHeight="1">
      <c r="C1061" s="3" t="str">
        <f>'Obrazac kalkulacije'!$C$25</f>
        <v>__________________</v>
      </c>
      <c r="F1061" s="780" t="str">
        <f>'Obrazac kalkulacije'!$F$25</f>
        <v>___________________</v>
      </c>
      <c r="G1061" s="780"/>
      <c r="M1061" s="3" t="str">
        <f>'Obrazac kalkulacije'!$C$25</f>
        <v>__________________</v>
      </c>
      <c r="P1061" s="780" t="str">
        <f>'Obrazac kalkulacije'!$F$25</f>
        <v>___________________</v>
      </c>
      <c r="Q1061" s="780"/>
    </row>
    <row r="1062" spans="1:17" ht="15" customHeight="1">
      <c r="G1062" s="25"/>
      <c r="Q1062" s="25"/>
    </row>
    <row r="1063" spans="1:17" ht="15" customHeight="1"/>
    <row r="1064" spans="1:17" ht="15" customHeight="1">
      <c r="A1064" s="115"/>
      <c r="B1064" s="116" t="s">
        <v>17</v>
      </c>
      <c r="C1064" s="117" t="s">
        <v>18</v>
      </c>
      <c r="D1064" s="117"/>
      <c r="E1064" s="117"/>
      <c r="F1064" s="211"/>
      <c r="G1064" s="117"/>
      <c r="K1064" s="115"/>
      <c r="L1064" s="116" t="s">
        <v>17</v>
      </c>
      <c r="M1064" s="117" t="s">
        <v>18</v>
      </c>
      <c r="N1064" s="117"/>
      <c r="O1064" s="117"/>
      <c r="P1064" s="211"/>
      <c r="Q1064" s="117"/>
    </row>
    <row r="1065" spans="1:17" ht="15" customHeight="1">
      <c r="A1065" s="31"/>
      <c r="B1065" s="32" t="s">
        <v>61</v>
      </c>
      <c r="C1065" s="7" t="s">
        <v>62</v>
      </c>
      <c r="D1065" s="7"/>
      <c r="E1065" s="7"/>
      <c r="F1065" s="212"/>
      <c r="G1065" s="7"/>
      <c r="K1065" s="31"/>
      <c r="L1065" s="32" t="s">
        <v>195</v>
      </c>
      <c r="M1065" s="7" t="s">
        <v>62</v>
      </c>
      <c r="N1065" s="7"/>
      <c r="O1065" s="7"/>
      <c r="P1065" s="212"/>
      <c r="Q1065" s="7"/>
    </row>
    <row r="1066" spans="1:17" ht="150" customHeight="1">
      <c r="A1066" s="33"/>
      <c r="B1066" s="443" t="s">
        <v>67</v>
      </c>
      <c r="C1066" s="792" t="s">
        <v>205</v>
      </c>
      <c r="D1066" s="792"/>
      <c r="E1066" s="792"/>
      <c r="F1066" s="792"/>
      <c r="G1066" s="792"/>
      <c r="K1066" s="33"/>
      <c r="L1066" s="34" t="s">
        <v>206</v>
      </c>
      <c r="M1066" s="795" t="s">
        <v>207</v>
      </c>
      <c r="N1066" s="795"/>
      <c r="O1066" s="795"/>
      <c r="P1066" s="795"/>
      <c r="Q1066" s="795"/>
    </row>
    <row r="1067" spans="1:17" ht="15" customHeight="1" thickBot="1"/>
    <row r="1068" spans="1:17" ht="30" customHeight="1" thickTop="1" thickBot="1">
      <c r="A1068" s="8"/>
      <c r="B1068" s="797" t="str">
        <f>'Obrazac kalkulacije'!$B$6:$C$6</f>
        <v>Opis</v>
      </c>
      <c r="C1068" s="797"/>
      <c r="D1068" s="8" t="str">
        <f>'Obrazac kalkulacije'!$D$6</f>
        <v>Jed.
mjere</v>
      </c>
      <c r="E1068" s="8" t="str">
        <f>'Obrazac kalkulacije'!$E$6</f>
        <v>Normativ</v>
      </c>
      <c r="F1068" s="8" t="str">
        <f>'Obrazac kalkulacije'!$F$6</f>
        <v>Jed.
cijena</v>
      </c>
      <c r="G1068" s="8" t="str">
        <f>'Obrazac kalkulacije'!$G$6</f>
        <v>Iznos</v>
      </c>
      <c r="K1068" s="8"/>
      <c r="L1068" s="797" t="e">
        <f>'Obrazac kalkulacije'!$B$6:$C$6</f>
        <v>#VALUE!</v>
      </c>
      <c r="M1068" s="797"/>
      <c r="N1068" s="8" t="str">
        <f>'Obrazac kalkulacije'!$D$6</f>
        <v>Jed.
mjere</v>
      </c>
      <c r="O1068" s="8" t="str">
        <f>'Obrazac kalkulacije'!$E$6</f>
        <v>Normativ</v>
      </c>
      <c r="P1068" s="8" t="str">
        <f>'Obrazac kalkulacije'!$F$6</f>
        <v>Jed.
cijena</v>
      </c>
      <c r="Q1068" s="8" t="str">
        <f>'Obrazac kalkulacije'!$G$6</f>
        <v>Iznos</v>
      </c>
    </row>
    <row r="1069" spans="1:17" ht="4.5" customHeight="1" thickTop="1">
      <c r="B1069" s="35"/>
      <c r="C1069" s="1"/>
      <c r="D1069" s="9"/>
      <c r="E1069" s="11"/>
      <c r="F1069" s="205"/>
      <c r="G1069" s="13"/>
      <c r="L1069" s="35"/>
      <c r="M1069" s="1"/>
      <c r="N1069" s="9"/>
      <c r="O1069" s="11"/>
      <c r="P1069" s="205"/>
      <c r="Q1069" s="13"/>
    </row>
    <row r="1070" spans="1:17" ht="25.15" customHeight="1">
      <c r="A1070" s="14"/>
      <c r="B1070" s="15" t="str">
        <f>'Obrazac kalkulacije'!$B$8</f>
        <v>Radna snaga:</v>
      </c>
      <c r="C1070" s="15"/>
      <c r="D1070" s="14"/>
      <c r="E1070" s="14"/>
      <c r="F1070" s="206"/>
      <c r="G1070" s="16">
        <f>SUM(G1071:G1071)</f>
        <v>0</v>
      </c>
      <c r="K1070" s="14"/>
      <c r="L1070" s="15" t="str">
        <f>'Obrazac kalkulacije'!$B$8</f>
        <v>Radna snaga:</v>
      </c>
      <c r="M1070" s="15"/>
      <c r="N1070" s="14"/>
      <c r="O1070" s="14"/>
      <c r="P1070" s="206"/>
      <c r="Q1070" s="16">
        <f>SUM(Q1071:Q1071)</f>
        <v>0</v>
      </c>
    </row>
    <row r="1071" spans="1:17" ht="25.15" customHeight="1">
      <c r="A1071" s="26"/>
      <c r="B1071" s="791" t="s">
        <v>130</v>
      </c>
      <c r="C1071" s="791"/>
      <c r="D1071" s="27" t="s">
        <v>15</v>
      </c>
      <c r="E1071" s="28">
        <v>0.36120000000000002</v>
      </c>
      <c r="F1071" s="203">
        <f>SUMIF('Cjenik RS'!$C$11:$C$26,$B1071,'Cjenik RS'!$D$11:$D$88)</f>
        <v>0</v>
      </c>
      <c r="G1071" s="29">
        <f>+F1071*E1071</f>
        <v>0</v>
      </c>
      <c r="K1071" s="26"/>
      <c r="L1071" s="791" t="s">
        <v>130</v>
      </c>
      <c r="M1071" s="791"/>
      <c r="N1071" s="27" t="s">
        <v>15</v>
      </c>
      <c r="O1071" s="28">
        <v>0.36120000000000002</v>
      </c>
      <c r="P1071" s="203">
        <f>SUMIF('Cjenik RS'!$C$11:$C$26,$B1071,'Cjenik RS'!$D$11:$D$88)</f>
        <v>0</v>
      </c>
      <c r="Q1071" s="29">
        <f>+P1071*O1071</f>
        <v>0</v>
      </c>
    </row>
    <row r="1072" spans="1:17" ht="25.15" customHeight="1">
      <c r="A1072" s="14"/>
      <c r="B1072" s="15" t="str">
        <f>'Obrazac kalkulacije'!$B$11</f>
        <v>Vozila, strojevi i oprema:</v>
      </c>
      <c r="C1072" s="15"/>
      <c r="D1072" s="14"/>
      <c r="E1072" s="14"/>
      <c r="F1072" s="203"/>
      <c r="G1072" s="16">
        <f>SUM(G1073:G1075)</f>
        <v>23.681547080000001</v>
      </c>
      <c r="K1072" s="14"/>
      <c r="L1072" s="15" t="str">
        <f>'Obrazac kalkulacije'!$B$11</f>
        <v>Vozila, strojevi i oprema:</v>
      </c>
      <c r="M1072" s="15"/>
      <c r="N1072" s="14"/>
      <c r="O1072" s="14"/>
      <c r="P1072" s="203"/>
      <c r="Q1072" s="16">
        <f>SUM(Q1073:Q1075)</f>
        <v>23.681547080000001</v>
      </c>
    </row>
    <row r="1073" spans="1:17" ht="25.15" customHeight="1">
      <c r="A1073" s="44"/>
      <c r="B1073" s="800" t="s">
        <v>142</v>
      </c>
      <c r="C1073" s="800"/>
      <c r="D1073" s="45" t="s">
        <v>15</v>
      </c>
      <c r="E1073" s="78">
        <v>3.2058000000000003E-2</v>
      </c>
      <c r="F1073" s="200">
        <f>SUMIF('Cjenik VSO'!$B$9:$B$85,$B1073,'Cjenik VSO'!$C$9:$C$85)</f>
        <v>291.72000000000003</v>
      </c>
      <c r="G1073" s="48">
        <f>+F1073*E1073</f>
        <v>9.3519597600000015</v>
      </c>
      <c r="K1073" s="44"/>
      <c r="L1073" s="800" t="s">
        <v>142</v>
      </c>
      <c r="M1073" s="800"/>
      <c r="N1073" s="45" t="s">
        <v>15</v>
      </c>
      <c r="O1073" s="78">
        <v>3.2058000000000003E-2</v>
      </c>
      <c r="P1073" s="200">
        <f>SUMIF('Cjenik VSO'!$B$9:$B$85,$B1073,'Cjenik VSO'!$C$9:$C$85)</f>
        <v>291.72000000000003</v>
      </c>
      <c r="Q1073" s="48">
        <f>+P1073*O1073</f>
        <v>9.3519597600000015</v>
      </c>
    </row>
    <row r="1074" spans="1:17" ht="25.15" customHeight="1">
      <c r="A1074" s="49"/>
      <c r="B1074" s="799" t="s">
        <v>163</v>
      </c>
      <c r="C1074" s="799"/>
      <c r="D1074" s="50" t="s">
        <v>15</v>
      </c>
      <c r="E1074" s="83">
        <v>3.8621000000000003E-2</v>
      </c>
      <c r="F1074" s="201">
        <f>SUMIF('Cjenik VSO'!$B$9:$B$85,$B1074,'Cjenik VSO'!$C$9:$C$85)</f>
        <v>253.52</v>
      </c>
      <c r="G1074" s="53">
        <f>+F1074*E1074</f>
        <v>9.7911959200000016</v>
      </c>
      <c r="K1074" s="49"/>
      <c r="L1074" s="799" t="s">
        <v>163</v>
      </c>
      <c r="M1074" s="799"/>
      <c r="N1074" s="50" t="s">
        <v>15</v>
      </c>
      <c r="O1074" s="83">
        <v>3.8621000000000003E-2</v>
      </c>
      <c r="P1074" s="201">
        <f>SUMIF('Cjenik VSO'!$B$9:$B$85,$B1074,'Cjenik VSO'!$C$9:$C$85)</f>
        <v>253.52</v>
      </c>
      <c r="Q1074" s="53">
        <f>+P1074*O1074</f>
        <v>9.7911959200000016</v>
      </c>
    </row>
    <row r="1075" spans="1:17" ht="25.15" customHeight="1">
      <c r="A1075" s="54"/>
      <c r="B1075" s="804" t="s">
        <v>140</v>
      </c>
      <c r="C1075" s="804"/>
      <c r="D1075" s="55" t="s">
        <v>15</v>
      </c>
      <c r="E1075" s="79">
        <v>4.4420000000000001E-2</v>
      </c>
      <c r="F1075" s="202">
        <f>SUMIF('Cjenik VSO'!$B$9:$B$85,$B1075,'Cjenik VSO'!$C$9:$C$85)</f>
        <v>102.17</v>
      </c>
      <c r="G1075" s="58">
        <f>+F1075*E1075</f>
        <v>4.5383914000000001</v>
      </c>
      <c r="K1075" s="54"/>
      <c r="L1075" s="804" t="s">
        <v>140</v>
      </c>
      <c r="M1075" s="804"/>
      <c r="N1075" s="55" t="s">
        <v>15</v>
      </c>
      <c r="O1075" s="79">
        <v>4.4420000000000001E-2</v>
      </c>
      <c r="P1075" s="202">
        <f>SUMIF('Cjenik VSO'!$B$9:$B$85,$B1075,'Cjenik VSO'!$C$9:$C$85)</f>
        <v>102.17</v>
      </c>
      <c r="Q1075" s="58">
        <f>+P1075*O1075</f>
        <v>4.5383914000000001</v>
      </c>
    </row>
    <row r="1076" spans="1:17" ht="25.15" customHeight="1">
      <c r="A1076" s="14"/>
      <c r="B1076" s="802" t="str">
        <f>'Obrazac kalkulacije'!$B$15</f>
        <v>Materijali:</v>
      </c>
      <c r="C1076" s="802"/>
      <c r="D1076" s="14"/>
      <c r="E1076" s="14"/>
      <c r="F1076" s="203"/>
      <c r="G1076" s="16">
        <f>SUM(G1077:G1077)</f>
        <v>272.47499999999997</v>
      </c>
      <c r="K1076" s="14"/>
      <c r="L1076" s="802" t="str">
        <f>'Obrazac kalkulacije'!$B$15</f>
        <v>Materijali:</v>
      </c>
      <c r="M1076" s="802"/>
      <c r="N1076" s="14"/>
      <c r="O1076" s="14"/>
      <c r="P1076" s="203"/>
      <c r="Q1076" s="16">
        <f>SUM(Q1077:Q1077)</f>
        <v>272.47499999999997</v>
      </c>
    </row>
    <row r="1077" spans="1:17" ht="25.15" customHeight="1" thickBot="1">
      <c r="A1077" s="36"/>
      <c r="B1077" s="808" t="str">
        <f>'Cjenik M'!$B$27</f>
        <v>Beton klase C30/37 sa prijevozom</v>
      </c>
      <c r="C1077" s="808"/>
      <c r="D1077" s="37" t="str">
        <f>'Cjenik M'!$C$27</f>
        <v>m3</v>
      </c>
      <c r="E1077" s="38">
        <v>0.4375</v>
      </c>
      <c r="F1077" s="203">
        <f>'Cjenik M'!$D$27</f>
        <v>622.79999999999995</v>
      </c>
      <c r="G1077" s="39">
        <f>E1077*F1077</f>
        <v>272.47499999999997</v>
      </c>
      <c r="K1077" s="36"/>
      <c r="L1077" s="808" t="str">
        <f>'Cjenik M'!$B$27</f>
        <v>Beton klase C30/37 sa prijevozom</v>
      </c>
      <c r="M1077" s="808"/>
      <c r="N1077" s="37" t="str">
        <f>'Cjenik M'!$C$27</f>
        <v>m3</v>
      </c>
      <c r="O1077" s="38">
        <v>0.4375</v>
      </c>
      <c r="P1077" s="203">
        <f>'Cjenik M'!$D$27</f>
        <v>622.79999999999995</v>
      </c>
      <c r="Q1077" s="39">
        <f>O1077*P1077</f>
        <v>272.47499999999997</v>
      </c>
    </row>
    <row r="1078" spans="1:17" ht="25.15" customHeight="1" thickTop="1" thickBot="1">
      <c r="B1078" s="40"/>
      <c r="C1078" s="20"/>
      <c r="D1078" s="21"/>
      <c r="E1078" s="118" t="str">
        <f>'Obrazac kalkulacije'!$E$18</f>
        <v>Ukupno (kn):</v>
      </c>
      <c r="F1078" s="214"/>
      <c r="G1078" s="22">
        <f>ROUND(SUM(G1070+G1072+G1076),2)</f>
        <v>296.16000000000003</v>
      </c>
      <c r="H1078" s="217"/>
      <c r="I1078" s="602"/>
      <c r="J1078" s="602"/>
      <c r="L1078" s="40"/>
      <c r="M1078" s="20"/>
      <c r="N1078" s="21"/>
      <c r="O1078" s="118" t="str">
        <f>'Obrazac kalkulacije'!$E$18</f>
        <v>Ukupno (kn):</v>
      </c>
      <c r="P1078" s="214"/>
      <c r="Q1078" s="22">
        <f>ROUND(SUM(Q1070+Q1072+Q1076),2)</f>
        <v>296.16000000000003</v>
      </c>
    </row>
    <row r="1079" spans="1:17" ht="25.15" customHeight="1" thickTop="1" thickBot="1">
      <c r="E1079" s="23" t="str">
        <f>'Obrazac kalkulacije'!$E$19</f>
        <v>PDV:</v>
      </c>
      <c r="F1079" s="207">
        <f>'Obrazac kalkulacije'!$F$19</f>
        <v>0.25</v>
      </c>
      <c r="G1079" s="24">
        <f>G1078*F1079</f>
        <v>74.040000000000006</v>
      </c>
      <c r="H1079" s="446"/>
      <c r="I1079" s="446"/>
      <c r="J1079" s="446"/>
      <c r="O1079" s="23" t="str">
        <f>'Obrazac kalkulacije'!$E$19</f>
        <v>PDV:</v>
      </c>
      <c r="P1079" s="207">
        <f>'Obrazac kalkulacije'!$F$19</f>
        <v>0.25</v>
      </c>
      <c r="Q1079" s="24">
        <f>Q1078*P1079</f>
        <v>74.040000000000006</v>
      </c>
    </row>
    <row r="1080" spans="1:17" ht="25.15" customHeight="1" thickTop="1" thickBot="1">
      <c r="E1080" s="119" t="str">
        <f>'Obrazac kalkulacije'!$E$20</f>
        <v>Sveukupno (kn):</v>
      </c>
      <c r="F1080" s="215"/>
      <c r="G1080" s="24">
        <f>ROUND(SUM(G1078:G1079),2)</f>
        <v>370.2</v>
      </c>
      <c r="H1080" s="447"/>
      <c r="I1080" s="447"/>
      <c r="J1080" s="447"/>
      <c r="O1080" s="119" t="str">
        <f>'Obrazac kalkulacije'!$E$20</f>
        <v>Sveukupno (kn):</v>
      </c>
      <c r="P1080" s="215"/>
      <c r="Q1080" s="24">
        <f>ROUND(SUM(Q1078:Q1079),2)</f>
        <v>370.2</v>
      </c>
    </row>
    <row r="1081" spans="1:17" ht="15" customHeight="1" thickTop="1"/>
    <row r="1082" spans="1:17" ht="15" customHeight="1"/>
    <row r="1083" spans="1:17" ht="15" customHeight="1"/>
    <row r="1084" spans="1:17" ht="15" customHeight="1">
      <c r="C1084" s="3" t="str">
        <f>'Obrazac kalkulacije'!$C$24</f>
        <v>IZVODITELJ:</v>
      </c>
      <c r="F1084" s="780" t="str">
        <f>'Obrazac kalkulacije'!$F$24</f>
        <v>NARUČITELJ:</v>
      </c>
      <c r="G1084" s="780"/>
      <c r="M1084" s="3" t="str">
        <f>'Obrazac kalkulacije'!$C$24</f>
        <v>IZVODITELJ:</v>
      </c>
      <c r="P1084" s="780" t="str">
        <f>'Obrazac kalkulacije'!$F$24</f>
        <v>NARUČITELJ:</v>
      </c>
      <c r="Q1084" s="780"/>
    </row>
    <row r="1085" spans="1:17" ht="25.15" customHeight="1">
      <c r="C1085" s="3" t="str">
        <f>'Obrazac kalkulacije'!$C$25</f>
        <v>__________________</v>
      </c>
      <c r="F1085" s="780" t="str">
        <f>'Obrazac kalkulacije'!$F$25</f>
        <v>___________________</v>
      </c>
      <c r="G1085" s="780"/>
      <c r="M1085" s="3" t="str">
        <f>'Obrazac kalkulacije'!$C$25</f>
        <v>__________________</v>
      </c>
      <c r="P1085" s="780" t="str">
        <f>'Obrazac kalkulacije'!$F$25</f>
        <v>___________________</v>
      </c>
      <c r="Q1085" s="780"/>
    </row>
    <row r="1086" spans="1:17" ht="15" customHeight="1">
      <c r="A1086" s="2"/>
      <c r="B1086" s="2"/>
      <c r="D1086" s="2"/>
      <c r="E1086" s="2"/>
      <c r="F1086" s="216"/>
      <c r="G1086" s="2"/>
      <c r="K1086" s="2"/>
      <c r="L1086" s="2"/>
      <c r="N1086" s="2"/>
      <c r="O1086" s="2"/>
      <c r="P1086" s="216"/>
      <c r="Q1086" s="2"/>
    </row>
    <row r="1087" spans="1:17" ht="15" customHeight="1">
      <c r="A1087" s="2"/>
      <c r="B1087" s="2"/>
      <c r="D1087" s="2"/>
      <c r="E1087" s="2"/>
      <c r="F1087" s="216"/>
      <c r="G1087" s="2"/>
      <c r="K1087" s="2"/>
      <c r="L1087" s="2"/>
      <c r="N1087" s="2"/>
      <c r="O1087" s="2"/>
      <c r="P1087" s="216"/>
      <c r="Q1087" s="2"/>
    </row>
    <row r="1088" spans="1:17" ht="15" customHeight="1">
      <c r="A1088" s="2"/>
      <c r="B1088" s="2"/>
      <c r="D1088" s="2"/>
      <c r="E1088" s="2"/>
      <c r="F1088" s="216"/>
      <c r="G1088" s="2"/>
      <c r="K1088" s="2"/>
      <c r="L1088" s="2"/>
      <c r="N1088" s="2"/>
      <c r="O1088" s="2"/>
      <c r="P1088" s="216"/>
      <c r="Q1088" s="2"/>
    </row>
    <row r="1089" spans="6:17">
      <c r="F1089" s="780"/>
      <c r="G1089" s="780"/>
      <c r="P1089" s="780"/>
      <c r="Q1089" s="780"/>
    </row>
    <row r="1091" spans="6:17">
      <c r="F1091" s="780"/>
      <c r="G1091" s="780"/>
      <c r="P1091" s="780"/>
      <c r="Q1091" s="780"/>
    </row>
  </sheetData>
  <sheetProtection selectLockedCells="1"/>
  <mergeCells count="1284">
    <mergeCell ref="B422:C422"/>
    <mergeCell ref="B455:C455"/>
    <mergeCell ref="B95:C95"/>
    <mergeCell ref="L95:M95"/>
    <mergeCell ref="E96:F96"/>
    <mergeCell ref="O96:P96"/>
    <mergeCell ref="M40:Q40"/>
    <mergeCell ref="B49:C49"/>
    <mergeCell ref="B335:C335"/>
    <mergeCell ref="L335:M335"/>
    <mergeCell ref="E336:F336"/>
    <mergeCell ref="O336:P336"/>
    <mergeCell ref="E338:F338"/>
    <mergeCell ref="O338:P338"/>
    <mergeCell ref="F344:G344"/>
    <mergeCell ref="P344:Q344"/>
    <mergeCell ref="L1074:M1074"/>
    <mergeCell ref="P1020:Q1020"/>
    <mergeCell ref="P1021:Q1021"/>
    <mergeCell ref="L974:M974"/>
    <mergeCell ref="L975:M975"/>
    <mergeCell ref="P982:Q982"/>
    <mergeCell ref="P983:Q983"/>
    <mergeCell ref="M1008:Q1008"/>
    <mergeCell ref="P1003:Q1003"/>
    <mergeCell ref="M911:Q911"/>
    <mergeCell ref="L913:M913"/>
    <mergeCell ref="L916:M916"/>
    <mergeCell ref="L923:M923"/>
    <mergeCell ref="M885:Q885"/>
    <mergeCell ref="L887:M887"/>
    <mergeCell ref="L890:M890"/>
    <mergeCell ref="L995:M995"/>
    <mergeCell ref="P1002:Q1002"/>
    <mergeCell ref="L1075:M1075"/>
    <mergeCell ref="P1091:Q1091"/>
    <mergeCell ref="L1076:M1076"/>
    <mergeCell ref="L1077:M1077"/>
    <mergeCell ref="P1084:Q1084"/>
    <mergeCell ref="P1085:Q1085"/>
    <mergeCell ref="P1089:Q1089"/>
    <mergeCell ref="L1073:M1073"/>
    <mergeCell ref="L1068:M1068"/>
    <mergeCell ref="L1071:M1071"/>
    <mergeCell ref="M1026:Q1026"/>
    <mergeCell ref="L1028:M1028"/>
    <mergeCell ref="L1031:M1031"/>
    <mergeCell ref="L1033:M1033"/>
    <mergeCell ref="P1040:Q1040"/>
    <mergeCell ref="P1041:Q1041"/>
    <mergeCell ref="L1053:M1053"/>
    <mergeCell ref="P1060:Q1060"/>
    <mergeCell ref="P1061:Q1061"/>
    <mergeCell ref="M1066:Q1066"/>
    <mergeCell ref="M1046:Q1046"/>
    <mergeCell ref="L1048:M1048"/>
    <mergeCell ref="L1051:M1051"/>
    <mergeCell ref="L1052:M1052"/>
    <mergeCell ref="L947:M947"/>
    <mergeCell ref="L948:M948"/>
    <mergeCell ref="P956:Q956"/>
    <mergeCell ref="L897:M897"/>
    <mergeCell ref="P904:Q904"/>
    <mergeCell ref="P957:Q957"/>
    <mergeCell ref="M963:Q963"/>
    <mergeCell ref="L939:M939"/>
    <mergeCell ref="L965:M965"/>
    <mergeCell ref="L968:M968"/>
    <mergeCell ref="L972:M972"/>
    <mergeCell ref="L973:M973"/>
    <mergeCell ref="L970:M970"/>
    <mergeCell ref="L971:M971"/>
    <mergeCell ref="L994:M994"/>
    <mergeCell ref="L921:M921"/>
    <mergeCell ref="L949:M949"/>
    <mergeCell ref="L942:M942"/>
    <mergeCell ref="L944:M944"/>
    <mergeCell ref="L945:M945"/>
    <mergeCell ref="L946:M946"/>
    <mergeCell ref="P930:Q930"/>
    <mergeCell ref="P931:Q931"/>
    <mergeCell ref="M937:Q937"/>
    <mergeCell ref="M988:Q988"/>
    <mergeCell ref="L990:M990"/>
    <mergeCell ref="L993:M993"/>
    <mergeCell ref="L922:M922"/>
    <mergeCell ref="L918:M918"/>
    <mergeCell ref="P879:Q879"/>
    <mergeCell ref="L859:M859"/>
    <mergeCell ref="L860:M860"/>
    <mergeCell ref="L861:M861"/>
    <mergeCell ref="L862:M862"/>
    <mergeCell ref="L863:M863"/>
    <mergeCell ref="L864:M864"/>
    <mergeCell ref="L871:M871"/>
    <mergeCell ref="L868:M868"/>
    <mergeCell ref="L919:M919"/>
    <mergeCell ref="L869:M869"/>
    <mergeCell ref="L892:M892"/>
    <mergeCell ref="L920:M920"/>
    <mergeCell ref="P905:Q905"/>
    <mergeCell ref="L828:M828"/>
    <mergeCell ref="L829:M829"/>
    <mergeCell ref="L825:M825"/>
    <mergeCell ref="P878:Q878"/>
    <mergeCell ref="L893:M893"/>
    <mergeCell ref="L894:M894"/>
    <mergeCell ref="L895:M895"/>
    <mergeCell ref="L896:M896"/>
    <mergeCell ref="L870:M870"/>
    <mergeCell ref="L866:M866"/>
    <mergeCell ref="L867:M867"/>
    <mergeCell ref="P844:Q844"/>
    <mergeCell ref="P845:Q845"/>
    <mergeCell ref="L832:M832"/>
    <mergeCell ref="L833:M833"/>
    <mergeCell ref="L834:M834"/>
    <mergeCell ref="L835:M835"/>
    <mergeCell ref="L824:M824"/>
    <mergeCell ref="L826:M826"/>
    <mergeCell ref="L856:M856"/>
    <mergeCell ref="L827:M827"/>
    <mergeCell ref="L836:M836"/>
    <mergeCell ref="L837:M837"/>
    <mergeCell ref="M851:Q851"/>
    <mergeCell ref="L853:M853"/>
    <mergeCell ref="L865:M865"/>
    <mergeCell ref="L798:M798"/>
    <mergeCell ref="L799:M799"/>
    <mergeCell ref="L800:M800"/>
    <mergeCell ref="L830:M830"/>
    <mergeCell ref="L831:M831"/>
    <mergeCell ref="L788:M788"/>
    <mergeCell ref="L790:M790"/>
    <mergeCell ref="L858:M858"/>
    <mergeCell ref="L822:M822"/>
    <mergeCell ref="P776:Q776"/>
    <mergeCell ref="P777:Q777"/>
    <mergeCell ref="M783:Q783"/>
    <mergeCell ref="L769:M769"/>
    <mergeCell ref="L785:M785"/>
    <mergeCell ref="L767:M767"/>
    <mergeCell ref="L764:M764"/>
    <mergeCell ref="L734:M734"/>
    <mergeCell ref="L735:M735"/>
    <mergeCell ref="M817:Q817"/>
    <mergeCell ref="L819:M819"/>
    <mergeCell ref="L791:M791"/>
    <mergeCell ref="L792:M792"/>
    <mergeCell ref="L793:M793"/>
    <mergeCell ref="L802:M802"/>
    <mergeCell ref="L803:M803"/>
    <mergeCell ref="L797:M797"/>
    <mergeCell ref="L794:M794"/>
    <mergeCell ref="L795:M795"/>
    <mergeCell ref="L796:M796"/>
    <mergeCell ref="L801:M801"/>
    <mergeCell ref="P810:Q810"/>
    <mergeCell ref="P811:Q811"/>
    <mergeCell ref="L720:M720"/>
    <mergeCell ref="L724:M724"/>
    <mergeCell ref="L725:M725"/>
    <mergeCell ref="L765:M765"/>
    <mergeCell ref="L766:M766"/>
    <mergeCell ref="L757:M757"/>
    <mergeCell ref="L758:M758"/>
    <mergeCell ref="L759:M759"/>
    <mergeCell ref="L760:M760"/>
    <mergeCell ref="L761:M761"/>
    <mergeCell ref="L768:M768"/>
    <mergeCell ref="L762:M762"/>
    <mergeCell ref="L763:M763"/>
    <mergeCell ref="L701:M701"/>
    <mergeCell ref="P708:Q708"/>
    <mergeCell ref="L722:M722"/>
    <mergeCell ref="L723:M723"/>
    <mergeCell ref="L728:M728"/>
    <mergeCell ref="L729:M729"/>
    <mergeCell ref="P742:Q742"/>
    <mergeCell ref="P743:Q743"/>
    <mergeCell ref="M749:Q749"/>
    <mergeCell ref="L751:M751"/>
    <mergeCell ref="L732:M732"/>
    <mergeCell ref="L733:M733"/>
    <mergeCell ref="L754:M754"/>
    <mergeCell ref="L756:M756"/>
    <mergeCell ref="L726:M726"/>
    <mergeCell ref="L727:M727"/>
    <mergeCell ref="L730:M730"/>
    <mergeCell ref="L731:M731"/>
    <mergeCell ref="L689:M689"/>
    <mergeCell ref="L690:M690"/>
    <mergeCell ref="L691:M691"/>
    <mergeCell ref="L700:M700"/>
    <mergeCell ref="P675:Q675"/>
    <mergeCell ref="L686:M686"/>
    <mergeCell ref="L692:M692"/>
    <mergeCell ref="P709:Q709"/>
    <mergeCell ref="M715:Q715"/>
    <mergeCell ref="L694:M694"/>
    <mergeCell ref="L695:M695"/>
    <mergeCell ref="L696:M696"/>
    <mergeCell ref="L697:M697"/>
    <mergeCell ref="L698:M698"/>
    <mergeCell ref="L699:M699"/>
    <mergeCell ref="L693:M693"/>
    <mergeCell ref="L717:M717"/>
    <mergeCell ref="L659:M659"/>
    <mergeCell ref="L660:M660"/>
    <mergeCell ref="L661:M661"/>
    <mergeCell ref="L662:M662"/>
    <mergeCell ref="L663:M663"/>
    <mergeCell ref="L664:M664"/>
    <mergeCell ref="P640:Q640"/>
    <mergeCell ref="P641:Q641"/>
    <mergeCell ref="M647:Q647"/>
    <mergeCell ref="P674:Q674"/>
    <mergeCell ref="L683:M683"/>
    <mergeCell ref="L656:M656"/>
    <mergeCell ref="L657:M657"/>
    <mergeCell ref="L632:M632"/>
    <mergeCell ref="L649:M649"/>
    <mergeCell ref="L652:M652"/>
    <mergeCell ref="L688:M688"/>
    <mergeCell ref="L618:M618"/>
    <mergeCell ref="L619:M619"/>
    <mergeCell ref="L620:M620"/>
    <mergeCell ref="L621:M621"/>
    <mergeCell ref="P572:Q572"/>
    <mergeCell ref="M681:Q681"/>
    <mergeCell ref="P606:Q606"/>
    <mergeCell ref="P607:Q607"/>
    <mergeCell ref="M613:Q613"/>
    <mergeCell ref="L615:M615"/>
    <mergeCell ref="L623:M623"/>
    <mergeCell ref="L631:M631"/>
    <mergeCell ref="L624:M624"/>
    <mergeCell ref="L617:M617"/>
    <mergeCell ref="L593:M593"/>
    <mergeCell ref="L598:M598"/>
    <mergeCell ref="L599:M599"/>
    <mergeCell ref="L597:M597"/>
    <mergeCell ref="L633:M633"/>
    <mergeCell ref="L665:M665"/>
    <mergeCell ref="L666:M666"/>
    <mergeCell ref="L655:M655"/>
    <mergeCell ref="L625:M625"/>
    <mergeCell ref="L626:M626"/>
    <mergeCell ref="L627:M627"/>
    <mergeCell ref="L628:M628"/>
    <mergeCell ref="L629:M629"/>
    <mergeCell ref="L630:M630"/>
    <mergeCell ref="L622:M622"/>
    <mergeCell ref="L654:M654"/>
    <mergeCell ref="L667:M667"/>
    <mergeCell ref="L658:M658"/>
    <mergeCell ref="L547:M547"/>
    <mergeCell ref="L550:M550"/>
    <mergeCell ref="L552:M552"/>
    <mergeCell ref="L553:M553"/>
    <mergeCell ref="L554:M554"/>
    <mergeCell ref="L557:M557"/>
    <mergeCell ref="P573:Q573"/>
    <mergeCell ref="M579:Q579"/>
    <mergeCell ref="L487:M487"/>
    <mergeCell ref="L516:M516"/>
    <mergeCell ref="L522:M522"/>
    <mergeCell ref="L527:M527"/>
    <mergeCell ref="L530:M530"/>
    <mergeCell ref="L531:M531"/>
    <mergeCell ref="L561:M561"/>
    <mergeCell ref="L526:M526"/>
    <mergeCell ref="L525:M525"/>
    <mergeCell ref="L558:M558"/>
    <mergeCell ref="L529:M529"/>
    <mergeCell ref="L565:M565"/>
    <mergeCell ref="L500:M500"/>
    <mergeCell ref="L501:M501"/>
    <mergeCell ref="L502:M502"/>
    <mergeCell ref="L506:M506"/>
    <mergeCell ref="O507:P507"/>
    <mergeCell ref="O509:P509"/>
    <mergeCell ref="P512:Q512"/>
    <mergeCell ref="P513:Q513"/>
    <mergeCell ref="L596:M596"/>
    <mergeCell ref="L555:M555"/>
    <mergeCell ref="L556:M556"/>
    <mergeCell ref="L528:M528"/>
    <mergeCell ref="L523:M523"/>
    <mergeCell ref="L524:M524"/>
    <mergeCell ref="M485:Q485"/>
    <mergeCell ref="L559:M559"/>
    <mergeCell ref="L560:M560"/>
    <mergeCell ref="L564:M564"/>
    <mergeCell ref="L590:M590"/>
    <mergeCell ref="L591:M591"/>
    <mergeCell ref="L589:M589"/>
    <mergeCell ref="L562:M562"/>
    <mergeCell ref="L563:M563"/>
    <mergeCell ref="L594:M594"/>
    <mergeCell ref="P538:Q538"/>
    <mergeCell ref="P539:Q539"/>
    <mergeCell ref="L518:M518"/>
    <mergeCell ref="L519:M519"/>
    <mergeCell ref="L520:M520"/>
    <mergeCell ref="L521:M521"/>
    <mergeCell ref="M545:Q545"/>
    <mergeCell ref="L595:M595"/>
    <mergeCell ref="L493:M493"/>
    <mergeCell ref="L496:M496"/>
    <mergeCell ref="M452:Q452"/>
    <mergeCell ref="L454:M454"/>
    <mergeCell ref="L494:M494"/>
    <mergeCell ref="L495:M495"/>
    <mergeCell ref="L460:M460"/>
    <mergeCell ref="L461:M461"/>
    <mergeCell ref="L462:M462"/>
    <mergeCell ref="L463:M463"/>
    <mergeCell ref="L498:M498"/>
    <mergeCell ref="L491:M491"/>
    <mergeCell ref="L492:M492"/>
    <mergeCell ref="L497:M497"/>
    <mergeCell ref="L428:M428"/>
    <mergeCell ref="L393:M393"/>
    <mergeCell ref="L322:M322"/>
    <mergeCell ref="L323:M323"/>
    <mergeCell ref="L324:M324"/>
    <mergeCell ref="L325:M325"/>
    <mergeCell ref="L421:M421"/>
    <mergeCell ref="M419:Q419"/>
    <mergeCell ref="L385:M385"/>
    <mergeCell ref="M383:Q383"/>
    <mergeCell ref="L394:M394"/>
    <mergeCell ref="L329:M329"/>
    <mergeCell ref="L326:M326"/>
    <mergeCell ref="L327:M327"/>
    <mergeCell ref="L458:M458"/>
    <mergeCell ref="L431:M431"/>
    <mergeCell ref="L432:M432"/>
    <mergeCell ref="P308:Q308"/>
    <mergeCell ref="W315:X315"/>
    <mergeCell ref="M313:Q313"/>
    <mergeCell ref="L315:M315"/>
    <mergeCell ref="L317:M317"/>
    <mergeCell ref="M310:Q310"/>
    <mergeCell ref="M311:Q311"/>
    <mergeCell ref="L320:M320"/>
    <mergeCell ref="L321:M321"/>
    <mergeCell ref="P343:Q343"/>
    <mergeCell ref="L392:M392"/>
    <mergeCell ref="L282:M282"/>
    <mergeCell ref="M275:Q275"/>
    <mergeCell ref="M276:Q276"/>
    <mergeCell ref="L250:M250"/>
    <mergeCell ref="M273:Q273"/>
    <mergeCell ref="L387:M387"/>
    <mergeCell ref="L389:M389"/>
    <mergeCell ref="P341:Q341"/>
    <mergeCell ref="M348:Q348"/>
    <mergeCell ref="P342:Q342"/>
    <mergeCell ref="L350:M350"/>
    <mergeCell ref="L361:M361"/>
    <mergeCell ref="L362:M362"/>
    <mergeCell ref="L364:M364"/>
    <mergeCell ref="L365:M365"/>
    <mergeCell ref="L366:M366"/>
    <mergeCell ref="L370:M370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7:M157"/>
    <mergeCell ref="M172:Q172"/>
    <mergeCell ref="M173:Q173"/>
    <mergeCell ref="M175:Q175"/>
    <mergeCell ref="M206:Q206"/>
    <mergeCell ref="M207:Q207"/>
    <mergeCell ref="L183:M183"/>
    <mergeCell ref="L186:M186"/>
    <mergeCell ref="L182:M182"/>
    <mergeCell ref="L187:M187"/>
    <mergeCell ref="L185:M185"/>
    <mergeCell ref="L188:M188"/>
    <mergeCell ref="L189:M189"/>
    <mergeCell ref="L177:M177"/>
    <mergeCell ref="L179:M179"/>
    <mergeCell ref="L184:M184"/>
    <mergeCell ref="P203:Q203"/>
    <mergeCell ref="P204:Q204"/>
    <mergeCell ref="M138:Q138"/>
    <mergeCell ref="L143:M143"/>
    <mergeCell ref="M139:Q139"/>
    <mergeCell ref="M141:Q141"/>
    <mergeCell ref="L123:M123"/>
    <mergeCell ref="L121:M121"/>
    <mergeCell ref="L120:M120"/>
    <mergeCell ref="L118:M118"/>
    <mergeCell ref="O98:P98"/>
    <mergeCell ref="L114:M114"/>
    <mergeCell ref="L128:M128"/>
    <mergeCell ref="O129:P129"/>
    <mergeCell ref="O131:P131"/>
    <mergeCell ref="L21:M21"/>
    <mergeCell ref="L22:M22"/>
    <mergeCell ref="L61:M61"/>
    <mergeCell ref="O62:P62"/>
    <mergeCell ref="O64:P64"/>
    <mergeCell ref="P70:Q70"/>
    <mergeCell ref="L81:M81"/>
    <mergeCell ref="P134:Q134"/>
    <mergeCell ref="L124:M124"/>
    <mergeCell ref="L117:M117"/>
    <mergeCell ref="L116:M116"/>
    <mergeCell ref="P135:Q135"/>
    <mergeCell ref="L115:M115"/>
    <mergeCell ref="L111:M111"/>
    <mergeCell ref="L85:M85"/>
    <mergeCell ref="L84:M84"/>
    <mergeCell ref="P102:Q102"/>
    <mergeCell ref="M104:Q104"/>
    <mergeCell ref="M105:Q105"/>
    <mergeCell ref="L90:M90"/>
    <mergeCell ref="L91:M91"/>
    <mergeCell ref="M107:Q107"/>
    <mergeCell ref="L109:M109"/>
    <mergeCell ref="L76:M76"/>
    <mergeCell ref="L78:M78"/>
    <mergeCell ref="P68:Q68"/>
    <mergeCell ref="L12:M12"/>
    <mergeCell ref="L9:M9"/>
    <mergeCell ref="P136:Q136"/>
    <mergeCell ref="M2:Q2"/>
    <mergeCell ref="M3:Q3"/>
    <mergeCell ref="M5:Q5"/>
    <mergeCell ref="L88:M88"/>
    <mergeCell ref="L53:M53"/>
    <mergeCell ref="L47:M47"/>
    <mergeCell ref="L48:M48"/>
    <mergeCell ref="L49:M49"/>
    <mergeCell ref="L82:M82"/>
    <mergeCell ref="L83:M83"/>
    <mergeCell ref="L54:M54"/>
    <mergeCell ref="L56:M56"/>
    <mergeCell ref="L86:M86"/>
    <mergeCell ref="L87:M87"/>
    <mergeCell ref="P101:Q101"/>
    <mergeCell ref="L13:M13"/>
    <mergeCell ref="L14:M14"/>
    <mergeCell ref="L7:M7"/>
    <mergeCell ref="L19:M19"/>
    <mergeCell ref="L26:M26"/>
    <mergeCell ref="M72:Q72"/>
    <mergeCell ref="M74:Q74"/>
    <mergeCell ref="P69:Q69"/>
    <mergeCell ref="M71:Q71"/>
    <mergeCell ref="O27:P27"/>
    <mergeCell ref="O29:P29"/>
    <mergeCell ref="L15:M15"/>
    <mergeCell ref="L16:M16"/>
    <mergeCell ref="L17:M17"/>
    <mergeCell ref="P33:Q33"/>
    <mergeCell ref="P34:Q34"/>
    <mergeCell ref="M38:Q38"/>
    <mergeCell ref="B557:C557"/>
    <mergeCell ref="B550:C550"/>
    <mergeCell ref="B660:C660"/>
    <mergeCell ref="B756:C756"/>
    <mergeCell ref="B757:C757"/>
    <mergeCell ref="B754:C754"/>
    <mergeCell ref="B393:C393"/>
    <mergeCell ref="B394:C394"/>
    <mergeCell ref="B329:C329"/>
    <mergeCell ref="B327:C327"/>
    <mergeCell ref="B387:C387"/>
    <mergeCell ref="B78:C78"/>
    <mergeCell ref="B82:C82"/>
    <mergeCell ref="B54:C54"/>
    <mergeCell ref="B111:C111"/>
    <mergeCell ref="B180:C180"/>
    <mergeCell ref="B83:C83"/>
    <mergeCell ref="B85:C85"/>
    <mergeCell ref="C72:G72"/>
    <mergeCell ref="C74:G74"/>
    <mergeCell ref="B84:C84"/>
    <mergeCell ref="B865:C865"/>
    <mergeCell ref="B861:C861"/>
    <mergeCell ref="B864:C864"/>
    <mergeCell ref="B768:C768"/>
    <mergeCell ref="B751:C751"/>
    <mergeCell ref="B490:C490"/>
    <mergeCell ref="B522:C522"/>
    <mergeCell ref="B282:C282"/>
    <mergeCell ref="B630:C630"/>
    <mergeCell ref="B866:C866"/>
    <mergeCell ref="B868:C868"/>
    <mergeCell ref="B690:C690"/>
    <mergeCell ref="B328:C328"/>
    <mergeCell ref="B391:C391"/>
    <mergeCell ref="B726:C726"/>
    <mergeCell ref="B698:C698"/>
    <mergeCell ref="B699:C699"/>
    <mergeCell ref="B834:C834"/>
    <mergeCell ref="B725:C725"/>
    <mergeCell ref="C681:G681"/>
    <mergeCell ref="B732:C732"/>
    <mergeCell ref="B694:C694"/>
    <mergeCell ref="B595:C595"/>
    <mergeCell ref="F607:G607"/>
    <mergeCell ref="B587:C587"/>
    <mergeCell ref="B835:C835"/>
    <mergeCell ref="B793:C793"/>
    <mergeCell ref="B798:C798"/>
    <mergeCell ref="B802:C802"/>
    <mergeCell ref="F539:G539"/>
    <mergeCell ref="B626:C626"/>
    <mergeCell ref="B617:C617"/>
    <mergeCell ref="B897:C897"/>
    <mergeCell ref="B890:C890"/>
    <mergeCell ref="B895:C895"/>
    <mergeCell ref="B870:C870"/>
    <mergeCell ref="F845:G845"/>
    <mergeCell ref="F777:G777"/>
    <mergeCell ref="B860:C860"/>
    <mergeCell ref="B837:C837"/>
    <mergeCell ref="B918:C918"/>
    <mergeCell ref="F879:G879"/>
    <mergeCell ref="F878:G878"/>
    <mergeCell ref="B863:C863"/>
    <mergeCell ref="B894:C894"/>
    <mergeCell ref="B920:C920"/>
    <mergeCell ref="B892:C892"/>
    <mergeCell ref="C885:G885"/>
    <mergeCell ref="P35:Q35"/>
    <mergeCell ref="M37:Q37"/>
    <mergeCell ref="L57:M57"/>
    <mergeCell ref="L42:M42"/>
    <mergeCell ref="L44:M44"/>
    <mergeCell ref="L119:M119"/>
    <mergeCell ref="L50:M50"/>
    <mergeCell ref="L51:M51"/>
    <mergeCell ref="L52:M52"/>
    <mergeCell ref="C911:G911"/>
    <mergeCell ref="F810:G810"/>
    <mergeCell ref="B790:C790"/>
    <mergeCell ref="F776:G776"/>
    <mergeCell ref="B788:C788"/>
    <mergeCell ref="B867:C867"/>
    <mergeCell ref="B862:C862"/>
    <mergeCell ref="C313:G313"/>
    <mergeCell ref="B326:C326"/>
    <mergeCell ref="B324:C324"/>
    <mergeCell ref="B322:C322"/>
    <mergeCell ref="B431:C431"/>
    <mergeCell ref="B461:C461"/>
    <mergeCell ref="C273:G273"/>
    <mergeCell ref="B624:C624"/>
    <mergeCell ref="B661:C661"/>
    <mergeCell ref="F538:G538"/>
    <mergeCell ref="B921:C921"/>
    <mergeCell ref="B893:C893"/>
    <mergeCell ref="B869:C869"/>
    <mergeCell ref="B825:C825"/>
    <mergeCell ref="B829:C829"/>
    <mergeCell ref="C817:G817"/>
    <mergeCell ref="B859:C859"/>
    <mergeCell ref="B761:C761"/>
    <mergeCell ref="B797:C797"/>
    <mergeCell ref="B791:C791"/>
    <mergeCell ref="B822:C822"/>
    <mergeCell ref="B896:C896"/>
    <mergeCell ref="B766:C766"/>
    <mergeCell ref="B762:C762"/>
    <mergeCell ref="B799:C799"/>
    <mergeCell ref="B794:C794"/>
    <mergeCell ref="B856:C856"/>
    <mergeCell ref="B801:C801"/>
    <mergeCell ref="B826:C826"/>
    <mergeCell ref="F905:G905"/>
    <mergeCell ref="F904:G904"/>
    <mergeCell ref="B832:C832"/>
    <mergeCell ref="B319:C319"/>
    <mergeCell ref="B697:C697"/>
    <mergeCell ref="B663:C663"/>
    <mergeCell ref="B730:C730"/>
    <mergeCell ref="B631:C631"/>
    <mergeCell ref="B629:C629"/>
    <mergeCell ref="B657:C657"/>
    <mergeCell ref="B652:C652"/>
    <mergeCell ref="B656:C656"/>
    <mergeCell ref="B654:C654"/>
    <mergeCell ref="B655:C655"/>
    <mergeCell ref="B633:C633"/>
    <mergeCell ref="C647:G647"/>
    <mergeCell ref="B586:C586"/>
    <mergeCell ref="B588:C588"/>
    <mergeCell ref="B658:C658"/>
    <mergeCell ref="B649:C649"/>
    <mergeCell ref="B618:C618"/>
    <mergeCell ref="B591:C591"/>
    <mergeCell ref="B589:C589"/>
    <mergeCell ref="B590:C590"/>
    <mergeCell ref="B593:C593"/>
    <mergeCell ref="B489:C489"/>
    <mergeCell ref="B463:C463"/>
    <mergeCell ref="B662:C662"/>
    <mergeCell ref="B625:C625"/>
    <mergeCell ref="B552:C552"/>
    <mergeCell ref="B529:C529"/>
    <mergeCell ref="B499:C499"/>
    <mergeCell ref="B500:C500"/>
    <mergeCell ref="B501:C501"/>
    <mergeCell ref="B502:C502"/>
    <mergeCell ref="C5:G5"/>
    <mergeCell ref="C2:G2"/>
    <mergeCell ref="C3:G3"/>
    <mergeCell ref="B10:C10"/>
    <mergeCell ref="B11:C11"/>
    <mergeCell ref="C139:G139"/>
    <mergeCell ref="B119:C119"/>
    <mergeCell ref="B122:C122"/>
    <mergeCell ref="B127:C127"/>
    <mergeCell ref="C138:G138"/>
    <mergeCell ref="B59:C59"/>
    <mergeCell ref="C71:G71"/>
    <mergeCell ref="F134:G134"/>
    <mergeCell ref="F135:G135"/>
    <mergeCell ref="B7:C7"/>
    <mergeCell ref="C40:G40"/>
    <mergeCell ref="B19:C19"/>
    <mergeCell ref="C38:G38"/>
    <mergeCell ref="B18:C18"/>
    <mergeCell ref="E27:F27"/>
    <mergeCell ref="B14:C14"/>
    <mergeCell ref="F33:G33"/>
    <mergeCell ref="F34:G34"/>
    <mergeCell ref="E29:F29"/>
    <mergeCell ref="B17:C17"/>
    <mergeCell ref="B16:C16"/>
    <mergeCell ref="B15:C15"/>
    <mergeCell ref="B58:C58"/>
    <mergeCell ref="B60:C60"/>
    <mergeCell ref="F68:G68"/>
    <mergeCell ref="F69:G69"/>
    <mergeCell ref="B93:C93"/>
    <mergeCell ref="B9:C9"/>
    <mergeCell ref="B94:C94"/>
    <mergeCell ref="F35:G35"/>
    <mergeCell ref="B21:C21"/>
    <mergeCell ref="B22:C22"/>
    <mergeCell ref="B42:C42"/>
    <mergeCell ref="B55:C55"/>
    <mergeCell ref="B56:C56"/>
    <mergeCell ref="B51:C51"/>
    <mergeCell ref="B52:C52"/>
    <mergeCell ref="B46:C46"/>
    <mergeCell ref="B50:C50"/>
    <mergeCell ref="B44:C44"/>
    <mergeCell ref="B45:C45"/>
    <mergeCell ref="B12:C12"/>
    <mergeCell ref="B92:C92"/>
    <mergeCell ref="B91:C91"/>
    <mergeCell ref="B13:C13"/>
    <mergeCell ref="B26:C26"/>
    <mergeCell ref="C37:G37"/>
    <mergeCell ref="B20:C20"/>
    <mergeCell ref="B24:C24"/>
    <mergeCell ref="B25:C25"/>
    <mergeCell ref="B79:C79"/>
    <mergeCell ref="B80:C80"/>
    <mergeCell ref="B81:C81"/>
    <mergeCell ref="B23:C23"/>
    <mergeCell ref="B61:C61"/>
    <mergeCell ref="E62:F62"/>
    <mergeCell ref="E64:F64"/>
    <mergeCell ref="F70:G70"/>
    <mergeCell ref="B48:C48"/>
    <mergeCell ref="B47:C47"/>
    <mergeCell ref="C104:G104"/>
    <mergeCell ref="B115:C115"/>
    <mergeCell ref="C172:G172"/>
    <mergeCell ref="C173:G173"/>
    <mergeCell ref="C175:G175"/>
    <mergeCell ref="F136:G136"/>
    <mergeCell ref="B86:C86"/>
    <mergeCell ref="B113:C113"/>
    <mergeCell ref="B189:C189"/>
    <mergeCell ref="E98:F98"/>
    <mergeCell ref="B128:C128"/>
    <mergeCell ref="E129:F129"/>
    <mergeCell ref="E131:F131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43:C143"/>
    <mergeCell ref="B114:C114"/>
    <mergeCell ref="B112:C112"/>
    <mergeCell ref="C141:G141"/>
    <mergeCell ref="B155:C155"/>
    <mergeCell ref="B156:C156"/>
    <mergeCell ref="B157:C157"/>
    <mergeCell ref="B53:C53"/>
    <mergeCell ref="B76:C76"/>
    <mergeCell ref="B57:C57"/>
    <mergeCell ref="F101:G101"/>
    <mergeCell ref="B116:C116"/>
    <mergeCell ref="B117:C117"/>
    <mergeCell ref="F102:G102"/>
    <mergeCell ref="C105:G105"/>
    <mergeCell ref="B118:C118"/>
    <mergeCell ref="B248:C248"/>
    <mergeCell ref="B121:C121"/>
    <mergeCell ref="B123:C123"/>
    <mergeCell ref="B183:C183"/>
    <mergeCell ref="B177:C177"/>
    <mergeCell ref="B181:C181"/>
    <mergeCell ref="B185:C185"/>
    <mergeCell ref="C107:G107"/>
    <mergeCell ref="B120:C120"/>
    <mergeCell ref="B109:C109"/>
    <mergeCell ref="B187:C187"/>
    <mergeCell ref="B186:C186"/>
    <mergeCell ref="B124:C124"/>
    <mergeCell ref="B125:C125"/>
    <mergeCell ref="C207:G207"/>
    <mergeCell ref="B188:C188"/>
    <mergeCell ref="B182:C182"/>
    <mergeCell ref="B184:C184"/>
    <mergeCell ref="B126:C126"/>
    <mergeCell ref="B245:C245"/>
    <mergeCell ref="F203:G203"/>
    <mergeCell ref="F204:G204"/>
    <mergeCell ref="C209:G209"/>
    <mergeCell ref="B221:C221"/>
    <mergeCell ref="B179:C179"/>
    <mergeCell ref="F1091:G1091"/>
    <mergeCell ref="B667:C667"/>
    <mergeCell ref="F1084:G1084"/>
    <mergeCell ref="F1085:G1085"/>
    <mergeCell ref="B824:C824"/>
    <mergeCell ref="B828:C828"/>
    <mergeCell ref="B800:C800"/>
    <mergeCell ref="B796:C796"/>
    <mergeCell ref="B795:C795"/>
    <mergeCell ref="F1089:G1089"/>
    <mergeCell ref="B1073:C1073"/>
    <mergeCell ref="B1077:C1077"/>
    <mergeCell ref="B1075:C1075"/>
    <mergeCell ref="B1076:C1076"/>
    <mergeCell ref="B1074:C1074"/>
    <mergeCell ref="B858:C858"/>
    <mergeCell ref="B758:C758"/>
    <mergeCell ref="B767:C767"/>
    <mergeCell ref="B765:C765"/>
    <mergeCell ref="B763:C763"/>
    <mergeCell ref="B764:C764"/>
    <mergeCell ref="B831:C831"/>
    <mergeCell ref="B1071:C1071"/>
    <mergeCell ref="B1031:C1031"/>
    <mergeCell ref="B1028:C1028"/>
    <mergeCell ref="B1053:C1053"/>
    <mergeCell ref="B1052:C1052"/>
    <mergeCell ref="B1048:C1048"/>
    <mergeCell ref="B1033:C1033"/>
    <mergeCell ref="B1068:C1068"/>
    <mergeCell ref="C1066:G1066"/>
    <mergeCell ref="F1061:G1061"/>
    <mergeCell ref="B547:C547"/>
    <mergeCell ref="C485:G485"/>
    <mergeCell ref="B520:C520"/>
    <mergeCell ref="F573:G573"/>
    <mergeCell ref="B516:C516"/>
    <mergeCell ref="B519:C519"/>
    <mergeCell ref="B497:C497"/>
    <mergeCell ref="B527:C527"/>
    <mergeCell ref="B563:C563"/>
    <mergeCell ref="B553:C553"/>
    <mergeCell ref="B492:C492"/>
    <mergeCell ref="B559:C559"/>
    <mergeCell ref="B556:C556"/>
    <mergeCell ref="F572:G572"/>
    <mergeCell ref="B488:C488"/>
    <mergeCell ref="B498:C498"/>
    <mergeCell ref="B503:C503"/>
    <mergeCell ref="B504:C504"/>
    <mergeCell ref="B505:C505"/>
    <mergeCell ref="B506:C506"/>
    <mergeCell ref="E507:F507"/>
    <mergeCell ref="E509:F509"/>
    <mergeCell ref="F512:G512"/>
    <mergeCell ref="F513:G513"/>
    <mergeCell ref="B622:C622"/>
    <mergeCell ref="B619:C619"/>
    <mergeCell ref="C613:G613"/>
    <mergeCell ref="B558:C558"/>
    <mergeCell ref="B562:C562"/>
    <mergeCell ref="B560:C560"/>
    <mergeCell ref="B521:C521"/>
    <mergeCell ref="B561:C561"/>
    <mergeCell ref="B456:C456"/>
    <mergeCell ref="B615:C615"/>
    <mergeCell ref="B596:C596"/>
    <mergeCell ref="B594:C594"/>
    <mergeCell ref="B686:C686"/>
    <mergeCell ref="B350:C350"/>
    <mergeCell ref="B424:C424"/>
    <mergeCell ref="B496:C496"/>
    <mergeCell ref="B385:C385"/>
    <mergeCell ref="B432:C432"/>
    <mergeCell ref="C419:G419"/>
    <mergeCell ref="B421:C421"/>
    <mergeCell ref="B494:C494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20:C320"/>
    <mergeCell ref="B318:C318"/>
    <mergeCell ref="B323:C323"/>
    <mergeCell ref="B555:C555"/>
    <mergeCell ref="B632:C632"/>
    <mergeCell ref="B628:C628"/>
    <mergeCell ref="B457:C457"/>
    <mergeCell ref="B664:C664"/>
    <mergeCell ref="B683:C683"/>
    <mergeCell ref="B491:C491"/>
    <mergeCell ref="B666:C666"/>
    <mergeCell ref="B621:C621"/>
    <mergeCell ref="B623:C623"/>
    <mergeCell ref="B525:C525"/>
    <mergeCell ref="B526:C526"/>
    <mergeCell ref="B599:C599"/>
    <mergeCell ref="B598:C598"/>
    <mergeCell ref="B565:C565"/>
    <mergeCell ref="B531:C531"/>
    <mergeCell ref="C579:G579"/>
    <mergeCell ref="C545:G545"/>
    <mergeCell ref="B493:C493"/>
    <mergeCell ref="B495:C495"/>
    <mergeCell ref="B554:C554"/>
    <mergeCell ref="B564:C564"/>
    <mergeCell ref="B524:C524"/>
    <mergeCell ref="B584:C584"/>
    <mergeCell ref="B592:C592"/>
    <mergeCell ref="B458:C458"/>
    <mergeCell ref="B462:C462"/>
    <mergeCell ref="B460:C460"/>
    <mergeCell ref="B454:C454"/>
    <mergeCell ref="B975:C975"/>
    <mergeCell ref="B973:C973"/>
    <mergeCell ref="C988:G988"/>
    <mergeCell ref="B995:C995"/>
    <mergeCell ref="B970:C970"/>
    <mergeCell ref="B947:C947"/>
    <mergeCell ref="C963:G963"/>
    <mergeCell ref="F1060:G1060"/>
    <mergeCell ref="B1051:C1051"/>
    <mergeCell ref="F1041:G1041"/>
    <mergeCell ref="C1046:G1046"/>
    <mergeCell ref="F1040:G1040"/>
    <mergeCell ref="C1026:G1026"/>
    <mergeCell ref="B968:C968"/>
    <mergeCell ref="B971:C971"/>
    <mergeCell ref="B949:C949"/>
    <mergeCell ref="B965:C965"/>
    <mergeCell ref="B948:C948"/>
    <mergeCell ref="B990:C990"/>
    <mergeCell ref="B993:C993"/>
    <mergeCell ref="B974:C974"/>
    <mergeCell ref="B994:C994"/>
    <mergeCell ref="F1021:G1021"/>
    <mergeCell ref="F1020:G1020"/>
    <mergeCell ref="F1003:G1003"/>
    <mergeCell ref="F1002:G1002"/>
    <mergeCell ref="B1013:C1013"/>
    <mergeCell ref="B1010:C1010"/>
    <mergeCell ref="C1008:G1008"/>
    <mergeCell ref="B688:C688"/>
    <mergeCell ref="B665:C665"/>
    <mergeCell ref="B693:C693"/>
    <mergeCell ref="B833:C833"/>
    <mergeCell ref="C749:G749"/>
    <mergeCell ref="B723:C723"/>
    <mergeCell ref="F641:G641"/>
    <mergeCell ref="F640:G640"/>
    <mergeCell ref="B945:C945"/>
    <mergeCell ref="B700:C700"/>
    <mergeCell ref="B696:C696"/>
    <mergeCell ref="B830:C830"/>
    <mergeCell ref="B946:C946"/>
    <mergeCell ref="B597:C597"/>
    <mergeCell ref="B581:C581"/>
    <mergeCell ref="B803:C803"/>
    <mergeCell ref="B760:C760"/>
    <mergeCell ref="F743:G743"/>
    <mergeCell ref="F742:G742"/>
    <mergeCell ref="F674:G674"/>
    <mergeCell ref="F675:G675"/>
    <mergeCell ref="F606:G606"/>
    <mergeCell ref="B836:C836"/>
    <mergeCell ref="B792:C792"/>
    <mergeCell ref="B734:C734"/>
    <mergeCell ref="B735:C735"/>
    <mergeCell ref="B729:C729"/>
    <mergeCell ref="B720:C720"/>
    <mergeCell ref="B728:C728"/>
    <mergeCell ref="B627:C627"/>
    <mergeCell ref="B620:C620"/>
    <mergeCell ref="B691:C691"/>
    <mergeCell ref="B923:C923"/>
    <mergeCell ref="B972:C972"/>
    <mergeCell ref="B769:C769"/>
    <mergeCell ref="F983:G983"/>
    <mergeCell ref="F982:G982"/>
    <mergeCell ref="B659:C659"/>
    <mergeCell ref="B913:C913"/>
    <mergeCell ref="B922:C922"/>
    <mergeCell ref="B916:C916"/>
    <mergeCell ref="B695:C695"/>
    <mergeCell ref="B689:C689"/>
    <mergeCell ref="B853:C853"/>
    <mergeCell ref="F844:G844"/>
    <mergeCell ref="B819:C819"/>
    <mergeCell ref="B827:C827"/>
    <mergeCell ref="B785:C785"/>
    <mergeCell ref="C783:G783"/>
    <mergeCell ref="B887:C887"/>
    <mergeCell ref="B871:C871"/>
    <mergeCell ref="B942:C942"/>
    <mergeCell ref="B919:C919"/>
    <mergeCell ref="F930:G930"/>
    <mergeCell ref="F956:G956"/>
    <mergeCell ref="F931:G931"/>
    <mergeCell ref="F811:G811"/>
    <mergeCell ref="C937:G937"/>
    <mergeCell ref="B717:C717"/>
    <mergeCell ref="B727:C727"/>
    <mergeCell ref="B722:C722"/>
    <mergeCell ref="B944:C944"/>
    <mergeCell ref="B759:C759"/>
    <mergeCell ref="C851:G851"/>
    <mergeCell ref="B724:C724"/>
    <mergeCell ref="B701:C701"/>
    <mergeCell ref="C715:G715"/>
    <mergeCell ref="F709:G709"/>
    <mergeCell ref="F708:G708"/>
    <mergeCell ref="B731:C731"/>
    <mergeCell ref="B733:C733"/>
    <mergeCell ref="B692:C692"/>
    <mergeCell ref="B429:C429"/>
    <mergeCell ref="B428:C428"/>
    <mergeCell ref="B423:C423"/>
    <mergeCell ref="B389:C389"/>
    <mergeCell ref="B390:C390"/>
    <mergeCell ref="B518:C518"/>
    <mergeCell ref="B530:C530"/>
    <mergeCell ref="B333:C333"/>
    <mergeCell ref="B392:C392"/>
    <mergeCell ref="C383:G383"/>
    <mergeCell ref="B334:C334"/>
    <mergeCell ref="C348:G348"/>
    <mergeCell ref="F341:G341"/>
    <mergeCell ref="B426:C426"/>
    <mergeCell ref="B425:C425"/>
    <mergeCell ref="B433:C433"/>
    <mergeCell ref="B430:C430"/>
    <mergeCell ref="B427:C427"/>
    <mergeCell ref="B487:C487"/>
    <mergeCell ref="F342:G342"/>
    <mergeCell ref="F343:G343"/>
    <mergeCell ref="B528:C528"/>
    <mergeCell ref="C452:G452"/>
    <mergeCell ref="B280:C280"/>
    <mergeCell ref="C206:G206"/>
    <mergeCell ref="B284:C284"/>
    <mergeCell ref="C241:G241"/>
    <mergeCell ref="B325:C325"/>
    <mergeCell ref="C311:G311"/>
    <mergeCell ref="B315:C315"/>
    <mergeCell ref="C240:G240"/>
    <mergeCell ref="B283:C283"/>
    <mergeCell ref="O163:P163"/>
    <mergeCell ref="O165:P165"/>
    <mergeCell ref="P168:Q168"/>
    <mergeCell ref="P169:Q169"/>
    <mergeCell ref="P170:Q170"/>
    <mergeCell ref="B190:C190"/>
    <mergeCell ref="B191:C191"/>
    <mergeCell ref="L191:M191"/>
    <mergeCell ref="B192:C192"/>
    <mergeCell ref="L192:M192"/>
    <mergeCell ref="B193:C193"/>
    <mergeCell ref="B196:C196"/>
    <mergeCell ref="L196:M196"/>
    <mergeCell ref="E197:F197"/>
    <mergeCell ref="O197:P197"/>
    <mergeCell ref="E199:F199"/>
    <mergeCell ref="O199:P199"/>
    <mergeCell ref="F202:G202"/>
    <mergeCell ref="P202:Q202"/>
    <mergeCell ref="C310:G310"/>
    <mergeCell ref="F308:G308"/>
    <mergeCell ref="B321:C321"/>
    <mergeCell ref="B317:C317"/>
    <mergeCell ref="L1013:M1013"/>
    <mergeCell ref="L1010:M1010"/>
    <mergeCell ref="L592:M592"/>
    <mergeCell ref="L588:M588"/>
    <mergeCell ref="L587:M587"/>
    <mergeCell ref="L586:M586"/>
    <mergeCell ref="L584:M584"/>
    <mergeCell ref="L581:M581"/>
    <mergeCell ref="L18:M18"/>
    <mergeCell ref="B145:C145"/>
    <mergeCell ref="L145:M145"/>
    <mergeCell ref="B146:C146"/>
    <mergeCell ref="L425:M425"/>
    <mergeCell ref="L429:M429"/>
    <mergeCell ref="F957:G957"/>
    <mergeCell ref="B939:C939"/>
    <mergeCell ref="B523:C523"/>
    <mergeCell ref="B158:C158"/>
    <mergeCell ref="L158:M158"/>
    <mergeCell ref="B159:C159"/>
    <mergeCell ref="B160:C160"/>
    <mergeCell ref="B161:C161"/>
    <mergeCell ref="B162:C162"/>
    <mergeCell ref="L162:M162"/>
    <mergeCell ref="E163:F163"/>
    <mergeCell ref="E165:F165"/>
    <mergeCell ref="F168:G168"/>
    <mergeCell ref="F169:G169"/>
    <mergeCell ref="F170:G170"/>
    <mergeCell ref="B194:C194"/>
    <mergeCell ref="B195:C195"/>
    <mergeCell ref="C275:G275"/>
    <mergeCell ref="M209:Q209"/>
    <mergeCell ref="B211:C211"/>
    <mergeCell ref="L211:M211"/>
    <mergeCell ref="B213:C213"/>
    <mergeCell ref="L213:M213"/>
    <mergeCell ref="B214:C214"/>
    <mergeCell ref="B215:C215"/>
    <mergeCell ref="B216:C216"/>
    <mergeCell ref="L216:M216"/>
    <mergeCell ref="B217:C217"/>
    <mergeCell ref="L217:M217"/>
    <mergeCell ref="B218:C218"/>
    <mergeCell ref="L218:M218"/>
    <mergeCell ref="B219:C219"/>
    <mergeCell ref="L219:M219"/>
    <mergeCell ref="B220:C220"/>
    <mergeCell ref="L220:M220"/>
    <mergeCell ref="L221:M221"/>
    <mergeCell ref="B222:C222"/>
    <mergeCell ref="L222:M222"/>
    <mergeCell ref="B223:C223"/>
    <mergeCell ref="L223:M223"/>
    <mergeCell ref="B224:C224"/>
    <mergeCell ref="B225:C225"/>
    <mergeCell ref="L225:M225"/>
    <mergeCell ref="B226:C226"/>
    <mergeCell ref="L226:M226"/>
    <mergeCell ref="B227:C227"/>
    <mergeCell ref="B228:C228"/>
    <mergeCell ref="B229:C229"/>
    <mergeCell ref="B230:C230"/>
    <mergeCell ref="L230:M230"/>
    <mergeCell ref="B264:C264"/>
    <mergeCell ref="L264:M264"/>
    <mergeCell ref="L252:M252"/>
    <mergeCell ref="B253:C253"/>
    <mergeCell ref="L253:M253"/>
    <mergeCell ref="B250:C250"/>
    <mergeCell ref="L245:M245"/>
    <mergeCell ref="L247:M247"/>
    <mergeCell ref="B260:C260"/>
    <mergeCell ref="L260:M260"/>
    <mergeCell ref="E231:F231"/>
    <mergeCell ref="B252:C252"/>
    <mergeCell ref="O231:P231"/>
    <mergeCell ref="E233:F233"/>
    <mergeCell ref="O233:P233"/>
    <mergeCell ref="F236:G236"/>
    <mergeCell ref="P236:Q236"/>
    <mergeCell ref="F237:G237"/>
    <mergeCell ref="P237:Q237"/>
    <mergeCell ref="F238:G238"/>
    <mergeCell ref="P238:Q238"/>
    <mergeCell ref="M240:Q240"/>
    <mergeCell ref="M241:Q241"/>
    <mergeCell ref="C243:G243"/>
    <mergeCell ref="M243:Q243"/>
    <mergeCell ref="B247:C247"/>
    <mergeCell ref="B249:C249"/>
    <mergeCell ref="B251:C251"/>
    <mergeCell ref="L251:M251"/>
    <mergeCell ref="E300:F300"/>
    <mergeCell ref="O300:P300"/>
    <mergeCell ref="B254:C254"/>
    <mergeCell ref="L254:M254"/>
    <mergeCell ref="L257:M257"/>
    <mergeCell ref="L259:M259"/>
    <mergeCell ref="B261:C261"/>
    <mergeCell ref="B262:C262"/>
    <mergeCell ref="B263:C263"/>
    <mergeCell ref="F270:G270"/>
    <mergeCell ref="P270:Q270"/>
    <mergeCell ref="F271:G271"/>
    <mergeCell ref="P271:Q271"/>
    <mergeCell ref="F272:G272"/>
    <mergeCell ref="P272:Q272"/>
    <mergeCell ref="B285:C285"/>
    <mergeCell ref="L285:M285"/>
    <mergeCell ref="B286:C286"/>
    <mergeCell ref="L286:M286"/>
    <mergeCell ref="C276:G276"/>
    <mergeCell ref="M278:Q278"/>
    <mergeCell ref="E265:F265"/>
    <mergeCell ref="O265:P265"/>
    <mergeCell ref="E267:F267"/>
    <mergeCell ref="O267:P267"/>
    <mergeCell ref="B255:C255"/>
    <mergeCell ref="L255:M255"/>
    <mergeCell ref="B256:C256"/>
    <mergeCell ref="L256:M256"/>
    <mergeCell ref="B257:C257"/>
    <mergeCell ref="B258:C258"/>
    <mergeCell ref="B259:C259"/>
    <mergeCell ref="E302:F302"/>
    <mergeCell ref="O302:P302"/>
    <mergeCell ref="B287:C287"/>
    <mergeCell ref="L287:M287"/>
    <mergeCell ref="B288:C288"/>
    <mergeCell ref="L288:M288"/>
    <mergeCell ref="B289:C289"/>
    <mergeCell ref="L289:M289"/>
    <mergeCell ref="B290:C290"/>
    <mergeCell ref="L290:M290"/>
    <mergeCell ref="C278:G278"/>
    <mergeCell ref="L280:M280"/>
    <mergeCell ref="F305:G305"/>
    <mergeCell ref="P305:Q305"/>
    <mergeCell ref="F306:G306"/>
    <mergeCell ref="P306:Q306"/>
    <mergeCell ref="F307:G307"/>
    <mergeCell ref="P307:Q307"/>
    <mergeCell ref="B291:C291"/>
    <mergeCell ref="L291:M291"/>
    <mergeCell ref="B292:C292"/>
    <mergeCell ref="L292:M292"/>
    <mergeCell ref="B293:C293"/>
    <mergeCell ref="B294:C294"/>
    <mergeCell ref="L294:M294"/>
    <mergeCell ref="B295:C295"/>
    <mergeCell ref="L295:M295"/>
    <mergeCell ref="B296:C296"/>
    <mergeCell ref="B297:C297"/>
    <mergeCell ref="B298:C298"/>
    <mergeCell ref="B299:C299"/>
    <mergeCell ref="L299:M299"/>
    <mergeCell ref="B330:C330"/>
    <mergeCell ref="L330:M330"/>
    <mergeCell ref="B352:C352"/>
    <mergeCell ref="L352:M352"/>
    <mergeCell ref="B353:C353"/>
    <mergeCell ref="B354:C354"/>
    <mergeCell ref="B355:C355"/>
    <mergeCell ref="L355:M355"/>
    <mergeCell ref="B356:C356"/>
    <mergeCell ref="L356:M356"/>
    <mergeCell ref="B357:C357"/>
    <mergeCell ref="L357:M357"/>
    <mergeCell ref="B358:C358"/>
    <mergeCell ref="L358:M358"/>
    <mergeCell ref="B359:C359"/>
    <mergeCell ref="L359:M359"/>
    <mergeCell ref="B360:C360"/>
    <mergeCell ref="L360:M360"/>
    <mergeCell ref="L331:M331"/>
    <mergeCell ref="B332:C332"/>
    <mergeCell ref="B331:C331"/>
    <mergeCell ref="E371:F371"/>
    <mergeCell ref="O410:P410"/>
    <mergeCell ref="O371:P371"/>
    <mergeCell ref="E373:F373"/>
    <mergeCell ref="O373:P373"/>
    <mergeCell ref="F376:G376"/>
    <mergeCell ref="P376:Q376"/>
    <mergeCell ref="F377:G377"/>
    <mergeCell ref="P377:Q377"/>
    <mergeCell ref="F378:G378"/>
    <mergeCell ref="P378:Q378"/>
    <mergeCell ref="B395:C395"/>
    <mergeCell ref="L395:M395"/>
    <mergeCell ref="B396:C396"/>
    <mergeCell ref="L396:M396"/>
    <mergeCell ref="B397:C397"/>
    <mergeCell ref="L397:M397"/>
    <mergeCell ref="B398:C398"/>
    <mergeCell ref="L398:M398"/>
    <mergeCell ref="F413:G413"/>
    <mergeCell ref="P413:Q413"/>
    <mergeCell ref="F414:G414"/>
    <mergeCell ref="P414:Q414"/>
    <mergeCell ref="L426:M426"/>
    <mergeCell ref="L427:M427"/>
    <mergeCell ref="L430:M430"/>
    <mergeCell ref="B434:C434"/>
    <mergeCell ref="L434:M434"/>
    <mergeCell ref="B435:C435"/>
    <mergeCell ref="L435:M435"/>
    <mergeCell ref="B436:C436"/>
    <mergeCell ref="L436:M436"/>
    <mergeCell ref="B437:C437"/>
    <mergeCell ref="B438:C438"/>
    <mergeCell ref="B399:C399"/>
    <mergeCell ref="L399:M399"/>
    <mergeCell ref="B400:C400"/>
    <mergeCell ref="B401:C401"/>
    <mergeCell ref="L401:M401"/>
    <mergeCell ref="B402:C402"/>
    <mergeCell ref="L402:M402"/>
    <mergeCell ref="B403:C403"/>
    <mergeCell ref="L403:M403"/>
    <mergeCell ref="B404:C404"/>
    <mergeCell ref="B405:C405"/>
    <mergeCell ref="B406:C406"/>
    <mergeCell ref="B407:C407"/>
    <mergeCell ref="L407:M407"/>
    <mergeCell ref="E408:F408"/>
    <mergeCell ref="O408:P408"/>
    <mergeCell ref="E410:F410"/>
    <mergeCell ref="B439:C439"/>
    <mergeCell ref="B440:C440"/>
    <mergeCell ref="L440:M440"/>
    <mergeCell ref="E441:F441"/>
    <mergeCell ref="O441:P441"/>
    <mergeCell ref="E443:F443"/>
    <mergeCell ref="O443:P443"/>
    <mergeCell ref="F446:G446"/>
    <mergeCell ref="P446:Q446"/>
    <mergeCell ref="F447:G447"/>
    <mergeCell ref="P447:Q447"/>
    <mergeCell ref="B464:C464"/>
    <mergeCell ref="L464:M464"/>
    <mergeCell ref="B465:C465"/>
    <mergeCell ref="L465:M465"/>
    <mergeCell ref="B466:C466"/>
    <mergeCell ref="B467:C467"/>
    <mergeCell ref="L467:M467"/>
    <mergeCell ref="B459:C459"/>
    <mergeCell ref="L459:M459"/>
    <mergeCell ref="B468:C468"/>
    <mergeCell ref="L468:M468"/>
    <mergeCell ref="B469:C469"/>
    <mergeCell ref="L469:M469"/>
    <mergeCell ref="B470:C470"/>
    <mergeCell ref="B471:C471"/>
    <mergeCell ref="B472:C472"/>
    <mergeCell ref="B473:C473"/>
    <mergeCell ref="L473:M473"/>
    <mergeCell ref="E474:F474"/>
    <mergeCell ref="O474:P474"/>
    <mergeCell ref="E476:F476"/>
    <mergeCell ref="O476:P476"/>
    <mergeCell ref="F479:G479"/>
    <mergeCell ref="P479:Q479"/>
    <mergeCell ref="F480:G480"/>
    <mergeCell ref="P480:Q480"/>
  </mergeCells>
  <phoneticPr fontId="0" type="noConversion"/>
  <dataValidations count="3">
    <dataValidation type="list" allowBlank="1" showInputMessage="1" showErrorMessage="1" sqref="B456:C458 B489:C491 B423:C425 B283:C285 B214:C216 B146:C148 B112:C114 B45:C47 B79:C81 B180:C182 B248:C250 B318:C320 B353:C355 B10:C12 B390:C392">
      <formula1>'Cjenik RS'!$C$11:$C$26</formula1>
    </dataValidation>
    <dataValidation type="list" allowBlank="1" showInputMessage="1" showErrorMessage="1" sqref="B460:C462 B493:C495 B427:C429 B287:C289 B218:C220 B150:C152 B116:C118 B49:C51 B83:C85 B184:C186 B252:C254 B322:C324 B357:C359 B14:C16 B394:C396">
      <formula1>'Cjenik VSO (pomoćna) (2)'!$B$9:$B$26</formula1>
    </dataValidation>
    <dataValidation type="list" allowBlank="1" showInputMessage="1" showErrorMessage="1" sqref="B464:C473 B497:C506 B431:C440 B291:C299 B222:C230 B154:C162 B87:C92 B53:C60 B120:C128 B188:C196 B256:C264 B361:C370 B326:C335 B18:C25 B398:C407">
      <formula1>'Cjenik M'!$B$11:$B$350</formula1>
    </dataValidation>
  </dataValidations>
  <pageMargins left="0.98425196850393704" right="0.39370078740157483" top="0.39370078740157483" bottom="0.39370078740157483" header="0.19685039370078741" footer="0.19685039370078741"/>
  <pageSetup paperSize="9" scale="91" orientation="portrait" horizontalDpi="4294967293" r:id="rId1"/>
  <headerFooter alignWithMargins="0">
    <oddHeader>&amp;L&amp;8PERUŠIĆ d.o.o.&amp;R&amp;8&amp;D</oddHeader>
    <oddFooter>&amp;L&amp;8PERUŠIĆ d.o.o.&amp;C&amp;8&amp;A&amp;R&amp;8&amp;P / &amp;N</oddFooter>
  </headerFooter>
  <rowBreaks count="34" manualBreakCount="34">
    <brk id="35" max="6" man="1"/>
    <brk id="69" max="6" man="1"/>
    <brk id="102" max="6" man="1"/>
    <brk id="136" max="6" man="1"/>
    <brk id="170" max="6" man="1"/>
    <brk id="204" max="6" man="1"/>
    <brk id="238" max="6" man="1"/>
    <brk id="273" max="6" man="1"/>
    <brk id="308" max="6" man="1"/>
    <brk id="343" max="6" man="1"/>
    <brk id="378" max="6" man="1"/>
    <brk id="414" max="6" man="1"/>
    <brk id="447" max="6" man="1"/>
    <brk id="480" max="6" man="1"/>
    <brk id="540" max="6" man="1"/>
    <brk id="574" max="6" man="1"/>
    <brk id="608" max="6" man="1"/>
    <brk id="642" max="6" man="1"/>
    <brk id="676" max="6" man="1"/>
    <brk id="710" max="6" man="1"/>
    <brk id="744" max="6" man="1"/>
    <brk id="778" max="6" man="1"/>
    <brk id="812" max="6" man="1"/>
    <brk id="846" max="6" man="1"/>
    <brk id="880" max="6" man="1"/>
    <brk id="906" max="6" man="1"/>
    <brk id="932" max="6" man="1"/>
    <brk id="958" max="6" man="1"/>
    <brk id="984" max="6" man="1"/>
    <brk id="1004" max="6" man="1"/>
    <brk id="1022" max="6" man="1"/>
    <brk id="1042" max="6" man="1"/>
    <brk id="1062" max="6" man="1"/>
    <brk id="108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60"/>
  </sheetPr>
  <dimension ref="A1:F18"/>
  <sheetViews>
    <sheetView showZeros="0" view="pageLayout" topLeftCell="A4" zoomScaleNormal="100" zoomScaleSheetLayoutView="85" workbookViewId="0">
      <selection activeCell="A10" sqref="A10:B10"/>
    </sheetView>
  </sheetViews>
  <sheetFormatPr defaultRowHeight="12.75"/>
  <cols>
    <col min="1" max="1" width="8.140625" style="417" customWidth="1"/>
    <col min="2" max="2" width="69" style="419" customWidth="1"/>
    <col min="3" max="3" width="31" style="438" customWidth="1"/>
    <col min="4" max="4" width="9.140625" style="418"/>
    <col min="5" max="5" width="13.7109375" style="418" bestFit="1" customWidth="1"/>
    <col min="6" max="16384" width="9.140625" style="418"/>
  </cols>
  <sheetData>
    <row r="1" spans="1:6" ht="19.899999999999999" customHeight="1">
      <c r="A1" s="815" t="str">
        <f>troškovnik!A1</f>
        <v>ŽUPANIJA: LIČKO - SENJSKA</v>
      </c>
      <c r="B1" s="816"/>
      <c r="C1" s="417"/>
    </row>
    <row r="2" spans="1:6" ht="12.75" customHeight="1">
      <c r="A2" s="551" t="str">
        <f>troškovnik!A2</f>
        <v>OPĆINA PERUŠIĆ</v>
      </c>
      <c r="B2" s="552"/>
      <c r="C2" s="417"/>
    </row>
    <row r="3" spans="1:6" ht="30.2" customHeight="1">
      <c r="A3" s="817" t="s">
        <v>122</v>
      </c>
      <c r="B3" s="817"/>
      <c r="C3" s="420"/>
    </row>
    <row r="4" spans="1:6" ht="4.9000000000000004" customHeight="1" thickBot="1">
      <c r="A4" s="421"/>
      <c r="B4" s="421"/>
      <c r="C4" s="422"/>
    </row>
    <row r="5" spans="1:6" ht="40.15" customHeight="1" thickBot="1">
      <c r="A5" s="818"/>
      <c r="B5" s="818"/>
      <c r="C5" s="423" t="str">
        <f>troškovnik!P5</f>
        <v>Ukupno od 2021. do 2022. godine
(od 01.12.2021. do 30.11.2022.)</v>
      </c>
    </row>
    <row r="6" spans="1:6" ht="44.1" customHeight="1" thickBot="1">
      <c r="A6" s="424" t="str">
        <f>troškovnik!A6</f>
        <v>Pozicija</v>
      </c>
      <c r="B6" s="425" t="str">
        <f>troškovnik!B6</f>
        <v>Opis rada</v>
      </c>
      <c r="C6" s="426" t="str">
        <f>troškovnik!R6</f>
        <v>Vrijednost radova</v>
      </c>
    </row>
    <row r="7" spans="1:6" s="430" customFormat="1" ht="27.75" customHeight="1">
      <c r="A7" s="427" t="str">
        <f>troškovnik!A8</f>
        <v>1.</v>
      </c>
      <c r="B7" s="428" t="s">
        <v>123</v>
      </c>
      <c r="C7" s="429">
        <v>36000</v>
      </c>
      <c r="E7" s="431"/>
      <c r="F7" s="431"/>
    </row>
    <row r="8" spans="1:6" s="430" customFormat="1" ht="20.100000000000001" customHeight="1">
      <c r="A8" s="432" t="str">
        <f>troškovnik!A28</f>
        <v>2.</v>
      </c>
      <c r="B8" s="433" t="s">
        <v>124</v>
      </c>
      <c r="C8" s="434">
        <v>44000</v>
      </c>
      <c r="E8" s="431"/>
    </row>
    <row r="9" spans="1:6" ht="13.15" customHeight="1">
      <c r="A9" s="435"/>
      <c r="B9" s="436"/>
      <c r="C9" s="437"/>
    </row>
    <row r="10" spans="1:6" ht="19.899999999999999" customHeight="1">
      <c r="A10" s="819" t="s">
        <v>121</v>
      </c>
      <c r="B10" s="819"/>
      <c r="C10" s="506">
        <f>ROUND(SUM(C7:C8),2)</f>
        <v>80000</v>
      </c>
    </row>
    <row r="11" spans="1:6" ht="21" customHeight="1">
      <c r="A11" s="505"/>
      <c r="B11" s="504" t="s">
        <v>125</v>
      </c>
      <c r="C11" s="507">
        <f>C10*25%</f>
        <v>20000</v>
      </c>
    </row>
    <row r="12" spans="1:6" ht="18.75" customHeight="1">
      <c r="A12" s="505"/>
      <c r="B12" s="504" t="s">
        <v>126</v>
      </c>
      <c r="C12" s="507">
        <f>SUM(C10:C11)</f>
        <v>100000</v>
      </c>
    </row>
    <row r="14" spans="1:6" ht="12.75" customHeight="1"/>
    <row r="16" spans="1:6">
      <c r="B16" s="419" t="s">
        <v>260</v>
      </c>
      <c r="C16" s="438" t="s">
        <v>261</v>
      </c>
    </row>
    <row r="18" spans="2:3">
      <c r="B18" s="419" t="s">
        <v>814</v>
      </c>
      <c r="C18" s="438" t="s">
        <v>815</v>
      </c>
    </row>
  </sheetData>
  <mergeCells count="4">
    <mergeCell ref="A1:B1"/>
    <mergeCell ref="A3:B3"/>
    <mergeCell ref="A5:B5"/>
    <mergeCell ref="A10:B10"/>
  </mergeCells>
  <phoneticPr fontId="44" type="noConversion"/>
  <printOptions horizontalCentered="1"/>
  <pageMargins left="0.78740157480314965" right="0.39370078740157483" top="0.39370078740157483" bottom="0.39370078740157483" header="0.19685039370078741" footer="0.19685039370078741"/>
  <pageSetup paperSize="9" scale="65" orientation="portrait" horizontalDpi="300" verticalDpi="300" r:id="rId1"/>
  <headerFooter alignWithMargins="0">
    <oddHeader>&amp;C&amp;5TROŠKOVNIK REDOVITOG ODRŽAVANJA I ZAŠTITE OBJEKATA U VLASNIŠTVU OPĆINE PERUŠIĆ</oddHeader>
    <oddFooter>&amp;L&amp;5&amp;F&amp;R&amp;5&amp;P/&amp;N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7"/>
  </sheetPr>
  <dimension ref="A1:K26"/>
  <sheetViews>
    <sheetView showZeros="0" view="pageLayout" topLeftCell="A4" zoomScaleNormal="100" zoomScaleSheetLayoutView="100" workbookViewId="0">
      <selection activeCell="C24" sqref="C24:G25"/>
    </sheetView>
  </sheetViews>
  <sheetFormatPr defaultRowHeight="12.75"/>
  <cols>
    <col min="1" max="1" width="3.7109375" style="1" customWidth="1"/>
    <col min="2" max="2" width="8.7109375" style="1" customWidth="1"/>
    <col min="3" max="3" width="21" style="2" customWidth="1"/>
    <col min="4" max="4" width="6.7109375" style="3" customWidth="1"/>
    <col min="5" max="5" width="9.7109375" style="4" customWidth="1"/>
    <col min="6" max="6" width="8.85546875" style="5" customWidth="1"/>
    <col min="7" max="7" width="10.5703125" style="5" customWidth="1"/>
    <col min="8" max="16384" width="9.140625" style="2"/>
  </cols>
  <sheetData>
    <row r="1" spans="1:11" ht="15" customHeight="1"/>
    <row r="2" spans="1:11" s="6" customFormat="1" ht="15" customHeight="1">
      <c r="A2" s="91"/>
      <c r="B2" s="92"/>
      <c r="C2" s="828"/>
      <c r="D2" s="828"/>
      <c r="E2" s="828"/>
      <c r="F2" s="828"/>
      <c r="G2" s="828"/>
      <c r="H2" s="18"/>
      <c r="K2" s="18"/>
    </row>
    <row r="3" spans="1:11" s="6" customFormat="1" ht="15" customHeight="1">
      <c r="A3" s="93"/>
      <c r="B3" s="94"/>
      <c r="C3" s="829"/>
      <c r="D3" s="829"/>
      <c r="E3" s="829"/>
      <c r="F3" s="829"/>
      <c r="G3" s="829"/>
    </row>
    <row r="4" spans="1:11" ht="15" customHeight="1">
      <c r="A4" s="95"/>
      <c r="B4" s="96"/>
      <c r="C4" s="830"/>
      <c r="D4" s="830"/>
      <c r="E4" s="830"/>
      <c r="F4" s="830"/>
      <c r="G4" s="830"/>
    </row>
    <row r="5" spans="1:11" ht="15" customHeight="1" thickBot="1">
      <c r="H5" s="18"/>
    </row>
    <row r="6" spans="1:11" s="18" customFormat="1" ht="30" customHeight="1" thickTop="1" thickBot="1">
      <c r="A6" s="97"/>
      <c r="B6" s="831" t="s">
        <v>238</v>
      </c>
      <c r="C6" s="831"/>
      <c r="D6" s="98" t="s">
        <v>239</v>
      </c>
      <c r="E6" s="99" t="s">
        <v>240</v>
      </c>
      <c r="F6" s="100" t="s">
        <v>241</v>
      </c>
      <c r="G6" s="101" t="s">
        <v>242</v>
      </c>
      <c r="K6" s="2"/>
    </row>
    <row r="7" spans="1:11" s="10" customFormat="1" ht="4.5" customHeight="1" thickTop="1">
      <c r="A7" s="1"/>
      <c r="C7" s="1"/>
      <c r="D7" s="9"/>
      <c r="E7" s="11"/>
      <c r="F7" s="12"/>
      <c r="G7" s="13"/>
    </row>
    <row r="8" spans="1:11" s="10" customFormat="1" ht="25.15" customHeight="1">
      <c r="A8" s="102"/>
      <c r="B8" s="821" t="s">
        <v>223</v>
      </c>
      <c r="C8" s="821"/>
      <c r="D8" s="103"/>
      <c r="E8" s="104"/>
      <c r="F8" s="105"/>
      <c r="G8" s="106">
        <f>SUM(G9:G10)</f>
        <v>0</v>
      </c>
      <c r="H8" s="2"/>
    </row>
    <row r="9" spans="1:11" s="10" customFormat="1" ht="25.15" customHeight="1">
      <c r="A9" s="65"/>
      <c r="B9" s="826"/>
      <c r="C9" s="826"/>
      <c r="D9" s="80"/>
      <c r="E9" s="78"/>
      <c r="F9" s="47"/>
      <c r="G9" s="48">
        <f>+F9*E9</f>
        <v>0</v>
      </c>
      <c r="H9" s="2"/>
    </row>
    <row r="10" spans="1:11" s="10" customFormat="1" ht="25.15" customHeight="1">
      <c r="A10" s="81"/>
      <c r="B10" s="824"/>
      <c r="C10" s="824"/>
      <c r="D10" s="82"/>
      <c r="E10" s="79"/>
      <c r="F10" s="57"/>
      <c r="G10" s="58">
        <f>+F10*E10</f>
        <v>0</v>
      </c>
    </row>
    <row r="11" spans="1:11" s="10" customFormat="1" ht="25.15" customHeight="1">
      <c r="A11" s="102"/>
      <c r="B11" s="821" t="s">
        <v>224</v>
      </c>
      <c r="C11" s="821"/>
      <c r="D11" s="107"/>
      <c r="E11" s="108"/>
      <c r="F11" s="109"/>
      <c r="G11" s="106">
        <f>SUM(G12:G14)</f>
        <v>0</v>
      </c>
      <c r="H11" s="2"/>
    </row>
    <row r="12" spans="1:11" s="10" customFormat="1" ht="25.15" customHeight="1">
      <c r="A12" s="65"/>
      <c r="B12" s="826"/>
      <c r="C12" s="826"/>
      <c r="D12" s="45"/>
      <c r="E12" s="66"/>
      <c r="F12" s="47"/>
      <c r="G12" s="48">
        <f>+F12*E12</f>
        <v>0</v>
      </c>
    </row>
    <row r="13" spans="1:11" s="10" customFormat="1" ht="25.15" customHeight="1">
      <c r="A13" s="85"/>
      <c r="B13" s="825"/>
      <c r="C13" s="825"/>
      <c r="D13" s="50"/>
      <c r="E13" s="68"/>
      <c r="F13" s="52"/>
      <c r="G13" s="53">
        <f>+F13*E13</f>
        <v>0</v>
      </c>
    </row>
    <row r="14" spans="1:11" s="10" customFormat="1" ht="25.15" customHeight="1">
      <c r="A14" s="81"/>
      <c r="B14" s="824"/>
      <c r="C14" s="824"/>
      <c r="D14" s="55"/>
      <c r="E14" s="110"/>
      <c r="F14" s="57"/>
      <c r="G14" s="58">
        <f>+F14*E14</f>
        <v>0</v>
      </c>
    </row>
    <row r="15" spans="1:11" s="10" customFormat="1" ht="25.15" customHeight="1">
      <c r="A15" s="102"/>
      <c r="B15" s="821" t="s">
        <v>243</v>
      </c>
      <c r="C15" s="821"/>
      <c r="D15" s="107"/>
      <c r="E15" s="108"/>
      <c r="F15" s="109"/>
      <c r="G15" s="106">
        <f>SUM(G16:G17)</f>
        <v>0</v>
      </c>
    </row>
    <row r="16" spans="1:11" s="10" customFormat="1" ht="25.15" customHeight="1">
      <c r="A16" s="65"/>
      <c r="B16" s="826"/>
      <c r="C16" s="826"/>
      <c r="D16" s="45"/>
      <c r="E16" s="66"/>
      <c r="F16" s="47"/>
      <c r="G16" s="48">
        <f>+F16*E16</f>
        <v>0</v>
      </c>
    </row>
    <row r="17" spans="1:7" s="10" customFormat="1" ht="25.15" customHeight="1" thickBot="1">
      <c r="A17" s="67"/>
      <c r="B17" s="827"/>
      <c r="C17" s="827"/>
      <c r="D17" s="60"/>
      <c r="E17" s="74"/>
      <c r="F17" s="62"/>
      <c r="G17" s="63">
        <f>+F17*E17</f>
        <v>0</v>
      </c>
    </row>
    <row r="18" spans="1:7" ht="25.15" customHeight="1" thickTop="1" thickBot="1">
      <c r="E18" s="822" t="s">
        <v>258</v>
      </c>
      <c r="F18" s="822"/>
      <c r="G18" s="64">
        <f>ROUND(SUM(G8+G11+G15),2)</f>
        <v>0</v>
      </c>
    </row>
    <row r="19" spans="1:7" ht="25.15" customHeight="1" thickTop="1" thickBot="1">
      <c r="E19" s="111" t="s">
        <v>125</v>
      </c>
      <c r="F19" s="112">
        <v>0.25</v>
      </c>
      <c r="G19" s="24">
        <f>G18*F19</f>
        <v>0</v>
      </c>
    </row>
    <row r="20" spans="1:7" ht="25.15" customHeight="1" thickTop="1" thickBot="1">
      <c r="E20" s="823" t="s">
        <v>259</v>
      </c>
      <c r="F20" s="823"/>
      <c r="G20" s="24">
        <f>ROUND(SUM(G18:G19),2)</f>
        <v>0</v>
      </c>
    </row>
    <row r="21" spans="1:7" ht="15" customHeight="1" thickTop="1"/>
    <row r="22" spans="1:7" ht="15" customHeight="1"/>
    <row r="23" spans="1:7" ht="15" customHeight="1"/>
    <row r="24" spans="1:7" ht="15" customHeight="1">
      <c r="C24" s="113" t="s">
        <v>260</v>
      </c>
      <c r="F24" s="820" t="s">
        <v>261</v>
      </c>
      <c r="G24" s="820"/>
    </row>
    <row r="25" spans="1:7" ht="25.15" customHeight="1">
      <c r="C25" s="113" t="s">
        <v>262</v>
      </c>
      <c r="F25" s="820" t="s">
        <v>263</v>
      </c>
      <c r="G25" s="820"/>
    </row>
    <row r="26" spans="1:7" ht="15" customHeight="1">
      <c r="F26" s="2"/>
      <c r="G26" s="2"/>
    </row>
  </sheetData>
  <sheetProtection selectLockedCells="1"/>
  <mergeCells count="18">
    <mergeCell ref="B9:C9"/>
    <mergeCell ref="B16:C16"/>
    <mergeCell ref="B17:C17"/>
    <mergeCell ref="C2:G2"/>
    <mergeCell ref="C3:G3"/>
    <mergeCell ref="C4:G4"/>
    <mergeCell ref="B8:C8"/>
    <mergeCell ref="B6:C6"/>
    <mergeCell ref="B10:C10"/>
    <mergeCell ref="B12:C12"/>
    <mergeCell ref="F25:G25"/>
    <mergeCell ref="B11:C11"/>
    <mergeCell ref="B15:C15"/>
    <mergeCell ref="F24:G24"/>
    <mergeCell ref="E18:F18"/>
    <mergeCell ref="E20:F20"/>
    <mergeCell ref="B14:C14"/>
    <mergeCell ref="B13:C13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94" orientation="portrait" r:id="rId1"/>
  <headerFooter alignWithMargins="0">
    <oddHeader>&amp;L&amp;8PERUŠIĆ d.o.o.&amp;C&amp;8ODRŽAVANJE OBJEKATA U VLASNIŠTVU I SUVLASNIŠTVU
&amp;R&amp;8&amp;D</oddHeader>
    <oddFooter>&amp;L&amp;8&amp;F&amp;C&amp;8&amp;A&amp;R&amp;8&amp;P /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0"/>
  </sheetPr>
  <dimension ref="A1:I34"/>
  <sheetViews>
    <sheetView showZeros="0" tabSelected="1" view="pageLayout" zoomScaleNormal="100" zoomScaleSheetLayoutView="115" workbookViewId="0">
      <selection activeCell="C33" sqref="C33:C34"/>
    </sheetView>
  </sheetViews>
  <sheetFormatPr defaultColWidth="9.28515625" defaultRowHeight="15"/>
  <cols>
    <col min="1" max="1" width="6.28515625" style="177" customWidth="1"/>
    <col min="2" max="2" width="13.85546875" style="121" customWidth="1"/>
    <col min="3" max="3" width="20.7109375" style="121" customWidth="1"/>
    <col min="4" max="4" width="12.7109375" style="178" customWidth="1"/>
    <col min="5" max="5" width="9.28515625" style="120" customWidth="1"/>
    <col min="6" max="6" width="12.7109375" style="120" customWidth="1"/>
    <col min="7" max="7" width="9.28515625" style="120" customWidth="1"/>
    <col min="8" max="16384" width="9.28515625" style="121"/>
  </cols>
  <sheetData>
    <row r="1" spans="1:9" ht="19.899999999999999" customHeight="1">
      <c r="A1" s="832" t="s">
        <v>264</v>
      </c>
      <c r="B1" s="832"/>
      <c r="C1" s="832"/>
      <c r="D1" s="832"/>
      <c r="E1" s="832"/>
      <c r="F1" s="832"/>
    </row>
    <row r="2" spans="1:9" ht="54.75" customHeight="1" thickBot="1">
      <c r="A2" s="122"/>
      <c r="B2" s="122"/>
      <c r="C2" s="122"/>
      <c r="D2" s="122"/>
      <c r="E2" s="122"/>
      <c r="F2" s="122"/>
    </row>
    <row r="3" spans="1:9" ht="15.75" hidden="1" customHeight="1" thickBot="1">
      <c r="A3" s="123"/>
      <c r="B3" s="123"/>
      <c r="C3" s="124" t="s">
        <v>265</v>
      </c>
      <c r="D3" s="125">
        <v>4530</v>
      </c>
      <c r="E3" s="123"/>
      <c r="F3" s="123"/>
    </row>
    <row r="4" spans="1:9" ht="6.75" hidden="1" customHeight="1" thickBot="1">
      <c r="A4" s="126"/>
      <c r="B4" s="127"/>
      <c r="C4" s="128" t="s">
        <v>266</v>
      </c>
      <c r="D4" s="129">
        <v>416</v>
      </c>
      <c r="E4" s="127"/>
      <c r="F4" s="130"/>
    </row>
    <row r="5" spans="1:9" ht="15" hidden="1" customHeight="1" thickBot="1">
      <c r="A5" s="126"/>
      <c r="B5" s="127"/>
      <c r="C5" s="131" t="s">
        <v>267</v>
      </c>
      <c r="D5" s="132">
        <v>174</v>
      </c>
      <c r="E5" s="130"/>
      <c r="F5" s="130"/>
    </row>
    <row r="6" spans="1:9" ht="25.5" hidden="1" customHeight="1" thickBot="1">
      <c r="A6" s="126"/>
      <c r="B6" s="127"/>
      <c r="C6" s="133" t="s">
        <v>268</v>
      </c>
      <c r="D6" s="129">
        <v>3.2</v>
      </c>
      <c r="E6" s="130"/>
      <c r="F6" s="130"/>
    </row>
    <row r="7" spans="1:9" ht="21" hidden="1" customHeight="1" thickBot="1">
      <c r="A7" s="126"/>
      <c r="B7" s="127"/>
      <c r="C7" s="133" t="s">
        <v>269</v>
      </c>
      <c r="D7" s="134">
        <v>0.25</v>
      </c>
      <c r="E7" s="135"/>
      <c r="F7" s="127"/>
      <c r="H7" s="120"/>
      <c r="I7" s="120"/>
    </row>
    <row r="8" spans="1:9" ht="24" hidden="1" customHeight="1" thickBot="1">
      <c r="A8" s="126"/>
      <c r="B8" s="127"/>
      <c r="C8" s="128" t="s">
        <v>270</v>
      </c>
      <c r="D8" s="136" t="s">
        <v>15</v>
      </c>
      <c r="E8" s="135"/>
      <c r="F8" s="127"/>
      <c r="H8" s="120"/>
      <c r="I8" s="120"/>
    </row>
    <row r="9" spans="1:9" ht="56.25" hidden="1" customHeight="1" thickBot="1">
      <c r="A9" s="126"/>
      <c r="B9" s="137"/>
      <c r="C9" s="138" t="s">
        <v>271</v>
      </c>
      <c r="D9" s="139">
        <v>8</v>
      </c>
      <c r="E9" s="130"/>
      <c r="F9" s="130"/>
    </row>
    <row r="10" spans="1:9" s="145" customFormat="1" ht="45" customHeight="1" thickBot="1">
      <c r="A10" s="140" t="s">
        <v>272</v>
      </c>
      <c r="B10" s="141" t="s">
        <v>273</v>
      </c>
      <c r="C10" s="142" t="s">
        <v>274</v>
      </c>
      <c r="D10" s="143" t="s">
        <v>275</v>
      </c>
      <c r="E10" s="144" t="s">
        <v>276</v>
      </c>
      <c r="F10" s="143" t="s">
        <v>277</v>
      </c>
      <c r="G10" s="120"/>
    </row>
    <row r="11" spans="1:9" ht="15" customHeight="1">
      <c r="A11" s="146" t="s">
        <v>13</v>
      </c>
      <c r="B11" s="605">
        <v>1.5</v>
      </c>
      <c r="C11" s="615" t="s">
        <v>818</v>
      </c>
      <c r="D11" s="148">
        <f t="shared" ref="D11:D16" si="0">ROUND(($D$3*B11+$D$4)/$D$5*$D$6,2)</f>
        <v>132.62</v>
      </c>
      <c r="E11" s="149">
        <f t="shared" ref="E11:E17" si="1">ROUND(D11*$D$7,2)</f>
        <v>33.159999999999997</v>
      </c>
      <c r="F11" s="150">
        <f t="shared" ref="F11:F17" si="2">ROUND(SUM(D11:E11),2)</f>
        <v>165.78</v>
      </c>
    </row>
    <row r="12" spans="1:9" s="156" customFormat="1" ht="15" customHeight="1">
      <c r="A12" s="151" t="s">
        <v>17</v>
      </c>
      <c r="B12" s="606">
        <v>1.45</v>
      </c>
      <c r="C12" s="616" t="s">
        <v>819</v>
      </c>
      <c r="D12" s="153">
        <f t="shared" si="0"/>
        <v>128.44999999999999</v>
      </c>
      <c r="E12" s="154">
        <f t="shared" si="1"/>
        <v>32.11</v>
      </c>
      <c r="F12" s="155">
        <f t="shared" si="2"/>
        <v>160.56</v>
      </c>
      <c r="G12" s="120"/>
    </row>
    <row r="13" spans="1:9" ht="15" customHeight="1">
      <c r="A13" s="151" t="s">
        <v>68</v>
      </c>
      <c r="B13" s="606">
        <v>1.5</v>
      </c>
      <c r="C13" s="617" t="s">
        <v>817</v>
      </c>
      <c r="D13" s="153">
        <f t="shared" si="0"/>
        <v>132.62</v>
      </c>
      <c r="E13" s="154">
        <f t="shared" si="1"/>
        <v>33.159999999999997</v>
      </c>
      <c r="F13" s="155">
        <f t="shared" si="2"/>
        <v>165.78</v>
      </c>
    </row>
    <row r="14" spans="1:9" ht="15" customHeight="1">
      <c r="A14" s="151" t="s">
        <v>77</v>
      </c>
      <c r="B14" s="606">
        <v>0.85</v>
      </c>
      <c r="C14" s="617" t="s">
        <v>821</v>
      </c>
      <c r="D14" s="153">
        <f t="shared" si="0"/>
        <v>78.459999999999994</v>
      </c>
      <c r="E14" s="154">
        <f t="shared" si="1"/>
        <v>19.62</v>
      </c>
      <c r="F14" s="155">
        <f t="shared" si="2"/>
        <v>98.08</v>
      </c>
    </row>
    <row r="15" spans="1:9" ht="15" customHeight="1">
      <c r="A15" s="151" t="s">
        <v>92</v>
      </c>
      <c r="B15" s="606">
        <v>0.65</v>
      </c>
      <c r="C15" s="617" t="s">
        <v>821</v>
      </c>
      <c r="D15" s="153">
        <f t="shared" si="0"/>
        <v>61.8</v>
      </c>
      <c r="E15" s="154">
        <f t="shared" si="1"/>
        <v>15.45</v>
      </c>
      <c r="F15" s="155">
        <f t="shared" si="2"/>
        <v>77.25</v>
      </c>
    </row>
    <row r="16" spans="1:9" ht="15" customHeight="1">
      <c r="A16" s="151" t="s">
        <v>87</v>
      </c>
      <c r="B16" s="606">
        <v>0.5</v>
      </c>
      <c r="C16" s="617" t="s">
        <v>822</v>
      </c>
      <c r="D16" s="153">
        <f t="shared" si="0"/>
        <v>49.31</v>
      </c>
      <c r="E16" s="154">
        <f t="shared" si="1"/>
        <v>12.33</v>
      </c>
      <c r="F16" s="155">
        <f t="shared" si="2"/>
        <v>61.64</v>
      </c>
    </row>
    <row r="17" spans="1:6" ht="15" customHeight="1" thickBot="1">
      <c r="A17" s="157" t="s">
        <v>96</v>
      </c>
      <c r="B17" s="607">
        <v>1.4</v>
      </c>
      <c r="C17" s="617" t="s">
        <v>873</v>
      </c>
      <c r="D17" s="159">
        <f>ROUND(($D$3*B17+$D$4)/$D$5*$D$6,2)</f>
        <v>124.29</v>
      </c>
      <c r="E17" s="160">
        <f t="shared" si="1"/>
        <v>31.07</v>
      </c>
      <c r="F17" s="161">
        <f t="shared" si="2"/>
        <v>155.36000000000001</v>
      </c>
    </row>
    <row r="18" spans="1:6" ht="15" customHeight="1" thickBot="1">
      <c r="A18" s="162"/>
      <c r="B18" s="163"/>
      <c r="C18" s="164"/>
      <c r="D18" s="165"/>
      <c r="E18" s="166"/>
      <c r="F18" s="167"/>
    </row>
    <row r="19" spans="1:6" ht="15" customHeight="1" thickBot="1">
      <c r="A19" s="146" t="s">
        <v>104</v>
      </c>
      <c r="B19" s="147">
        <v>1.1499999999999999</v>
      </c>
      <c r="C19" s="618" t="s">
        <v>874</v>
      </c>
      <c r="D19" s="153">
        <f>ROUND(($D$3*B19+$D$4)/$D$5*$D$6,2)</f>
        <v>103.46</v>
      </c>
      <c r="E19" s="154">
        <f>ROUND(D19*$D$7,2)</f>
        <v>25.87</v>
      </c>
      <c r="F19" s="155">
        <f>ROUND(SUM(D19:E19),2)</f>
        <v>129.33000000000001</v>
      </c>
    </row>
    <row r="20" spans="1:6" ht="15" customHeight="1" thickBot="1">
      <c r="A20" s="151" t="s">
        <v>108</v>
      </c>
      <c r="B20" s="147">
        <v>1.2</v>
      </c>
      <c r="C20" s="618" t="s">
        <v>875</v>
      </c>
      <c r="D20" s="153">
        <f>ROUND(($D$3*B20+$D$4)/$D$5*$D$6,2)</f>
        <v>107.62</v>
      </c>
      <c r="E20" s="154">
        <f>ROUND(D20*$D$7,2)</f>
        <v>26.91</v>
      </c>
      <c r="F20" s="155">
        <f>ROUND(SUM(D20:E20),2)</f>
        <v>134.53</v>
      </c>
    </row>
    <row r="21" spans="1:6" ht="15" customHeight="1">
      <c r="A21" s="151" t="s">
        <v>112</v>
      </c>
      <c r="B21" s="147">
        <v>1.7</v>
      </c>
      <c r="C21" s="618" t="s">
        <v>278</v>
      </c>
      <c r="D21" s="153">
        <f>ROUND(($D$3*B21+$D$4)/$D$5*$D$6,2)</f>
        <v>149.28</v>
      </c>
      <c r="E21" s="154">
        <f>ROUND(D21*$D$7,2)</f>
        <v>37.32</v>
      </c>
      <c r="F21" s="155">
        <f>ROUND(SUM(D21:E21),2)</f>
        <v>186.6</v>
      </c>
    </row>
    <row r="22" spans="1:6" ht="15" customHeight="1">
      <c r="A22" s="151" t="s">
        <v>117</v>
      </c>
      <c r="B22" s="152">
        <v>2.4</v>
      </c>
      <c r="C22" s="619" t="s">
        <v>280</v>
      </c>
      <c r="D22" s="153">
        <f>ROUND(($D$3*B22+$D$4)/$D$5*$D$6,2)</f>
        <v>207.6</v>
      </c>
      <c r="E22" s="154">
        <f>ROUND(D22*$D$7,2)</f>
        <v>51.9</v>
      </c>
      <c r="F22" s="155">
        <f>ROUND(SUM(D22:E22),2)</f>
        <v>259.5</v>
      </c>
    </row>
    <row r="23" spans="1:6" ht="15" customHeight="1">
      <c r="A23" s="151" t="s">
        <v>279</v>
      </c>
      <c r="B23" s="152">
        <v>2.7</v>
      </c>
      <c r="C23" s="619" t="s">
        <v>282</v>
      </c>
      <c r="D23" s="153">
        <f>ROUND(($D$3*B23+$D$4)/$D$5*$D$6,2)</f>
        <v>232.59</v>
      </c>
      <c r="E23" s="154">
        <f>ROUND(D23*$D$7,2)</f>
        <v>58.15</v>
      </c>
      <c r="F23" s="155">
        <f>ROUND(SUM(D23:E23),2)</f>
        <v>290.74</v>
      </c>
    </row>
    <row r="24" spans="1:6" ht="15" customHeight="1" thickBot="1">
      <c r="A24" s="157" t="s">
        <v>281</v>
      </c>
      <c r="B24" s="158">
        <v>1.65</v>
      </c>
      <c r="C24" s="884" t="s">
        <v>1084</v>
      </c>
      <c r="D24" s="159">
        <f>ROUND(($D$3*B24+$D$4)/$D$5*$D$6,2)</f>
        <v>145.11000000000001</v>
      </c>
      <c r="E24" s="160">
        <f>ROUND(D24*$D$7,2)</f>
        <v>36.28</v>
      </c>
      <c r="F24" s="161">
        <f>ROUND(SUM(D24:E24),2)</f>
        <v>181.39</v>
      </c>
    </row>
    <row r="25" spans="1:6" ht="15" customHeight="1" thickBot="1">
      <c r="A25" s="162"/>
      <c r="B25" s="164"/>
      <c r="C25" s="164"/>
      <c r="D25" s="168"/>
      <c r="E25" s="164"/>
      <c r="F25" s="169"/>
    </row>
    <row r="26" spans="1:6" ht="15" customHeight="1" thickBot="1">
      <c r="A26" s="170" t="s">
        <v>283</v>
      </c>
      <c r="B26" s="171"/>
      <c r="C26" s="172"/>
      <c r="D26" s="173"/>
      <c r="E26" s="174">
        <f>ROUND(D26*$D$7,2)</f>
        <v>0</v>
      </c>
      <c r="F26" s="175">
        <f>ROUND(SUM(D26:E26),2)</f>
        <v>0</v>
      </c>
    </row>
    <row r="27" spans="1:6">
      <c r="A27" s="176"/>
      <c r="B27" s="176"/>
      <c r="C27" s="176"/>
      <c r="D27" s="176"/>
      <c r="E27" s="176"/>
      <c r="F27" s="176"/>
    </row>
    <row r="29" spans="1:6">
      <c r="B29" s="642" t="s">
        <v>260</v>
      </c>
      <c r="C29" s="600"/>
      <c r="F29" s="642" t="s">
        <v>261</v>
      </c>
    </row>
    <row r="30" spans="1:6">
      <c r="B30" s="439"/>
      <c r="C30" s="439"/>
      <c r="F30" s="439"/>
    </row>
    <row r="31" spans="1:6" ht="22.5">
      <c r="B31" s="439" t="s">
        <v>885</v>
      </c>
      <c r="C31" s="439"/>
      <c r="F31" s="439" t="s">
        <v>886</v>
      </c>
    </row>
    <row r="33" spans="3:3">
      <c r="C33" s="121" t="s">
        <v>1085</v>
      </c>
    </row>
    <row r="34" spans="3:3">
      <c r="C34" s="121">
        <v>5</v>
      </c>
    </row>
  </sheetData>
  <sheetProtection selectLockedCells="1"/>
  <mergeCells count="1">
    <mergeCell ref="A1:F1"/>
  </mergeCells>
  <phoneticPr fontId="8" type="noConversion"/>
  <pageMargins left="0.98425196850393704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>&amp;L&amp;8PERUŠIĆ d.o.o.</oddHeader>
    <oddFooter>&amp;L&amp;8&amp;F&amp;C&amp;8&amp;A&amp;R&amp;8&amp;P /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0"/>
  </sheetPr>
  <dimension ref="A1:E462"/>
  <sheetViews>
    <sheetView showZeros="0" view="pageLayout" topLeftCell="A215" zoomScaleNormal="100" zoomScaleSheetLayoutView="115" workbookViewId="0">
      <selection activeCell="D228" sqref="D228"/>
    </sheetView>
  </sheetViews>
  <sheetFormatPr defaultRowHeight="12.75"/>
  <cols>
    <col min="1" max="1" width="6.7109375" style="87" customWidth="1"/>
    <col min="2" max="2" width="60.28515625" style="87" customWidth="1"/>
    <col min="3" max="3" width="8.7109375" style="87" customWidth="1"/>
    <col min="4" max="4" width="13.85546875" style="88" bestFit="1" customWidth="1"/>
    <col min="5" max="16384" width="9.140625" style="89"/>
  </cols>
  <sheetData>
    <row r="1" spans="1:5" ht="9.75" customHeight="1"/>
    <row r="2" spans="1:5" ht="9.75" customHeight="1"/>
    <row r="3" spans="1:5" ht="9.75" customHeight="1"/>
    <row r="4" spans="1:5" ht="9.75" customHeight="1"/>
    <row r="5" spans="1:5" ht="9.75" customHeight="1"/>
    <row r="6" spans="1:5" ht="9.75" customHeight="1"/>
    <row r="7" spans="1:5" ht="15.6" customHeight="1">
      <c r="A7" s="833" t="s">
        <v>726</v>
      </c>
      <c r="B7" s="833"/>
      <c r="C7" s="833"/>
      <c r="D7" s="833"/>
    </row>
    <row r="8" spans="1:5" ht="4.9000000000000004" customHeight="1" thickBot="1">
      <c r="A8" s="406"/>
      <c r="B8" s="406"/>
      <c r="C8" s="406"/>
      <c r="D8" s="407"/>
    </row>
    <row r="9" spans="1:5" s="90" customFormat="1" ht="39.75" customHeight="1">
      <c r="A9" s="710" t="s">
        <v>272</v>
      </c>
      <c r="B9" s="711" t="s">
        <v>284</v>
      </c>
      <c r="C9" s="476" t="s">
        <v>285</v>
      </c>
      <c r="D9" s="476" t="s">
        <v>286</v>
      </c>
    </row>
    <row r="10" spans="1:5" s="90" customFormat="1" ht="6.75" customHeight="1" thickBot="1">
      <c r="A10" s="219"/>
      <c r="B10" s="475"/>
      <c r="C10" s="477"/>
      <c r="D10" s="220"/>
    </row>
    <row r="11" spans="1:5">
      <c r="A11" s="583" t="s">
        <v>13</v>
      </c>
      <c r="B11" s="584" t="s">
        <v>660</v>
      </c>
      <c r="C11" s="585" t="s">
        <v>106</v>
      </c>
      <c r="D11" s="712">
        <v>3.93</v>
      </c>
      <c r="E11" s="89">
        <f>SUM(D11/25)</f>
        <v>0.15720000000000001</v>
      </c>
    </row>
    <row r="12" spans="1:5">
      <c r="A12" s="586" t="s">
        <v>17</v>
      </c>
      <c r="B12" s="587" t="s">
        <v>662</v>
      </c>
      <c r="C12" s="588" t="s">
        <v>106</v>
      </c>
      <c r="D12" s="713">
        <v>5.13</v>
      </c>
      <c r="E12" s="89">
        <f>SUM(D12/25)</f>
        <v>0.20519999999999999</v>
      </c>
    </row>
    <row r="13" spans="1:5">
      <c r="A13" s="586" t="s">
        <v>68</v>
      </c>
      <c r="B13" s="587" t="s">
        <v>663</v>
      </c>
      <c r="C13" s="588" t="s">
        <v>661</v>
      </c>
      <c r="D13" s="713">
        <v>14.06</v>
      </c>
    </row>
    <row r="14" spans="1:5">
      <c r="A14" s="586" t="s">
        <v>77</v>
      </c>
      <c r="B14" s="587" t="s">
        <v>664</v>
      </c>
      <c r="C14" s="588" t="s">
        <v>661</v>
      </c>
      <c r="D14" s="713">
        <v>4.8</v>
      </c>
    </row>
    <row r="15" spans="1:5">
      <c r="A15" s="586" t="s">
        <v>87</v>
      </c>
      <c r="B15" s="587" t="s">
        <v>999</v>
      </c>
      <c r="C15" s="588" t="s">
        <v>661</v>
      </c>
      <c r="D15" s="713">
        <v>4</v>
      </c>
    </row>
    <row r="16" spans="1:5">
      <c r="A16" s="586" t="s">
        <v>92</v>
      </c>
      <c r="B16" s="587" t="s">
        <v>835</v>
      </c>
      <c r="C16" s="588" t="s">
        <v>666</v>
      </c>
      <c r="D16" s="713">
        <v>18.36</v>
      </c>
    </row>
    <row r="17" spans="1:4">
      <c r="A17" s="586" t="s">
        <v>96</v>
      </c>
      <c r="B17" s="587" t="s">
        <v>667</v>
      </c>
      <c r="C17" s="588" t="s">
        <v>26</v>
      </c>
      <c r="D17" s="713">
        <v>68</v>
      </c>
    </row>
    <row r="18" spans="1:4">
      <c r="A18" s="586" t="s">
        <v>104</v>
      </c>
      <c r="B18" s="587" t="s">
        <v>835</v>
      </c>
      <c r="C18" s="588" t="s">
        <v>666</v>
      </c>
      <c r="D18" s="713">
        <v>19.36</v>
      </c>
    </row>
    <row r="19" spans="1:4">
      <c r="A19" s="586" t="s">
        <v>108</v>
      </c>
      <c r="B19" s="587" t="s">
        <v>1000</v>
      </c>
      <c r="C19" s="588" t="s">
        <v>379</v>
      </c>
      <c r="D19" s="713">
        <v>8.24</v>
      </c>
    </row>
    <row r="20" spans="1:4">
      <c r="A20" s="586" t="s">
        <v>112</v>
      </c>
      <c r="B20" s="587" t="s">
        <v>668</v>
      </c>
      <c r="C20" s="588" t="s">
        <v>32</v>
      </c>
      <c r="D20" s="713">
        <v>3.74</v>
      </c>
    </row>
    <row r="21" spans="1:4">
      <c r="A21" s="586" t="s">
        <v>117</v>
      </c>
      <c r="B21" s="587" t="s">
        <v>669</v>
      </c>
      <c r="C21" s="588" t="s">
        <v>661</v>
      </c>
      <c r="D21" s="713">
        <v>2.56</v>
      </c>
    </row>
    <row r="22" spans="1:4">
      <c r="A22" s="586" t="s">
        <v>279</v>
      </c>
      <c r="B22" s="587" t="s">
        <v>670</v>
      </c>
      <c r="C22" s="588" t="s">
        <v>661</v>
      </c>
      <c r="D22" s="713">
        <v>6.32</v>
      </c>
    </row>
    <row r="23" spans="1:4">
      <c r="A23" s="586" t="s">
        <v>281</v>
      </c>
      <c r="B23" s="589" t="s">
        <v>298</v>
      </c>
      <c r="C23" s="590" t="s">
        <v>21</v>
      </c>
      <c r="D23" s="591">
        <v>2000</v>
      </c>
    </row>
    <row r="24" spans="1:4">
      <c r="A24" s="586" t="s">
        <v>283</v>
      </c>
      <c r="B24" s="592" t="s">
        <v>300</v>
      </c>
      <c r="C24" s="593" t="s">
        <v>21</v>
      </c>
      <c r="D24" s="591">
        <v>5534</v>
      </c>
    </row>
    <row r="25" spans="1:4">
      <c r="A25" s="586" t="s">
        <v>290</v>
      </c>
      <c r="B25" s="592" t="s">
        <v>302</v>
      </c>
      <c r="C25" s="593" t="s">
        <v>21</v>
      </c>
      <c r="D25" s="591">
        <v>552.79999999999995</v>
      </c>
    </row>
    <row r="26" spans="1:4">
      <c r="A26" s="586" t="s">
        <v>292</v>
      </c>
      <c r="B26" s="592" t="s">
        <v>304</v>
      </c>
      <c r="C26" s="593" t="s">
        <v>21</v>
      </c>
      <c r="D26" s="591">
        <v>592.79999999999995</v>
      </c>
    </row>
    <row r="27" spans="1:4">
      <c r="A27" s="586" t="s">
        <v>293</v>
      </c>
      <c r="B27" s="592" t="s">
        <v>306</v>
      </c>
      <c r="C27" s="593" t="s">
        <v>21</v>
      </c>
      <c r="D27" s="591">
        <v>622.79999999999995</v>
      </c>
    </row>
    <row r="28" spans="1:4" ht="13.5" customHeight="1">
      <c r="A28" s="586" t="s">
        <v>294</v>
      </c>
      <c r="B28" s="594" t="s">
        <v>671</v>
      </c>
      <c r="C28" s="595" t="s">
        <v>672</v>
      </c>
      <c r="D28" s="714">
        <v>17.63</v>
      </c>
    </row>
    <row r="29" spans="1:4">
      <c r="A29" s="586" t="s">
        <v>295</v>
      </c>
      <c r="B29" s="587" t="s">
        <v>673</v>
      </c>
      <c r="C29" s="588" t="s">
        <v>672</v>
      </c>
      <c r="D29" s="713">
        <v>445.5</v>
      </c>
    </row>
    <row r="30" spans="1:4">
      <c r="A30" s="586" t="s">
        <v>296</v>
      </c>
      <c r="B30" s="594" t="s">
        <v>674</v>
      </c>
      <c r="C30" s="595" t="s">
        <v>672</v>
      </c>
      <c r="D30" s="714">
        <v>5.1100000000000003</v>
      </c>
    </row>
    <row r="31" spans="1:4">
      <c r="A31" s="596" t="s">
        <v>297</v>
      </c>
      <c r="B31" s="594" t="s">
        <v>675</v>
      </c>
      <c r="C31" s="595" t="s">
        <v>672</v>
      </c>
      <c r="D31" s="714">
        <v>13.7</v>
      </c>
    </row>
    <row r="32" spans="1:4">
      <c r="A32" s="586" t="s">
        <v>299</v>
      </c>
      <c r="B32" s="594" t="s">
        <v>676</v>
      </c>
      <c r="C32" s="595" t="s">
        <v>661</v>
      </c>
      <c r="D32" s="714">
        <v>24.04</v>
      </c>
    </row>
    <row r="33" spans="1:4">
      <c r="A33" s="586" t="s">
        <v>301</v>
      </c>
      <c r="B33" s="594" t="s">
        <v>677</v>
      </c>
      <c r="C33" s="595" t="s">
        <v>661</v>
      </c>
      <c r="D33" s="714">
        <v>44</v>
      </c>
    </row>
    <row r="34" spans="1:4">
      <c r="A34" s="586" t="s">
        <v>303</v>
      </c>
      <c r="B34" s="587" t="s">
        <v>678</v>
      </c>
      <c r="C34" s="588" t="s">
        <v>661</v>
      </c>
      <c r="D34" s="715">
        <v>1.2</v>
      </c>
    </row>
    <row r="35" spans="1:4">
      <c r="A35" s="586" t="s">
        <v>305</v>
      </c>
      <c r="B35" s="587" t="s">
        <v>679</v>
      </c>
      <c r="C35" s="588" t="s">
        <v>661</v>
      </c>
      <c r="D35" s="715">
        <v>0.12</v>
      </c>
    </row>
    <row r="36" spans="1:4">
      <c r="A36" s="586" t="s">
        <v>307</v>
      </c>
      <c r="B36" s="587" t="s">
        <v>680</v>
      </c>
      <c r="C36" s="588" t="s">
        <v>661</v>
      </c>
      <c r="D36" s="715">
        <v>0.08</v>
      </c>
    </row>
    <row r="37" spans="1:4">
      <c r="A37" s="586" t="s">
        <v>309</v>
      </c>
      <c r="B37" s="587" t="s">
        <v>681</v>
      </c>
      <c r="C37" s="588" t="s">
        <v>661</v>
      </c>
      <c r="D37" s="715">
        <v>15.57</v>
      </c>
    </row>
    <row r="38" spans="1:4">
      <c r="A38" s="586" t="s">
        <v>311</v>
      </c>
      <c r="B38" s="587" t="s">
        <v>682</v>
      </c>
      <c r="C38" s="588" t="s">
        <v>661</v>
      </c>
      <c r="D38" s="715">
        <v>4.74</v>
      </c>
    </row>
    <row r="39" spans="1:4">
      <c r="A39" s="586" t="s">
        <v>313</v>
      </c>
      <c r="B39" s="587" t="s">
        <v>683</v>
      </c>
      <c r="C39" s="588" t="s">
        <v>661</v>
      </c>
      <c r="D39" s="715">
        <v>3.38</v>
      </c>
    </row>
    <row r="40" spans="1:4">
      <c r="A40" s="586" t="s">
        <v>315</v>
      </c>
      <c r="B40" s="587" t="s">
        <v>684</v>
      </c>
      <c r="C40" s="588" t="s">
        <v>661</v>
      </c>
      <c r="D40" s="715">
        <v>1.81</v>
      </c>
    </row>
    <row r="41" spans="1:4">
      <c r="A41" s="586" t="s">
        <v>317</v>
      </c>
      <c r="B41" s="587" t="s">
        <v>685</v>
      </c>
      <c r="C41" s="588" t="s">
        <v>661</v>
      </c>
      <c r="D41" s="715">
        <v>0.8</v>
      </c>
    </row>
    <row r="42" spans="1:4">
      <c r="A42" s="586" t="s">
        <v>319</v>
      </c>
      <c r="B42" s="587" t="s">
        <v>686</v>
      </c>
      <c r="C42" s="588" t="s">
        <v>661</v>
      </c>
      <c r="D42" s="715">
        <v>0.33</v>
      </c>
    </row>
    <row r="43" spans="1:4">
      <c r="A43" s="586" t="s">
        <v>321</v>
      </c>
      <c r="B43" s="587" t="s">
        <v>687</v>
      </c>
      <c r="C43" s="588" t="s">
        <v>661</v>
      </c>
      <c r="D43" s="715">
        <v>37.69</v>
      </c>
    </row>
    <row r="44" spans="1:4">
      <c r="A44" s="586" t="s">
        <v>323</v>
      </c>
      <c r="B44" s="587" t="s">
        <v>688</v>
      </c>
      <c r="C44" s="588" t="s">
        <v>661</v>
      </c>
      <c r="D44" s="715">
        <v>95.76</v>
      </c>
    </row>
    <row r="45" spans="1:4">
      <c r="A45" s="586" t="s">
        <v>325</v>
      </c>
      <c r="B45" s="587" t="s">
        <v>689</v>
      </c>
      <c r="C45" s="588" t="s">
        <v>661</v>
      </c>
      <c r="D45" s="715">
        <v>4.4000000000000004</v>
      </c>
    </row>
    <row r="46" spans="1:4">
      <c r="A46" s="586" t="s">
        <v>327</v>
      </c>
      <c r="B46" s="587" t="s">
        <v>690</v>
      </c>
      <c r="C46" s="588" t="s">
        <v>661</v>
      </c>
      <c r="D46" s="715">
        <v>119.6</v>
      </c>
    </row>
    <row r="47" spans="1:4">
      <c r="A47" s="586" t="s">
        <v>329</v>
      </c>
      <c r="B47" s="587" t="s">
        <v>691</v>
      </c>
      <c r="C47" s="588" t="s">
        <v>661</v>
      </c>
      <c r="D47" s="715">
        <v>6.7</v>
      </c>
    </row>
    <row r="48" spans="1:4">
      <c r="A48" s="586" t="s">
        <v>331</v>
      </c>
      <c r="B48" s="587" t="s">
        <v>836</v>
      </c>
      <c r="C48" s="588" t="s">
        <v>661</v>
      </c>
      <c r="D48" s="715">
        <v>2.68</v>
      </c>
    </row>
    <row r="49" spans="1:4">
      <c r="A49" s="586" t="s">
        <v>333</v>
      </c>
      <c r="B49" s="587" t="s">
        <v>837</v>
      </c>
      <c r="C49" s="588" t="s">
        <v>661</v>
      </c>
      <c r="D49" s="715">
        <v>1.22</v>
      </c>
    </row>
    <row r="50" spans="1:4">
      <c r="A50" s="586" t="s">
        <v>335</v>
      </c>
      <c r="B50" s="587" t="s">
        <v>692</v>
      </c>
      <c r="C50" s="588" t="s">
        <v>661</v>
      </c>
      <c r="D50" s="715">
        <v>28</v>
      </c>
    </row>
    <row r="51" spans="1:4">
      <c r="A51" s="586" t="s">
        <v>337</v>
      </c>
      <c r="B51" s="587" t="s">
        <v>693</v>
      </c>
      <c r="C51" s="588" t="s">
        <v>661</v>
      </c>
      <c r="D51" s="715">
        <v>115.59</v>
      </c>
    </row>
    <row r="52" spans="1:4">
      <c r="A52" s="586" t="s">
        <v>339</v>
      </c>
      <c r="B52" s="587" t="s">
        <v>694</v>
      </c>
      <c r="C52" s="588" t="s">
        <v>661</v>
      </c>
      <c r="D52" s="715">
        <v>16</v>
      </c>
    </row>
    <row r="53" spans="1:4">
      <c r="A53" s="586" t="s">
        <v>341</v>
      </c>
      <c r="B53" s="587" t="s">
        <v>695</v>
      </c>
      <c r="C53" s="588" t="s">
        <v>661</v>
      </c>
      <c r="D53" s="715">
        <v>9.6</v>
      </c>
    </row>
    <row r="54" spans="1:4">
      <c r="A54" s="586" t="s">
        <v>343</v>
      </c>
      <c r="B54" s="587" t="s">
        <v>696</v>
      </c>
      <c r="C54" s="588" t="s">
        <v>661</v>
      </c>
      <c r="D54" s="715">
        <v>32.799999999999997</v>
      </c>
    </row>
    <row r="55" spans="1:4" ht="12.75" customHeight="1">
      <c r="A55" s="586" t="s">
        <v>345</v>
      </c>
      <c r="B55" s="587" t="s">
        <v>697</v>
      </c>
      <c r="C55" s="588" t="s">
        <v>661</v>
      </c>
      <c r="D55" s="715">
        <v>45.13</v>
      </c>
    </row>
    <row r="56" spans="1:4">
      <c r="A56" s="586" t="s">
        <v>347</v>
      </c>
      <c r="B56" s="587" t="s">
        <v>838</v>
      </c>
      <c r="C56" s="588" t="s">
        <v>661</v>
      </c>
      <c r="D56" s="715">
        <v>19.88</v>
      </c>
    </row>
    <row r="57" spans="1:4">
      <c r="A57" s="586" t="s">
        <v>349</v>
      </c>
      <c r="B57" s="587" t="s">
        <v>698</v>
      </c>
      <c r="C57" s="588" t="s">
        <v>661</v>
      </c>
      <c r="D57" s="715">
        <v>4.8</v>
      </c>
    </row>
    <row r="58" spans="1:4">
      <c r="A58" s="586" t="s">
        <v>351</v>
      </c>
      <c r="B58" s="587" t="s">
        <v>699</v>
      </c>
      <c r="C58" s="588" t="s">
        <v>661</v>
      </c>
      <c r="D58" s="715">
        <v>0.2</v>
      </c>
    </row>
    <row r="59" spans="1:4">
      <c r="A59" s="586" t="s">
        <v>353</v>
      </c>
      <c r="B59" s="587" t="s">
        <v>700</v>
      </c>
      <c r="C59" s="588" t="s">
        <v>661</v>
      </c>
      <c r="D59" s="715">
        <v>0.76</v>
      </c>
    </row>
    <row r="60" spans="1:4">
      <c r="A60" s="586" t="s">
        <v>354</v>
      </c>
      <c r="B60" s="587" t="s">
        <v>701</v>
      </c>
      <c r="C60" s="588" t="s">
        <v>661</v>
      </c>
      <c r="D60" s="715">
        <v>240</v>
      </c>
    </row>
    <row r="61" spans="1:4">
      <c r="A61" s="586" t="s">
        <v>355</v>
      </c>
      <c r="B61" s="587" t="s">
        <v>702</v>
      </c>
      <c r="C61" s="588" t="s">
        <v>703</v>
      </c>
      <c r="D61" s="715">
        <v>72.25</v>
      </c>
    </row>
    <row r="62" spans="1:4">
      <c r="A62" s="586" t="s">
        <v>357</v>
      </c>
      <c r="B62" s="587" t="s">
        <v>704</v>
      </c>
      <c r="C62" s="588" t="s">
        <v>661</v>
      </c>
      <c r="D62" s="715">
        <v>10</v>
      </c>
    </row>
    <row r="63" spans="1:4">
      <c r="A63" s="586" t="s">
        <v>359</v>
      </c>
      <c r="B63" s="587" t="s">
        <v>839</v>
      </c>
      <c r="C63" s="588" t="s">
        <v>661</v>
      </c>
      <c r="D63" s="715">
        <v>0.24</v>
      </c>
    </row>
    <row r="64" spans="1:4">
      <c r="A64" s="586" t="s">
        <v>361</v>
      </c>
      <c r="B64" s="587" t="s">
        <v>705</v>
      </c>
      <c r="C64" s="588" t="s">
        <v>661</v>
      </c>
      <c r="D64" s="715">
        <v>428</v>
      </c>
    </row>
    <row r="65" spans="1:4">
      <c r="A65" s="586" t="s">
        <v>362</v>
      </c>
      <c r="B65" s="587" t="s">
        <v>706</v>
      </c>
      <c r="C65" s="588" t="s">
        <v>661</v>
      </c>
      <c r="D65" s="715">
        <v>2.8</v>
      </c>
    </row>
    <row r="66" spans="1:4">
      <c r="A66" s="586" t="s">
        <v>363</v>
      </c>
      <c r="B66" s="587" t="s">
        <v>840</v>
      </c>
      <c r="C66" s="588" t="s">
        <v>661</v>
      </c>
      <c r="D66" s="715">
        <v>14.87</v>
      </c>
    </row>
    <row r="67" spans="1:4">
      <c r="A67" s="586" t="s">
        <v>365</v>
      </c>
      <c r="B67" s="587" t="s">
        <v>840</v>
      </c>
      <c r="C67" s="588" t="s">
        <v>661</v>
      </c>
      <c r="D67" s="715">
        <v>15.6</v>
      </c>
    </row>
    <row r="68" spans="1:4">
      <c r="A68" s="586" t="s">
        <v>367</v>
      </c>
      <c r="B68" s="587" t="s">
        <v>841</v>
      </c>
      <c r="C68" s="588" t="s">
        <v>661</v>
      </c>
      <c r="D68" s="715">
        <v>24.8</v>
      </c>
    </row>
    <row r="69" spans="1:4">
      <c r="A69" s="586" t="s">
        <v>369</v>
      </c>
      <c r="B69" s="587" t="s">
        <v>708</v>
      </c>
      <c r="C69" s="588" t="s">
        <v>661</v>
      </c>
      <c r="D69" s="715">
        <v>9.6</v>
      </c>
    </row>
    <row r="70" spans="1:4">
      <c r="A70" s="586" t="s">
        <v>371</v>
      </c>
      <c r="B70" s="587" t="s">
        <v>709</v>
      </c>
      <c r="C70" s="588" t="s">
        <v>661</v>
      </c>
      <c r="D70" s="715">
        <v>34</v>
      </c>
    </row>
    <row r="71" spans="1:4">
      <c r="A71" s="586" t="s">
        <v>373</v>
      </c>
      <c r="B71" s="587" t="s">
        <v>710</v>
      </c>
      <c r="C71" s="588" t="s">
        <v>661</v>
      </c>
      <c r="D71" s="715">
        <v>0.1</v>
      </c>
    </row>
    <row r="72" spans="1:4">
      <c r="A72" s="586" t="s">
        <v>375</v>
      </c>
      <c r="B72" s="587" t="s">
        <v>711</v>
      </c>
      <c r="C72" s="588" t="s">
        <v>661</v>
      </c>
      <c r="D72" s="715">
        <v>0.14000000000000001</v>
      </c>
    </row>
    <row r="73" spans="1:4" hidden="1">
      <c r="A73" s="597">
        <v>0</v>
      </c>
      <c r="B73" s="587" t="s">
        <v>712</v>
      </c>
      <c r="C73" s="588" t="s">
        <v>661</v>
      </c>
      <c r="D73" s="715">
        <v>5.2</v>
      </c>
    </row>
    <row r="74" spans="1:4">
      <c r="A74" s="586" t="s">
        <v>377</v>
      </c>
      <c r="B74" s="587" t="s">
        <v>713</v>
      </c>
      <c r="C74" s="588" t="s">
        <v>661</v>
      </c>
      <c r="D74" s="715">
        <v>11.12</v>
      </c>
    </row>
    <row r="75" spans="1:4">
      <c r="A75" s="586" t="s">
        <v>380</v>
      </c>
      <c r="B75" s="587" t="s">
        <v>714</v>
      </c>
      <c r="C75" s="588" t="s">
        <v>661</v>
      </c>
      <c r="D75" s="715">
        <v>4.8</v>
      </c>
    </row>
    <row r="76" spans="1:4" hidden="1">
      <c r="A76" s="597">
        <v>0</v>
      </c>
      <c r="B76" s="587" t="s">
        <v>715</v>
      </c>
      <c r="C76" s="595" t="s">
        <v>661</v>
      </c>
      <c r="D76" s="716">
        <v>114.8</v>
      </c>
    </row>
    <row r="77" spans="1:4">
      <c r="A77" s="586" t="s">
        <v>381</v>
      </c>
      <c r="B77" s="587" t="s">
        <v>842</v>
      </c>
      <c r="C77" s="588" t="s">
        <v>106</v>
      </c>
      <c r="D77" s="715">
        <v>10.28</v>
      </c>
    </row>
    <row r="78" spans="1:4">
      <c r="A78" s="586" t="s">
        <v>383</v>
      </c>
      <c r="B78" s="587" t="s">
        <v>843</v>
      </c>
      <c r="C78" s="588" t="s">
        <v>106</v>
      </c>
      <c r="D78" s="715">
        <v>10</v>
      </c>
    </row>
    <row r="79" spans="1:4">
      <c r="A79" s="586" t="s">
        <v>385</v>
      </c>
      <c r="B79" s="587" t="s">
        <v>716</v>
      </c>
      <c r="C79" s="588" t="s">
        <v>661</v>
      </c>
      <c r="D79" s="715">
        <v>20</v>
      </c>
    </row>
    <row r="80" spans="1:4">
      <c r="A80" s="586" t="s">
        <v>387</v>
      </c>
      <c r="B80" s="587" t="s">
        <v>717</v>
      </c>
      <c r="C80" s="588" t="s">
        <v>26</v>
      </c>
      <c r="D80" s="715">
        <v>68</v>
      </c>
    </row>
    <row r="81" spans="1:4">
      <c r="A81" s="586" t="s">
        <v>389</v>
      </c>
      <c r="B81" s="587" t="s">
        <v>718</v>
      </c>
      <c r="C81" s="588" t="s">
        <v>661</v>
      </c>
      <c r="D81" s="715">
        <v>475.92</v>
      </c>
    </row>
    <row r="82" spans="1:4">
      <c r="A82" s="586" t="s">
        <v>391</v>
      </c>
      <c r="B82" s="587" t="s">
        <v>719</v>
      </c>
      <c r="C82" s="588" t="s">
        <v>661</v>
      </c>
      <c r="D82" s="715">
        <v>18.8</v>
      </c>
    </row>
    <row r="83" spans="1:4">
      <c r="A83" s="586" t="s">
        <v>393</v>
      </c>
      <c r="B83" s="587" t="s">
        <v>844</v>
      </c>
      <c r="C83" s="588" t="s">
        <v>661</v>
      </c>
      <c r="D83" s="715">
        <v>20.56</v>
      </c>
    </row>
    <row r="84" spans="1:4">
      <c r="A84" s="586" t="s">
        <v>395</v>
      </c>
      <c r="B84" s="587" t="s">
        <v>845</v>
      </c>
      <c r="C84" s="595" t="s">
        <v>661</v>
      </c>
      <c r="D84" s="715">
        <v>4.24</v>
      </c>
    </row>
    <row r="85" spans="1:4">
      <c r="A85" s="586" t="s">
        <v>397</v>
      </c>
      <c r="B85" s="587" t="s">
        <v>846</v>
      </c>
      <c r="C85" s="588" t="s">
        <v>661</v>
      </c>
      <c r="D85" s="715">
        <v>12.4</v>
      </c>
    </row>
    <row r="86" spans="1:4">
      <c r="A86" s="586" t="s">
        <v>399</v>
      </c>
      <c r="B86" s="587" t="s">
        <v>847</v>
      </c>
      <c r="C86" s="588" t="s">
        <v>661</v>
      </c>
      <c r="D86" s="715">
        <v>7.2</v>
      </c>
    </row>
    <row r="87" spans="1:4">
      <c r="A87" s="586" t="s">
        <v>401</v>
      </c>
      <c r="B87" s="587" t="s">
        <v>848</v>
      </c>
      <c r="C87" s="588" t="s">
        <v>661</v>
      </c>
      <c r="D87" s="715">
        <v>2</v>
      </c>
    </row>
    <row r="88" spans="1:4">
      <c r="A88" s="586" t="s">
        <v>403</v>
      </c>
      <c r="B88" s="587" t="s">
        <v>720</v>
      </c>
      <c r="C88" s="588" t="s">
        <v>661</v>
      </c>
      <c r="D88" s="715">
        <v>30.8</v>
      </c>
    </row>
    <row r="89" spans="1:4">
      <c r="A89" s="586" t="s">
        <v>405</v>
      </c>
      <c r="B89" s="587" t="s">
        <v>721</v>
      </c>
      <c r="C89" s="588" t="s">
        <v>661</v>
      </c>
      <c r="D89" s="715">
        <v>24</v>
      </c>
    </row>
    <row r="90" spans="1:4">
      <c r="A90" s="586" t="s">
        <v>406</v>
      </c>
      <c r="B90" s="587" t="s">
        <v>722</v>
      </c>
      <c r="C90" s="588" t="s">
        <v>661</v>
      </c>
      <c r="D90" s="715">
        <v>324.39999999999998</v>
      </c>
    </row>
    <row r="91" spans="1:4">
      <c r="A91" s="586" t="s">
        <v>407</v>
      </c>
      <c r="B91" s="587" t="s">
        <v>723</v>
      </c>
      <c r="C91" s="588" t="s">
        <v>661</v>
      </c>
      <c r="D91" s="715">
        <v>190</v>
      </c>
    </row>
    <row r="92" spans="1:4">
      <c r="A92" s="586" t="s">
        <v>409</v>
      </c>
      <c r="B92" s="587" t="s">
        <v>667</v>
      </c>
      <c r="C92" s="588" t="s">
        <v>26</v>
      </c>
      <c r="D92" s="715">
        <v>68</v>
      </c>
    </row>
    <row r="93" spans="1:4">
      <c r="A93" s="586" t="s">
        <v>411</v>
      </c>
      <c r="B93" s="587" t="s">
        <v>724</v>
      </c>
      <c r="C93" s="588" t="s">
        <v>703</v>
      </c>
      <c r="D93" s="715">
        <v>3.68</v>
      </c>
    </row>
    <row r="94" spans="1:4">
      <c r="A94" s="586" t="s">
        <v>413</v>
      </c>
      <c r="B94" s="587" t="s">
        <v>725</v>
      </c>
      <c r="C94" s="588" t="s">
        <v>703</v>
      </c>
      <c r="D94" s="715">
        <v>2.96</v>
      </c>
    </row>
    <row r="95" spans="1:4">
      <c r="A95" s="586" t="s">
        <v>415</v>
      </c>
      <c r="B95" s="587" t="s">
        <v>743</v>
      </c>
      <c r="C95" s="588" t="s">
        <v>661</v>
      </c>
      <c r="D95" s="715">
        <v>4</v>
      </c>
    </row>
    <row r="96" spans="1:4">
      <c r="A96" s="586" t="s">
        <v>417</v>
      </c>
      <c r="B96" s="587" t="s">
        <v>744</v>
      </c>
      <c r="C96" s="588" t="s">
        <v>661</v>
      </c>
      <c r="D96" s="715">
        <v>7.6</v>
      </c>
    </row>
    <row r="97" spans="1:5" hidden="1">
      <c r="A97" s="597">
        <v>0</v>
      </c>
      <c r="B97" s="587" t="s">
        <v>745</v>
      </c>
      <c r="C97" s="588" t="s">
        <v>661</v>
      </c>
      <c r="D97" s="715">
        <v>16.399999999999999</v>
      </c>
    </row>
    <row r="98" spans="1:5">
      <c r="A98" s="586" t="s">
        <v>419</v>
      </c>
      <c r="B98" s="587" t="s">
        <v>746</v>
      </c>
      <c r="C98" s="588" t="s">
        <v>661</v>
      </c>
      <c r="D98" s="715">
        <v>22.72</v>
      </c>
    </row>
    <row r="99" spans="1:5">
      <c r="A99" s="586" t="s">
        <v>421</v>
      </c>
      <c r="B99" s="587" t="s">
        <v>747</v>
      </c>
      <c r="C99" s="588" t="s">
        <v>748</v>
      </c>
      <c r="D99" s="715">
        <v>3500</v>
      </c>
    </row>
    <row r="100" spans="1:5">
      <c r="A100" s="586" t="s">
        <v>423</v>
      </c>
      <c r="B100" s="587" t="s">
        <v>749</v>
      </c>
      <c r="C100" s="588" t="s">
        <v>661</v>
      </c>
      <c r="D100" s="715">
        <v>12</v>
      </c>
    </row>
    <row r="101" spans="1:5">
      <c r="A101" s="586" t="s">
        <v>424</v>
      </c>
      <c r="B101" s="587" t="s">
        <v>750</v>
      </c>
      <c r="C101" s="588" t="s">
        <v>661</v>
      </c>
      <c r="D101" s="715">
        <v>4</v>
      </c>
    </row>
    <row r="102" spans="1:5">
      <c r="A102" s="586" t="s">
        <v>425</v>
      </c>
      <c r="B102" s="587" t="s">
        <v>751</v>
      </c>
      <c r="C102" s="588" t="s">
        <v>661</v>
      </c>
      <c r="D102" s="715">
        <v>125.92</v>
      </c>
    </row>
    <row r="103" spans="1:5">
      <c r="A103" s="586" t="s">
        <v>426</v>
      </c>
      <c r="B103" s="587" t="s">
        <v>752</v>
      </c>
      <c r="C103" s="588" t="s">
        <v>661</v>
      </c>
      <c r="D103" s="715">
        <v>184.68</v>
      </c>
    </row>
    <row r="104" spans="1:5">
      <c r="A104" s="586" t="s">
        <v>427</v>
      </c>
      <c r="B104" s="587" t="s">
        <v>753</v>
      </c>
      <c r="C104" s="588" t="s">
        <v>661</v>
      </c>
      <c r="D104" s="715">
        <v>154.58000000000001</v>
      </c>
    </row>
    <row r="105" spans="1:5">
      <c r="A105" s="586" t="s">
        <v>428</v>
      </c>
      <c r="B105" s="587" t="s">
        <v>754</v>
      </c>
      <c r="C105" s="588" t="s">
        <v>661</v>
      </c>
      <c r="D105" s="715">
        <v>15.57</v>
      </c>
    </row>
    <row r="106" spans="1:5">
      <c r="A106" s="586" t="s">
        <v>429</v>
      </c>
      <c r="B106" s="587" t="s">
        <v>682</v>
      </c>
      <c r="C106" s="588" t="s">
        <v>661</v>
      </c>
      <c r="D106" s="715">
        <v>5.21</v>
      </c>
    </row>
    <row r="107" spans="1:5">
      <c r="A107" s="586" t="s">
        <v>430</v>
      </c>
      <c r="B107" s="587" t="s">
        <v>755</v>
      </c>
      <c r="C107" s="588" t="s">
        <v>661</v>
      </c>
      <c r="D107" s="715">
        <v>4.0199999999999996</v>
      </c>
      <c r="E107" s="408" t="s">
        <v>431</v>
      </c>
    </row>
    <row r="108" spans="1:5">
      <c r="A108" s="586" t="s">
        <v>432</v>
      </c>
      <c r="B108" s="587" t="s">
        <v>665</v>
      </c>
      <c r="C108" s="588" t="s">
        <v>661</v>
      </c>
      <c r="D108" s="715">
        <v>4</v>
      </c>
    </row>
    <row r="109" spans="1:5">
      <c r="A109" s="586" t="s">
        <v>434</v>
      </c>
      <c r="B109" s="587" t="s">
        <v>756</v>
      </c>
      <c r="C109" s="588" t="s">
        <v>661</v>
      </c>
      <c r="D109" s="715">
        <v>111.2</v>
      </c>
    </row>
    <row r="110" spans="1:5">
      <c r="A110" s="586" t="s">
        <v>436</v>
      </c>
      <c r="B110" s="587" t="s">
        <v>757</v>
      </c>
      <c r="C110" s="588" t="s">
        <v>661</v>
      </c>
      <c r="D110" s="715">
        <v>2.8</v>
      </c>
    </row>
    <row r="111" spans="1:5">
      <c r="A111" s="586" t="s">
        <v>429</v>
      </c>
      <c r="B111" s="587" t="s">
        <v>758</v>
      </c>
      <c r="C111" s="588" t="s">
        <v>661</v>
      </c>
      <c r="D111" s="715">
        <v>5.04</v>
      </c>
    </row>
    <row r="112" spans="1:5">
      <c r="A112" s="586" t="s">
        <v>430</v>
      </c>
      <c r="B112" s="587" t="s">
        <v>759</v>
      </c>
      <c r="C112" s="588" t="s">
        <v>661</v>
      </c>
      <c r="D112" s="715">
        <v>8.2899999999999991</v>
      </c>
    </row>
    <row r="113" spans="1:4">
      <c r="A113" s="586" t="s">
        <v>432</v>
      </c>
      <c r="B113" s="587" t="s">
        <v>760</v>
      </c>
      <c r="C113" s="588" t="s">
        <v>661</v>
      </c>
      <c r="D113" s="715">
        <v>2.39</v>
      </c>
    </row>
    <row r="114" spans="1:4">
      <c r="A114" s="717" t="s">
        <v>434</v>
      </c>
      <c r="B114" s="587" t="s">
        <v>707</v>
      </c>
      <c r="C114" s="588" t="s">
        <v>661</v>
      </c>
      <c r="D114" s="715">
        <v>16</v>
      </c>
    </row>
    <row r="115" spans="1:4">
      <c r="A115" s="717" t="s">
        <v>436</v>
      </c>
      <c r="B115" s="587" t="s">
        <v>853</v>
      </c>
      <c r="C115" s="588" t="s">
        <v>661</v>
      </c>
      <c r="D115" s="715">
        <v>16.399999999999999</v>
      </c>
    </row>
    <row r="116" spans="1:4">
      <c r="A116" s="717" t="s">
        <v>596</v>
      </c>
      <c r="B116" s="587" t="s">
        <v>761</v>
      </c>
      <c r="C116" s="588" t="s">
        <v>661</v>
      </c>
      <c r="D116" s="715">
        <v>167.2</v>
      </c>
    </row>
    <row r="117" spans="1:4">
      <c r="A117" s="717" t="s">
        <v>597</v>
      </c>
      <c r="B117" s="587" t="s">
        <v>762</v>
      </c>
      <c r="C117" s="588" t="s">
        <v>661</v>
      </c>
      <c r="D117" s="715">
        <v>19.440000000000001</v>
      </c>
    </row>
    <row r="118" spans="1:4">
      <c r="A118" s="717" t="s">
        <v>599</v>
      </c>
      <c r="B118" s="587" t="s">
        <v>763</v>
      </c>
      <c r="C118" s="588" t="s">
        <v>661</v>
      </c>
      <c r="D118" s="715">
        <v>12.56</v>
      </c>
    </row>
    <row r="119" spans="1:4">
      <c r="A119" s="717" t="s">
        <v>601</v>
      </c>
      <c r="B119" s="587" t="s">
        <v>764</v>
      </c>
      <c r="C119" s="588" t="s">
        <v>661</v>
      </c>
      <c r="D119" s="715">
        <v>111.2</v>
      </c>
    </row>
    <row r="120" spans="1:4">
      <c r="A120" s="717" t="s">
        <v>602</v>
      </c>
      <c r="B120" s="587" t="s">
        <v>765</v>
      </c>
      <c r="C120" s="588" t="s">
        <v>661</v>
      </c>
      <c r="D120" s="715">
        <v>2.85</v>
      </c>
    </row>
    <row r="121" spans="1:4">
      <c r="A121" s="717" t="s">
        <v>727</v>
      </c>
      <c r="B121" s="587" t="s">
        <v>766</v>
      </c>
      <c r="C121" s="588" t="s">
        <v>661</v>
      </c>
      <c r="D121" s="715">
        <v>40.01</v>
      </c>
    </row>
    <row r="122" spans="1:4">
      <c r="A122" s="717" t="s">
        <v>728</v>
      </c>
      <c r="B122" s="587" t="s">
        <v>767</v>
      </c>
      <c r="C122" s="588" t="s">
        <v>661</v>
      </c>
      <c r="D122" s="715">
        <v>8.02</v>
      </c>
    </row>
    <row r="123" spans="1:4">
      <c r="A123" s="717" t="s">
        <v>729</v>
      </c>
      <c r="B123" s="587" t="s">
        <v>763</v>
      </c>
      <c r="C123" s="588" t="s">
        <v>661</v>
      </c>
      <c r="D123" s="715">
        <v>11.9</v>
      </c>
    </row>
    <row r="124" spans="1:4">
      <c r="A124" s="717" t="s">
        <v>730</v>
      </c>
      <c r="B124" s="587" t="s">
        <v>768</v>
      </c>
      <c r="C124" s="588" t="s">
        <v>661</v>
      </c>
      <c r="D124" s="715">
        <v>6.68</v>
      </c>
    </row>
    <row r="125" spans="1:4">
      <c r="A125" s="717" t="s">
        <v>731</v>
      </c>
      <c r="B125" s="587" t="s">
        <v>769</v>
      </c>
      <c r="C125" s="588" t="s">
        <v>661</v>
      </c>
      <c r="D125" s="715">
        <v>17.329999999999998</v>
      </c>
    </row>
    <row r="126" spans="1:4">
      <c r="A126" s="717" t="s">
        <v>732</v>
      </c>
      <c r="B126" s="587" t="s">
        <v>770</v>
      </c>
      <c r="C126" s="588" t="s">
        <v>661</v>
      </c>
      <c r="D126" s="715">
        <v>16.96</v>
      </c>
    </row>
    <row r="127" spans="1:4">
      <c r="A127" s="717" t="s">
        <v>733</v>
      </c>
      <c r="B127" s="587" t="s">
        <v>714</v>
      </c>
      <c r="C127" s="588" t="s">
        <v>661</v>
      </c>
      <c r="D127" s="715">
        <v>4.8</v>
      </c>
    </row>
    <row r="128" spans="1:4">
      <c r="A128" s="717" t="s">
        <v>734</v>
      </c>
      <c r="B128" s="587" t="s">
        <v>852</v>
      </c>
      <c r="C128" s="588" t="s">
        <v>661</v>
      </c>
      <c r="D128" s="715">
        <v>6.47</v>
      </c>
    </row>
    <row r="129" spans="1:4">
      <c r="A129" s="717" t="s">
        <v>735</v>
      </c>
      <c r="B129" s="587" t="s">
        <v>771</v>
      </c>
      <c r="C129" s="588" t="s">
        <v>661</v>
      </c>
      <c r="D129" s="715">
        <v>36.57</v>
      </c>
    </row>
    <row r="130" spans="1:4">
      <c r="A130" s="717" t="s">
        <v>736</v>
      </c>
      <c r="B130" s="587" t="s">
        <v>772</v>
      </c>
      <c r="C130" s="588" t="s">
        <v>661</v>
      </c>
      <c r="D130" s="715">
        <v>38.4</v>
      </c>
    </row>
    <row r="131" spans="1:4">
      <c r="A131" s="717" t="s">
        <v>737</v>
      </c>
      <c r="B131" s="587" t="s">
        <v>773</v>
      </c>
      <c r="C131" s="588" t="s">
        <v>661</v>
      </c>
      <c r="D131" s="715">
        <v>22.15</v>
      </c>
    </row>
    <row r="132" spans="1:4">
      <c r="A132" s="717" t="s">
        <v>738</v>
      </c>
      <c r="B132" s="587" t="s">
        <v>720</v>
      </c>
      <c r="C132" s="588" t="s">
        <v>661</v>
      </c>
      <c r="D132" s="715">
        <v>28.4</v>
      </c>
    </row>
    <row r="133" spans="1:4">
      <c r="A133" s="717" t="s">
        <v>739</v>
      </c>
      <c r="B133" s="587" t="s">
        <v>832</v>
      </c>
      <c r="C133" s="588" t="s">
        <v>661</v>
      </c>
      <c r="D133" s="715">
        <v>15.91</v>
      </c>
    </row>
    <row r="134" spans="1:4">
      <c r="A134" s="717" t="s">
        <v>740</v>
      </c>
      <c r="B134" s="587" t="s">
        <v>833</v>
      </c>
      <c r="C134" s="588" t="s">
        <v>661</v>
      </c>
      <c r="D134" s="715">
        <v>24</v>
      </c>
    </row>
    <row r="135" spans="1:4">
      <c r="A135" s="717" t="s">
        <v>741</v>
      </c>
      <c r="B135" s="587" t="s">
        <v>834</v>
      </c>
      <c r="C135" s="588" t="s">
        <v>661</v>
      </c>
      <c r="D135" s="715">
        <v>29.2</v>
      </c>
    </row>
    <row r="136" spans="1:4">
      <c r="A136" s="717" t="s">
        <v>742</v>
      </c>
      <c r="B136" s="587" t="s">
        <v>774</v>
      </c>
      <c r="C136" s="588" t="s">
        <v>661</v>
      </c>
      <c r="D136" s="715">
        <v>38.32</v>
      </c>
    </row>
    <row r="137" spans="1:4">
      <c r="A137" s="717" t="s">
        <v>777</v>
      </c>
      <c r="B137" s="587" t="s">
        <v>828</v>
      </c>
      <c r="C137" s="588" t="s">
        <v>661</v>
      </c>
      <c r="D137" s="715">
        <v>15.93</v>
      </c>
    </row>
    <row r="138" spans="1:4">
      <c r="A138" s="717" t="s">
        <v>965</v>
      </c>
      <c r="B138" s="587" t="s">
        <v>829</v>
      </c>
      <c r="C138" s="588" t="s">
        <v>661</v>
      </c>
      <c r="D138" s="715">
        <v>50.41</v>
      </c>
    </row>
    <row r="139" spans="1:4">
      <c r="A139" s="717" t="s">
        <v>778</v>
      </c>
      <c r="B139" s="587" t="s">
        <v>830</v>
      </c>
      <c r="C139" s="588" t="s">
        <v>661</v>
      </c>
      <c r="D139" s="715">
        <v>28</v>
      </c>
    </row>
    <row r="140" spans="1:4">
      <c r="A140" s="717" t="s">
        <v>779</v>
      </c>
      <c r="B140" s="587" t="s">
        <v>851</v>
      </c>
      <c r="C140" s="588" t="s">
        <v>661</v>
      </c>
      <c r="D140" s="715">
        <v>26</v>
      </c>
    </row>
    <row r="141" spans="1:4">
      <c r="A141" s="717" t="s">
        <v>780</v>
      </c>
      <c r="B141" s="587" t="s">
        <v>831</v>
      </c>
      <c r="C141" s="588" t="s">
        <v>661</v>
      </c>
      <c r="D141" s="715">
        <v>12.22</v>
      </c>
    </row>
    <row r="142" spans="1:4">
      <c r="A142" s="717" t="s">
        <v>781</v>
      </c>
      <c r="B142" s="587" t="s">
        <v>775</v>
      </c>
      <c r="C142" s="588" t="s">
        <v>661</v>
      </c>
      <c r="D142" s="715">
        <v>3.68</v>
      </c>
    </row>
    <row r="143" spans="1:4">
      <c r="A143" s="717" t="s">
        <v>782</v>
      </c>
      <c r="B143" s="587" t="s">
        <v>826</v>
      </c>
      <c r="C143" s="588" t="s">
        <v>661</v>
      </c>
      <c r="D143" s="715">
        <v>2.96</v>
      </c>
    </row>
    <row r="144" spans="1:4">
      <c r="A144" s="717" t="s">
        <v>783</v>
      </c>
      <c r="B144" s="587" t="s">
        <v>827</v>
      </c>
      <c r="C144" s="588" t="s">
        <v>661</v>
      </c>
      <c r="D144" s="715">
        <v>3.2</v>
      </c>
    </row>
    <row r="145" spans="1:4">
      <c r="A145" s="717" t="s">
        <v>784</v>
      </c>
      <c r="B145" s="587" t="s">
        <v>825</v>
      </c>
      <c r="C145" s="588" t="s">
        <v>661</v>
      </c>
      <c r="D145" s="715">
        <v>17.78</v>
      </c>
    </row>
    <row r="146" spans="1:4">
      <c r="A146" s="717" t="s">
        <v>785</v>
      </c>
      <c r="B146" s="587" t="s">
        <v>824</v>
      </c>
      <c r="C146" s="588" t="s">
        <v>661</v>
      </c>
      <c r="D146" s="715">
        <v>11.56</v>
      </c>
    </row>
    <row r="147" spans="1:4">
      <c r="A147" s="717" t="s">
        <v>786</v>
      </c>
      <c r="B147" s="587" t="s">
        <v>776</v>
      </c>
      <c r="C147" s="588" t="s">
        <v>661</v>
      </c>
      <c r="D147" s="715">
        <v>2</v>
      </c>
    </row>
    <row r="148" spans="1:4">
      <c r="A148" s="717" t="s">
        <v>787</v>
      </c>
      <c r="B148" s="594" t="s">
        <v>813</v>
      </c>
      <c r="C148" s="595" t="s">
        <v>661</v>
      </c>
      <c r="D148" s="714">
        <v>87.48</v>
      </c>
    </row>
    <row r="149" spans="1:4">
      <c r="A149" s="717" t="s">
        <v>788</v>
      </c>
      <c r="B149" s="594" t="s">
        <v>1003</v>
      </c>
      <c r="C149" s="595" t="s">
        <v>379</v>
      </c>
      <c r="D149" s="714">
        <v>75.040000000000006</v>
      </c>
    </row>
    <row r="150" spans="1:4">
      <c r="A150" s="717" t="s">
        <v>789</v>
      </c>
      <c r="B150" s="594" t="s">
        <v>823</v>
      </c>
      <c r="C150" s="595" t="s">
        <v>20</v>
      </c>
      <c r="D150" s="714">
        <v>28</v>
      </c>
    </row>
    <row r="151" spans="1:4">
      <c r="A151" s="717" t="s">
        <v>790</v>
      </c>
      <c r="B151" s="587" t="s">
        <v>849</v>
      </c>
      <c r="C151" s="588" t="s">
        <v>661</v>
      </c>
      <c r="D151" s="715">
        <v>22.8</v>
      </c>
    </row>
    <row r="152" spans="1:4">
      <c r="A152" s="717" t="s">
        <v>791</v>
      </c>
      <c r="B152" s="587" t="s">
        <v>850</v>
      </c>
      <c r="C152" s="588" t="s">
        <v>661</v>
      </c>
      <c r="D152" s="715">
        <v>61.2</v>
      </c>
    </row>
    <row r="153" spans="1:4">
      <c r="A153" s="717" t="s">
        <v>792</v>
      </c>
      <c r="B153" s="587" t="s">
        <v>854</v>
      </c>
      <c r="C153" s="588" t="s">
        <v>661</v>
      </c>
      <c r="D153" s="715">
        <v>14.38</v>
      </c>
    </row>
    <row r="154" spans="1:4">
      <c r="A154" s="717" t="s">
        <v>783</v>
      </c>
      <c r="B154" s="587" t="s">
        <v>855</v>
      </c>
      <c r="C154" s="595" t="s">
        <v>856</v>
      </c>
      <c r="D154" s="715">
        <v>1.93</v>
      </c>
    </row>
    <row r="155" spans="1:4">
      <c r="A155" s="717" t="s">
        <v>793</v>
      </c>
      <c r="B155" s="587" t="s">
        <v>857</v>
      </c>
      <c r="C155" s="588" t="s">
        <v>661</v>
      </c>
      <c r="D155" s="715">
        <v>4.72</v>
      </c>
    </row>
    <row r="156" spans="1:4">
      <c r="A156" s="717" t="s">
        <v>794</v>
      </c>
      <c r="B156" s="587" t="s">
        <v>858</v>
      </c>
      <c r="C156" s="588" t="s">
        <v>661</v>
      </c>
      <c r="D156" s="715">
        <v>6.16</v>
      </c>
    </row>
    <row r="157" spans="1:4">
      <c r="A157" s="717" t="s">
        <v>795</v>
      </c>
      <c r="B157" s="587" t="s">
        <v>859</v>
      </c>
      <c r="C157" s="588" t="s">
        <v>661</v>
      </c>
      <c r="D157" s="715">
        <v>2.3199999999999998</v>
      </c>
    </row>
    <row r="158" spans="1:4">
      <c r="A158" s="717" t="s">
        <v>796</v>
      </c>
      <c r="B158" s="587" t="s">
        <v>864</v>
      </c>
      <c r="C158" s="588" t="s">
        <v>661</v>
      </c>
      <c r="D158" s="715">
        <v>29.2</v>
      </c>
    </row>
    <row r="159" spans="1:4">
      <c r="A159" s="717" t="s">
        <v>797</v>
      </c>
      <c r="B159" s="587" t="s">
        <v>860</v>
      </c>
      <c r="C159" s="588" t="s">
        <v>661</v>
      </c>
      <c r="D159" s="715">
        <v>45.44</v>
      </c>
    </row>
    <row r="160" spans="1:4">
      <c r="A160" s="717" t="s">
        <v>798</v>
      </c>
      <c r="B160" s="587" t="s">
        <v>863</v>
      </c>
      <c r="C160" s="588" t="s">
        <v>661</v>
      </c>
      <c r="D160" s="715">
        <v>2.08</v>
      </c>
    </row>
    <row r="161" spans="1:4">
      <c r="A161" s="717" t="s">
        <v>799</v>
      </c>
      <c r="B161" s="587" t="s">
        <v>861</v>
      </c>
      <c r="C161" s="588" t="s">
        <v>661</v>
      </c>
      <c r="D161" s="715">
        <v>0.64</v>
      </c>
    </row>
    <row r="162" spans="1:4">
      <c r="A162" s="717" t="s">
        <v>800</v>
      </c>
      <c r="B162" s="587" t="s">
        <v>862</v>
      </c>
      <c r="C162" s="588" t="s">
        <v>661</v>
      </c>
      <c r="D162" s="715">
        <v>9.6</v>
      </c>
    </row>
    <row r="163" spans="1:4">
      <c r="A163" s="717" t="s">
        <v>801</v>
      </c>
      <c r="B163" s="587" t="s">
        <v>1054</v>
      </c>
      <c r="C163" s="588" t="s">
        <v>661</v>
      </c>
      <c r="D163" s="718">
        <v>32.9</v>
      </c>
    </row>
    <row r="164" spans="1:4">
      <c r="A164" s="717" t="s">
        <v>802</v>
      </c>
      <c r="B164" s="587" t="s">
        <v>865</v>
      </c>
      <c r="C164" s="588" t="s">
        <v>106</v>
      </c>
      <c r="D164" s="718">
        <v>12.8</v>
      </c>
    </row>
    <row r="165" spans="1:4">
      <c r="A165" s="717" t="s">
        <v>803</v>
      </c>
      <c r="B165" s="594" t="s">
        <v>866</v>
      </c>
      <c r="C165" s="595" t="s">
        <v>661</v>
      </c>
      <c r="D165" s="714">
        <v>450</v>
      </c>
    </row>
    <row r="166" spans="1:4">
      <c r="A166" s="717" t="s">
        <v>804</v>
      </c>
      <c r="B166" s="594" t="s">
        <v>867</v>
      </c>
      <c r="C166" s="595" t="s">
        <v>661</v>
      </c>
      <c r="D166" s="714">
        <v>1200</v>
      </c>
    </row>
    <row r="167" spans="1:4">
      <c r="A167" s="717" t="s">
        <v>805</v>
      </c>
      <c r="B167" s="587" t="s">
        <v>1055</v>
      </c>
      <c r="C167" s="588" t="s">
        <v>661</v>
      </c>
      <c r="D167" s="718">
        <v>27.6</v>
      </c>
    </row>
    <row r="168" spans="1:4">
      <c r="A168" s="717" t="s">
        <v>806</v>
      </c>
      <c r="B168" s="594" t="s">
        <v>868</v>
      </c>
      <c r="C168" s="595" t="s">
        <v>856</v>
      </c>
      <c r="D168" s="714">
        <v>7.43</v>
      </c>
    </row>
    <row r="169" spans="1:4">
      <c r="A169" s="717" t="s">
        <v>807</v>
      </c>
      <c r="B169" s="587" t="s">
        <v>869</v>
      </c>
      <c r="C169" s="588" t="s">
        <v>870</v>
      </c>
      <c r="D169" s="719">
        <v>150</v>
      </c>
    </row>
    <row r="170" spans="1:4">
      <c r="A170" s="717" t="s">
        <v>808</v>
      </c>
      <c r="B170" s="604" t="s">
        <v>871</v>
      </c>
      <c r="C170" s="588" t="s">
        <v>661</v>
      </c>
      <c r="D170" s="718">
        <v>148.79</v>
      </c>
    </row>
    <row r="171" spans="1:4">
      <c r="A171" s="717" t="s">
        <v>809</v>
      </c>
      <c r="B171" s="604" t="s">
        <v>872</v>
      </c>
      <c r="C171" s="588" t="s">
        <v>661</v>
      </c>
      <c r="D171" s="718">
        <v>36</v>
      </c>
    </row>
    <row r="172" spans="1:4">
      <c r="A172" s="717" t="s">
        <v>810</v>
      </c>
      <c r="B172" s="604" t="s">
        <v>872</v>
      </c>
      <c r="C172" s="588" t="s">
        <v>661</v>
      </c>
      <c r="D172" s="715">
        <v>36</v>
      </c>
    </row>
    <row r="173" spans="1:4">
      <c r="A173" s="717" t="s">
        <v>811</v>
      </c>
      <c r="B173" s="598" t="s">
        <v>876</v>
      </c>
      <c r="C173" s="639" t="s">
        <v>106</v>
      </c>
      <c r="D173" s="720">
        <v>8.98</v>
      </c>
    </row>
    <row r="174" spans="1:4">
      <c r="A174" s="717" t="s">
        <v>812</v>
      </c>
      <c r="B174" s="598" t="s">
        <v>877</v>
      </c>
      <c r="C174" s="639" t="s">
        <v>21</v>
      </c>
      <c r="D174" s="720">
        <v>8.8000000000000007</v>
      </c>
    </row>
    <row r="175" spans="1:4">
      <c r="A175" s="717" t="s">
        <v>889</v>
      </c>
      <c r="B175" s="598" t="s">
        <v>888</v>
      </c>
      <c r="C175" s="639" t="s">
        <v>20</v>
      </c>
      <c r="D175" s="720">
        <v>197.5</v>
      </c>
    </row>
    <row r="176" spans="1:4">
      <c r="A176" s="717" t="s">
        <v>890</v>
      </c>
      <c r="B176" s="598" t="s">
        <v>891</v>
      </c>
      <c r="C176" s="639" t="s">
        <v>20</v>
      </c>
      <c r="D176" s="720">
        <v>121.22</v>
      </c>
    </row>
    <row r="177" spans="1:4">
      <c r="A177" s="717" t="s">
        <v>893</v>
      </c>
      <c r="B177" s="598" t="s">
        <v>892</v>
      </c>
      <c r="C177" s="639" t="s">
        <v>20</v>
      </c>
      <c r="D177" s="720">
        <v>7.45</v>
      </c>
    </row>
    <row r="178" spans="1:4">
      <c r="A178" s="717" t="s">
        <v>936</v>
      </c>
      <c r="B178" s="598" t="s">
        <v>1001</v>
      </c>
      <c r="C178" s="639" t="s">
        <v>106</v>
      </c>
      <c r="D178" s="721">
        <v>3.36</v>
      </c>
    </row>
    <row r="179" spans="1:4">
      <c r="A179" s="717" t="s">
        <v>937</v>
      </c>
      <c r="B179" s="598" t="s">
        <v>1004</v>
      </c>
      <c r="C179" s="639" t="s">
        <v>106</v>
      </c>
      <c r="D179" s="720">
        <v>4.82</v>
      </c>
    </row>
    <row r="180" spans="1:4">
      <c r="A180" s="717" t="s">
        <v>938</v>
      </c>
      <c r="B180" s="598" t="s">
        <v>1006</v>
      </c>
      <c r="C180" s="639" t="s">
        <v>20</v>
      </c>
      <c r="D180" s="721">
        <v>127.74</v>
      </c>
    </row>
    <row r="181" spans="1:4">
      <c r="A181" s="717" t="s">
        <v>939</v>
      </c>
      <c r="B181" s="598" t="s">
        <v>1005</v>
      </c>
      <c r="C181" s="639" t="s">
        <v>20</v>
      </c>
      <c r="D181" s="721">
        <v>82.5</v>
      </c>
    </row>
    <row r="182" spans="1:4">
      <c r="A182" s="717" t="s">
        <v>940</v>
      </c>
      <c r="B182" s="598" t="s">
        <v>1007</v>
      </c>
      <c r="C182" s="639" t="s">
        <v>20</v>
      </c>
      <c r="D182" s="721">
        <v>95.2</v>
      </c>
    </row>
    <row r="183" spans="1:4">
      <c r="A183" s="717" t="s">
        <v>941</v>
      </c>
      <c r="B183" s="598" t="s">
        <v>1012</v>
      </c>
      <c r="C183" s="639" t="s">
        <v>20</v>
      </c>
      <c r="D183" s="721">
        <v>33.090000000000003</v>
      </c>
    </row>
    <row r="184" spans="1:4">
      <c r="A184" s="717" t="s">
        <v>942</v>
      </c>
      <c r="B184" s="598" t="s">
        <v>1015</v>
      </c>
      <c r="C184" s="639" t="s">
        <v>20</v>
      </c>
      <c r="D184" s="721">
        <v>39.51</v>
      </c>
    </row>
    <row r="185" spans="1:4">
      <c r="A185" s="717" t="s">
        <v>943</v>
      </c>
      <c r="B185" s="598" t="s">
        <v>1016</v>
      </c>
      <c r="C185" s="639" t="s">
        <v>20</v>
      </c>
      <c r="D185" s="721">
        <v>52.36</v>
      </c>
    </row>
    <row r="186" spans="1:4">
      <c r="A186" s="717" t="s">
        <v>944</v>
      </c>
      <c r="B186" s="598" t="s">
        <v>1013</v>
      </c>
      <c r="C186" s="639" t="s">
        <v>20</v>
      </c>
      <c r="D186" s="721">
        <v>65.19</v>
      </c>
    </row>
    <row r="187" spans="1:4">
      <c r="A187" s="717" t="s">
        <v>945</v>
      </c>
      <c r="B187" s="598" t="s">
        <v>1018</v>
      </c>
      <c r="C187" s="639" t="s">
        <v>20</v>
      </c>
      <c r="D187" s="721">
        <v>78.03</v>
      </c>
    </row>
    <row r="188" spans="1:4">
      <c r="A188" s="717" t="s">
        <v>946</v>
      </c>
      <c r="B188" s="598" t="s">
        <v>1017</v>
      </c>
      <c r="C188" s="639" t="s">
        <v>20</v>
      </c>
      <c r="D188" s="721">
        <v>90.88</v>
      </c>
    </row>
    <row r="189" spans="1:4">
      <c r="A189" s="717" t="s">
        <v>947</v>
      </c>
      <c r="B189" s="598" t="s">
        <v>1014</v>
      </c>
      <c r="C189" s="639" t="s">
        <v>20</v>
      </c>
      <c r="D189" s="721">
        <v>97.29</v>
      </c>
    </row>
    <row r="190" spans="1:4">
      <c r="A190" s="722" t="s">
        <v>948</v>
      </c>
      <c r="B190" s="599" t="s">
        <v>1019</v>
      </c>
      <c r="C190" s="699" t="s">
        <v>20</v>
      </c>
      <c r="D190" s="723">
        <v>28.84</v>
      </c>
    </row>
    <row r="191" spans="1:4">
      <c r="A191" s="724" t="s">
        <v>949</v>
      </c>
      <c r="B191" s="599" t="s">
        <v>1020</v>
      </c>
      <c r="C191" s="699" t="s">
        <v>20</v>
      </c>
      <c r="D191" s="723">
        <v>43.25</v>
      </c>
    </row>
    <row r="192" spans="1:4">
      <c r="A192" s="717" t="s">
        <v>950</v>
      </c>
      <c r="B192" s="599" t="s">
        <v>1021</v>
      </c>
      <c r="C192" s="699" t="s">
        <v>20</v>
      </c>
      <c r="D192" s="723"/>
    </row>
    <row r="193" spans="1:4">
      <c r="A193" s="717" t="s">
        <v>951</v>
      </c>
      <c r="B193" s="599" t="s">
        <v>1022</v>
      </c>
      <c r="C193" s="699" t="s">
        <v>20</v>
      </c>
      <c r="D193" s="723">
        <v>72.09</v>
      </c>
    </row>
    <row r="194" spans="1:4">
      <c r="A194" s="717" t="s">
        <v>952</v>
      </c>
      <c r="B194" s="599" t="s">
        <v>1023</v>
      </c>
      <c r="C194" s="699" t="s">
        <v>20</v>
      </c>
      <c r="D194" s="723">
        <v>120.88</v>
      </c>
    </row>
    <row r="195" spans="1:4">
      <c r="A195" s="717" t="s">
        <v>953</v>
      </c>
      <c r="B195" s="599" t="s">
        <v>1024</v>
      </c>
      <c r="C195" s="699" t="s">
        <v>20</v>
      </c>
      <c r="D195" s="723">
        <v>151.09</v>
      </c>
    </row>
    <row r="196" spans="1:4">
      <c r="A196" s="717" t="s">
        <v>954</v>
      </c>
      <c r="B196" s="598" t="s">
        <v>1030</v>
      </c>
      <c r="C196" s="639" t="s">
        <v>20</v>
      </c>
      <c r="D196" s="720">
        <v>119.7</v>
      </c>
    </row>
    <row r="197" spans="1:4">
      <c r="A197" s="717" t="s">
        <v>955</v>
      </c>
      <c r="B197" s="598" t="s">
        <v>1029</v>
      </c>
      <c r="C197" s="639" t="s">
        <v>20</v>
      </c>
      <c r="D197" s="720">
        <v>631.58000000000004</v>
      </c>
    </row>
    <row r="198" spans="1:4">
      <c r="A198" s="717" t="s">
        <v>956</v>
      </c>
      <c r="B198" s="598" t="s">
        <v>1031</v>
      </c>
      <c r="C198" s="700" t="s">
        <v>20</v>
      </c>
      <c r="D198" s="725">
        <v>312.52999999999997</v>
      </c>
    </row>
    <row r="199" spans="1:4">
      <c r="A199" s="717" t="s">
        <v>957</v>
      </c>
      <c r="B199" s="598" t="s">
        <v>1027</v>
      </c>
      <c r="C199" s="639" t="s">
        <v>106</v>
      </c>
      <c r="D199" s="720">
        <v>3.61</v>
      </c>
    </row>
    <row r="200" spans="1:4">
      <c r="A200" s="717" t="s">
        <v>958</v>
      </c>
      <c r="B200" s="598" t="s">
        <v>1028</v>
      </c>
      <c r="C200" s="639" t="s">
        <v>20</v>
      </c>
      <c r="D200" s="720">
        <v>0.82</v>
      </c>
    </row>
    <row r="201" spans="1:4">
      <c r="A201" s="717" t="s">
        <v>959</v>
      </c>
      <c r="B201" s="598" t="s">
        <v>1033</v>
      </c>
      <c r="C201" s="639" t="s">
        <v>32</v>
      </c>
      <c r="D201" s="720">
        <v>5.27</v>
      </c>
    </row>
    <row r="202" spans="1:4">
      <c r="A202" s="717" t="s">
        <v>960</v>
      </c>
      <c r="B202" s="598" t="s">
        <v>1032</v>
      </c>
      <c r="C202" s="639" t="s">
        <v>32</v>
      </c>
      <c r="D202" s="728"/>
    </row>
    <row r="203" spans="1:4">
      <c r="A203" s="717" t="s">
        <v>961</v>
      </c>
      <c r="B203" s="598" t="s">
        <v>1034</v>
      </c>
      <c r="C203" s="639" t="s">
        <v>32</v>
      </c>
      <c r="D203" s="720">
        <v>6.8</v>
      </c>
    </row>
    <row r="204" spans="1:4">
      <c r="A204" s="717" t="s">
        <v>962</v>
      </c>
      <c r="B204" s="598" t="s">
        <v>1035</v>
      </c>
      <c r="C204" s="639" t="s">
        <v>32</v>
      </c>
      <c r="D204" s="720">
        <v>7.68</v>
      </c>
    </row>
    <row r="205" spans="1:4">
      <c r="A205" s="717" t="s">
        <v>963</v>
      </c>
      <c r="B205" s="598" t="s">
        <v>1036</v>
      </c>
      <c r="C205" s="639" t="s">
        <v>32</v>
      </c>
      <c r="D205" s="720">
        <v>9.9600000000000009</v>
      </c>
    </row>
    <row r="206" spans="1:4">
      <c r="A206" s="717" t="s">
        <v>964</v>
      </c>
      <c r="B206" s="598" t="s">
        <v>1037</v>
      </c>
      <c r="C206" s="639" t="s">
        <v>32</v>
      </c>
      <c r="D206" s="720">
        <v>12.41</v>
      </c>
    </row>
    <row r="207" spans="1:4">
      <c r="A207" s="717" t="s">
        <v>966</v>
      </c>
      <c r="B207" s="598" t="s">
        <v>1038</v>
      </c>
      <c r="C207" s="639" t="s">
        <v>32</v>
      </c>
      <c r="D207" s="720">
        <v>13.85</v>
      </c>
    </row>
    <row r="208" spans="1:4">
      <c r="A208" s="717" t="s">
        <v>967</v>
      </c>
      <c r="B208" s="598" t="s">
        <v>1039</v>
      </c>
      <c r="C208" s="639" t="s">
        <v>90</v>
      </c>
      <c r="D208" s="721">
        <v>2.61</v>
      </c>
    </row>
    <row r="209" spans="1:4">
      <c r="A209" s="717" t="s">
        <v>968</v>
      </c>
      <c r="B209" s="598" t="s">
        <v>1040</v>
      </c>
      <c r="C209" s="639" t="s">
        <v>90</v>
      </c>
      <c r="D209" s="732">
        <v>3.03</v>
      </c>
    </row>
    <row r="210" spans="1:4">
      <c r="A210" s="717" t="s">
        <v>969</v>
      </c>
      <c r="B210" s="598" t="s">
        <v>1041</v>
      </c>
      <c r="C210" s="639" t="s">
        <v>90</v>
      </c>
      <c r="D210" s="721">
        <v>3.55</v>
      </c>
    </row>
    <row r="211" spans="1:4">
      <c r="A211" s="717" t="s">
        <v>970</v>
      </c>
      <c r="B211" s="598" t="s">
        <v>1045</v>
      </c>
      <c r="C211" s="639" t="s">
        <v>90</v>
      </c>
      <c r="D211" s="720">
        <v>6.08</v>
      </c>
    </row>
    <row r="212" spans="1:4">
      <c r="A212" s="717" t="s">
        <v>971</v>
      </c>
      <c r="B212" s="598" t="s">
        <v>1046</v>
      </c>
      <c r="C212" s="639" t="s">
        <v>90</v>
      </c>
      <c r="D212" s="733">
        <v>8.1</v>
      </c>
    </row>
    <row r="213" spans="1:4">
      <c r="A213" s="717" t="s">
        <v>972</v>
      </c>
      <c r="B213" s="598" t="s">
        <v>1047</v>
      </c>
      <c r="C213" s="639" t="s">
        <v>90</v>
      </c>
      <c r="D213" s="734">
        <v>16.2</v>
      </c>
    </row>
    <row r="214" spans="1:4">
      <c r="A214" s="717" t="s">
        <v>973</v>
      </c>
      <c r="B214" s="598" t="s">
        <v>1042</v>
      </c>
      <c r="C214" s="639" t="s">
        <v>106</v>
      </c>
      <c r="D214" s="735">
        <v>2.36</v>
      </c>
    </row>
    <row r="215" spans="1:4">
      <c r="A215" s="717" t="s">
        <v>974</v>
      </c>
      <c r="B215" s="598" t="s">
        <v>1043</v>
      </c>
      <c r="C215" s="639" t="s">
        <v>106</v>
      </c>
      <c r="D215" s="734">
        <v>1.61</v>
      </c>
    </row>
    <row r="216" spans="1:4">
      <c r="A216" s="717" t="s">
        <v>975</v>
      </c>
      <c r="B216" s="598" t="s">
        <v>1044</v>
      </c>
      <c r="C216" s="639" t="s">
        <v>32</v>
      </c>
      <c r="D216" s="735">
        <v>3.22</v>
      </c>
    </row>
    <row r="217" spans="1:4">
      <c r="A217" s="717" t="s">
        <v>976</v>
      </c>
      <c r="B217" s="598" t="s">
        <v>1053</v>
      </c>
      <c r="C217" s="639" t="s">
        <v>90</v>
      </c>
      <c r="D217" s="735">
        <v>1429.9</v>
      </c>
    </row>
    <row r="218" spans="1:4">
      <c r="A218" s="717" t="s">
        <v>977</v>
      </c>
      <c r="B218" s="598" t="s">
        <v>1074</v>
      </c>
      <c r="C218" s="639" t="s">
        <v>32</v>
      </c>
      <c r="D218" s="734">
        <v>1</v>
      </c>
    </row>
    <row r="219" spans="1:4">
      <c r="A219" s="717" t="s">
        <v>978</v>
      </c>
      <c r="B219" s="598" t="s">
        <v>1075</v>
      </c>
      <c r="C219" s="639" t="s">
        <v>90</v>
      </c>
      <c r="D219" s="734">
        <v>10.3</v>
      </c>
    </row>
    <row r="220" spans="1:4">
      <c r="A220" s="717" t="s">
        <v>979</v>
      </c>
      <c r="B220" s="598" t="s">
        <v>1076</v>
      </c>
      <c r="C220" s="639" t="s">
        <v>90</v>
      </c>
      <c r="D220" s="734">
        <v>3.13</v>
      </c>
    </row>
    <row r="221" spans="1:4">
      <c r="A221" s="717" t="s">
        <v>980</v>
      </c>
      <c r="B221" s="598" t="s">
        <v>1077</v>
      </c>
      <c r="C221" s="639" t="s">
        <v>90</v>
      </c>
      <c r="D221" s="734">
        <v>14.05</v>
      </c>
    </row>
    <row r="222" spans="1:4">
      <c r="A222" s="717" t="s">
        <v>981</v>
      </c>
      <c r="B222" s="598" t="s">
        <v>1078</v>
      </c>
      <c r="C222" s="639" t="s">
        <v>90</v>
      </c>
      <c r="D222" s="734">
        <v>21.33</v>
      </c>
    </row>
    <row r="223" spans="1:4">
      <c r="A223" s="717" t="s">
        <v>982</v>
      </c>
      <c r="B223" s="598" t="s">
        <v>1079</v>
      </c>
      <c r="C223" s="639" t="s">
        <v>90</v>
      </c>
      <c r="D223" s="734">
        <v>15.84</v>
      </c>
    </row>
    <row r="224" spans="1:4">
      <c r="A224" s="717" t="s">
        <v>983</v>
      </c>
      <c r="B224" s="598" t="s">
        <v>1081</v>
      </c>
      <c r="C224" s="639" t="s">
        <v>90</v>
      </c>
      <c r="D224" s="734">
        <v>11.48</v>
      </c>
    </row>
    <row r="225" spans="1:4">
      <c r="A225" s="717" t="s">
        <v>984</v>
      </c>
      <c r="B225" s="598" t="s">
        <v>1080</v>
      </c>
      <c r="C225" s="639" t="s">
        <v>90</v>
      </c>
      <c r="D225" s="734">
        <v>73.150000000000006</v>
      </c>
    </row>
    <row r="226" spans="1:4">
      <c r="A226" s="717" t="s">
        <v>985</v>
      </c>
      <c r="B226" s="598" t="s">
        <v>1082</v>
      </c>
      <c r="C226" s="639" t="s">
        <v>90</v>
      </c>
      <c r="D226" s="734">
        <v>10.68</v>
      </c>
    </row>
    <row r="227" spans="1:4">
      <c r="A227" s="717" t="s">
        <v>986</v>
      </c>
      <c r="B227" s="598" t="s">
        <v>1083</v>
      </c>
      <c r="C227" s="639" t="s">
        <v>90</v>
      </c>
      <c r="D227" s="734">
        <v>16.38</v>
      </c>
    </row>
    <row r="228" spans="1:4">
      <c r="A228" s="717" t="s">
        <v>987</v>
      </c>
      <c r="B228" s="598"/>
      <c r="C228" s="639"/>
      <c r="D228" s="734"/>
    </row>
    <row r="229" spans="1:4">
      <c r="A229" s="717" t="s">
        <v>988</v>
      </c>
      <c r="B229" s="598"/>
      <c r="C229" s="639"/>
      <c r="D229" s="734"/>
    </row>
    <row r="230" spans="1:4">
      <c r="A230" s="717" t="s">
        <v>989</v>
      </c>
      <c r="B230" s="598"/>
      <c r="C230" s="639"/>
      <c r="D230" s="734"/>
    </row>
    <row r="231" spans="1:4">
      <c r="A231" s="717" t="s">
        <v>990</v>
      </c>
      <c r="B231" s="598"/>
      <c r="C231" s="639"/>
      <c r="D231" s="734"/>
    </row>
    <row r="232" spans="1:4">
      <c r="A232" s="717" t="s">
        <v>991</v>
      </c>
      <c r="B232" s="598"/>
      <c r="C232" s="639"/>
      <c r="D232" s="734"/>
    </row>
    <row r="233" spans="1:4">
      <c r="A233" s="717" t="s">
        <v>992</v>
      </c>
      <c r="B233" s="598"/>
      <c r="C233" s="639"/>
      <c r="D233" s="734"/>
    </row>
    <row r="234" spans="1:4">
      <c r="A234" s="717" t="s">
        <v>993</v>
      </c>
      <c r="B234" s="598"/>
      <c r="C234" s="639"/>
      <c r="D234" s="734"/>
    </row>
    <row r="235" spans="1:4">
      <c r="A235" s="717" t="s">
        <v>994</v>
      </c>
      <c r="B235" s="598"/>
      <c r="C235" s="639"/>
      <c r="D235" s="734"/>
    </row>
    <row r="236" spans="1:4">
      <c r="A236" s="717" t="s">
        <v>995</v>
      </c>
      <c r="B236" s="598"/>
      <c r="C236" s="639"/>
      <c r="D236" s="734"/>
    </row>
    <row r="237" spans="1:4">
      <c r="A237" s="717" t="s">
        <v>996</v>
      </c>
      <c r="B237" s="598"/>
      <c r="C237" s="639"/>
      <c r="D237" s="734"/>
    </row>
    <row r="238" spans="1:4">
      <c r="A238" s="717" t="s">
        <v>997</v>
      </c>
      <c r="B238" s="598"/>
      <c r="C238" s="639"/>
      <c r="D238" s="734"/>
    </row>
    <row r="239" spans="1:4">
      <c r="A239" s="717"/>
      <c r="B239" s="598"/>
      <c r="C239" s="639"/>
      <c r="D239" s="734"/>
    </row>
    <row r="240" spans="1:4">
      <c r="A240" s="717"/>
      <c r="B240" s="598"/>
      <c r="C240" s="639"/>
      <c r="D240" s="734"/>
    </row>
    <row r="241" spans="1:4">
      <c r="A241" s="717"/>
      <c r="B241" s="598"/>
      <c r="C241" s="639"/>
      <c r="D241" s="734"/>
    </row>
    <row r="242" spans="1:4">
      <c r="A242" s="717"/>
      <c r="B242" s="598"/>
      <c r="C242" s="639"/>
      <c r="D242" s="734"/>
    </row>
    <row r="243" spans="1:4">
      <c r="A243" s="717"/>
      <c r="B243" s="598"/>
      <c r="C243" s="639"/>
      <c r="D243" s="734"/>
    </row>
    <row r="244" spans="1:4">
      <c r="A244" s="717"/>
      <c r="B244" s="598"/>
      <c r="C244" s="639"/>
      <c r="D244" s="734"/>
    </row>
    <row r="245" spans="1:4">
      <c r="A245" s="717"/>
      <c r="B245" s="598"/>
      <c r="C245" s="639"/>
      <c r="D245" s="734"/>
    </row>
    <row r="246" spans="1:4">
      <c r="A246" s="717"/>
      <c r="B246" s="598"/>
      <c r="C246" s="639"/>
      <c r="D246" s="734"/>
    </row>
    <row r="247" spans="1:4">
      <c r="A247" s="717"/>
      <c r="B247" s="598"/>
      <c r="C247" s="639"/>
      <c r="D247" s="734"/>
    </row>
    <row r="248" spans="1:4">
      <c r="A248" s="717"/>
      <c r="B248" s="598"/>
      <c r="C248" s="639"/>
      <c r="D248" s="734"/>
    </row>
    <row r="249" spans="1:4">
      <c r="A249" s="717"/>
      <c r="B249" s="598"/>
      <c r="C249" s="639"/>
      <c r="D249" s="734"/>
    </row>
    <row r="250" spans="1:4">
      <c r="A250" s="722"/>
      <c r="B250" s="599"/>
      <c r="C250" s="699"/>
      <c r="D250" s="723"/>
    </row>
    <row r="251" spans="1:4">
      <c r="A251" s="726"/>
      <c r="B251" s="709"/>
      <c r="C251" s="709"/>
      <c r="D251" s="727"/>
    </row>
    <row r="252" spans="1:4">
      <c r="A252" s="726"/>
      <c r="B252" s="709"/>
      <c r="C252" s="709"/>
      <c r="D252" s="727"/>
    </row>
    <row r="253" spans="1:4">
      <c r="A253" s="726"/>
      <c r="B253" s="709"/>
      <c r="C253" s="709"/>
      <c r="D253" s="727"/>
    </row>
    <row r="254" spans="1:4">
      <c r="A254" s="726"/>
      <c r="B254" s="709"/>
      <c r="C254" s="709"/>
      <c r="D254" s="727"/>
    </row>
    <row r="255" spans="1:4">
      <c r="A255" s="726"/>
      <c r="B255" s="709"/>
      <c r="C255" s="709"/>
      <c r="D255" s="727"/>
    </row>
    <row r="256" spans="1:4">
      <c r="A256" s="726"/>
      <c r="B256" s="709"/>
      <c r="C256" s="709"/>
      <c r="D256" s="727"/>
    </row>
    <row r="257" spans="1:4">
      <c r="A257" s="726"/>
      <c r="B257" s="709"/>
      <c r="C257" s="709"/>
      <c r="D257" s="727"/>
    </row>
    <row r="258" spans="1:4">
      <c r="A258" s="726"/>
      <c r="B258" s="709"/>
      <c r="C258" s="709"/>
      <c r="D258" s="727"/>
    </row>
    <row r="259" spans="1:4">
      <c r="A259" s="726"/>
      <c r="B259" s="709"/>
      <c r="C259" s="709"/>
      <c r="D259" s="727"/>
    </row>
    <row r="260" spans="1:4">
      <c r="A260" s="726"/>
      <c r="B260" s="709"/>
      <c r="C260" s="709"/>
      <c r="D260" s="727"/>
    </row>
    <row r="261" spans="1:4">
      <c r="A261" s="726"/>
      <c r="B261" s="709"/>
      <c r="C261" s="709"/>
      <c r="D261" s="727"/>
    </row>
    <row r="262" spans="1:4">
      <c r="A262" s="726"/>
      <c r="B262" s="709"/>
      <c r="C262" s="709"/>
      <c r="D262" s="727"/>
    </row>
    <row r="263" spans="1:4">
      <c r="A263" s="726"/>
      <c r="B263" s="709"/>
      <c r="C263" s="709"/>
      <c r="D263" s="727"/>
    </row>
    <row r="264" spans="1:4">
      <c r="A264" s="726"/>
      <c r="B264" s="709"/>
      <c r="C264" s="709"/>
      <c r="D264" s="727"/>
    </row>
    <row r="265" spans="1:4">
      <c r="A265" s="726"/>
      <c r="B265" s="709"/>
      <c r="C265" s="709"/>
      <c r="D265" s="727"/>
    </row>
    <row r="266" spans="1:4">
      <c r="A266" s="726"/>
      <c r="B266" s="709"/>
      <c r="C266" s="709"/>
      <c r="D266" s="727"/>
    </row>
    <row r="267" spans="1:4">
      <c r="A267" s="726"/>
      <c r="B267" s="709"/>
      <c r="C267" s="709"/>
      <c r="D267" s="727"/>
    </row>
    <row r="268" spans="1:4">
      <c r="A268" s="726"/>
      <c r="B268" s="709"/>
      <c r="C268" s="709"/>
      <c r="D268" s="727"/>
    </row>
    <row r="269" spans="1:4">
      <c r="A269" s="726"/>
      <c r="B269" s="709"/>
      <c r="C269" s="709"/>
      <c r="D269" s="727"/>
    </row>
    <row r="270" spans="1:4">
      <c r="A270" s="726"/>
      <c r="B270" s="709"/>
      <c r="C270" s="709"/>
      <c r="D270" s="727"/>
    </row>
    <row r="271" spans="1:4">
      <c r="A271" s="726"/>
      <c r="B271" s="709"/>
      <c r="C271" s="709"/>
      <c r="D271" s="727"/>
    </row>
    <row r="272" spans="1:4">
      <c r="A272" s="726"/>
      <c r="B272" s="709"/>
      <c r="C272" s="709"/>
      <c r="D272" s="727"/>
    </row>
    <row r="273" spans="1:4">
      <c r="A273" s="726"/>
      <c r="B273" s="709"/>
      <c r="C273" s="709"/>
      <c r="D273" s="727"/>
    </row>
    <row r="274" spans="1:4">
      <c r="A274" s="726"/>
      <c r="B274" s="709"/>
      <c r="C274" s="709"/>
      <c r="D274" s="727"/>
    </row>
    <row r="275" spans="1:4">
      <c r="A275" s="726"/>
      <c r="B275" s="709"/>
      <c r="C275" s="709"/>
      <c r="D275" s="727"/>
    </row>
    <row r="276" spans="1:4">
      <c r="A276" s="726"/>
      <c r="B276" s="709"/>
      <c r="C276" s="709"/>
      <c r="D276" s="727"/>
    </row>
    <row r="277" spans="1:4">
      <c r="A277" s="726"/>
      <c r="B277" s="709"/>
      <c r="C277" s="709"/>
      <c r="D277" s="727"/>
    </row>
    <row r="278" spans="1:4">
      <c r="A278" s="726"/>
      <c r="B278" s="709"/>
      <c r="C278" s="709"/>
      <c r="D278" s="727"/>
    </row>
    <row r="279" spans="1:4">
      <c r="A279" s="726"/>
      <c r="B279" s="709"/>
      <c r="C279" s="709"/>
      <c r="D279" s="727"/>
    </row>
    <row r="280" spans="1:4">
      <c r="A280" s="726"/>
      <c r="B280" s="709"/>
      <c r="C280" s="709"/>
      <c r="D280" s="727"/>
    </row>
    <row r="281" spans="1:4">
      <c r="A281" s="726"/>
      <c r="B281" s="709"/>
      <c r="C281" s="709"/>
      <c r="D281" s="727"/>
    </row>
    <row r="282" spans="1:4">
      <c r="A282" s="726"/>
      <c r="B282" s="709"/>
      <c r="C282" s="709"/>
      <c r="D282" s="727"/>
    </row>
    <row r="283" spans="1:4">
      <c r="A283" s="726"/>
      <c r="B283" s="709"/>
      <c r="C283" s="709"/>
      <c r="D283" s="727"/>
    </row>
    <row r="284" spans="1:4">
      <c r="A284" s="726"/>
      <c r="B284" s="709"/>
      <c r="C284" s="709"/>
      <c r="D284" s="727"/>
    </row>
    <row r="285" spans="1:4">
      <c r="A285" s="726"/>
      <c r="B285" s="709"/>
      <c r="C285" s="709"/>
      <c r="D285" s="727"/>
    </row>
    <row r="286" spans="1:4">
      <c r="A286" s="726"/>
      <c r="B286" s="709"/>
      <c r="C286" s="709"/>
      <c r="D286" s="727"/>
    </row>
    <row r="287" spans="1:4">
      <c r="A287" s="726"/>
      <c r="B287" s="709"/>
      <c r="C287" s="709"/>
      <c r="D287" s="727"/>
    </row>
    <row r="288" spans="1:4">
      <c r="A288" s="726"/>
      <c r="B288" s="709"/>
      <c r="C288" s="709"/>
      <c r="D288" s="727"/>
    </row>
    <row r="289" spans="1:4">
      <c r="A289" s="726"/>
      <c r="B289" s="709"/>
      <c r="C289" s="709"/>
      <c r="D289" s="727"/>
    </row>
    <row r="290" spans="1:4">
      <c r="A290" s="726"/>
      <c r="B290" s="709"/>
      <c r="C290" s="709"/>
      <c r="D290" s="727"/>
    </row>
    <row r="291" spans="1:4">
      <c r="A291" s="726"/>
      <c r="B291" s="709"/>
      <c r="C291" s="709"/>
      <c r="D291" s="727"/>
    </row>
    <row r="292" spans="1:4">
      <c r="A292" s="726"/>
      <c r="B292" s="709"/>
      <c r="C292" s="709"/>
      <c r="D292" s="727"/>
    </row>
    <row r="293" spans="1:4">
      <c r="A293" s="726"/>
      <c r="B293" s="709"/>
      <c r="C293" s="709"/>
      <c r="D293" s="727"/>
    </row>
    <row r="294" spans="1:4">
      <c r="A294" s="726"/>
      <c r="B294" s="709"/>
      <c r="C294" s="709"/>
      <c r="D294" s="727"/>
    </row>
    <row r="295" spans="1:4">
      <c r="A295" s="726"/>
      <c r="B295" s="709"/>
      <c r="C295" s="709"/>
      <c r="D295" s="727"/>
    </row>
    <row r="296" spans="1:4">
      <c r="A296" s="726"/>
      <c r="B296" s="709"/>
      <c r="C296" s="709"/>
      <c r="D296" s="727"/>
    </row>
    <row r="297" spans="1:4">
      <c r="A297" s="726"/>
      <c r="B297" s="709"/>
      <c r="C297" s="709"/>
      <c r="D297" s="727"/>
    </row>
    <row r="298" spans="1:4">
      <c r="A298" s="726"/>
      <c r="B298" s="709"/>
      <c r="C298" s="709"/>
      <c r="D298" s="727"/>
    </row>
    <row r="299" spans="1:4">
      <c r="A299" s="726"/>
      <c r="B299" s="709"/>
      <c r="C299" s="709"/>
      <c r="D299" s="727"/>
    </row>
    <row r="300" spans="1:4">
      <c r="A300" s="726"/>
      <c r="B300" s="709"/>
      <c r="C300" s="709"/>
      <c r="D300" s="727"/>
    </row>
    <row r="301" spans="1:4">
      <c r="A301" s="726"/>
      <c r="B301" s="709"/>
      <c r="C301" s="709"/>
      <c r="D301" s="727"/>
    </row>
    <row r="302" spans="1:4">
      <c r="A302" s="726"/>
      <c r="B302" s="709"/>
      <c r="C302" s="709"/>
      <c r="D302" s="727"/>
    </row>
    <row r="303" spans="1:4">
      <c r="A303" s="726"/>
      <c r="B303" s="709"/>
      <c r="C303" s="709"/>
      <c r="D303" s="727"/>
    </row>
    <row r="304" spans="1:4">
      <c r="A304" s="726"/>
      <c r="B304" s="709"/>
      <c r="C304" s="709"/>
      <c r="D304" s="727"/>
    </row>
    <row r="305" spans="1:4">
      <c r="A305" s="726"/>
      <c r="B305" s="709"/>
      <c r="C305" s="709"/>
      <c r="D305" s="727"/>
    </row>
    <row r="306" spans="1:4">
      <c r="A306" s="726"/>
      <c r="B306" s="709"/>
      <c r="C306" s="709"/>
      <c r="D306" s="727"/>
    </row>
    <row r="307" spans="1:4">
      <c r="A307" s="726"/>
      <c r="B307" s="709"/>
      <c r="C307" s="709"/>
      <c r="D307" s="727"/>
    </row>
    <row r="308" spans="1:4">
      <c r="A308" s="726"/>
      <c r="B308" s="709"/>
      <c r="C308" s="709"/>
      <c r="D308" s="727"/>
    </row>
    <row r="309" spans="1:4">
      <c r="A309" s="726"/>
      <c r="B309" s="709"/>
      <c r="C309" s="709"/>
      <c r="D309" s="727"/>
    </row>
    <row r="310" spans="1:4">
      <c r="A310" s="726"/>
      <c r="B310" s="709"/>
      <c r="C310" s="709"/>
      <c r="D310" s="727"/>
    </row>
    <row r="311" spans="1:4">
      <c r="A311" s="726"/>
      <c r="B311" s="709"/>
      <c r="C311" s="709"/>
      <c r="D311" s="727"/>
    </row>
    <row r="312" spans="1:4">
      <c r="A312" s="726"/>
      <c r="B312" s="709"/>
      <c r="C312" s="709"/>
      <c r="D312" s="727"/>
    </row>
    <row r="313" spans="1:4">
      <c r="A313" s="726"/>
      <c r="B313" s="709"/>
      <c r="C313" s="709"/>
      <c r="D313" s="727"/>
    </row>
    <row r="314" spans="1:4">
      <c r="A314" s="726"/>
      <c r="B314" s="709"/>
      <c r="C314" s="709"/>
      <c r="D314" s="727"/>
    </row>
    <row r="315" spans="1:4">
      <c r="A315" s="726"/>
      <c r="B315" s="709"/>
      <c r="C315" s="709"/>
      <c r="D315" s="727"/>
    </row>
    <row r="316" spans="1:4">
      <c r="A316" s="726"/>
      <c r="B316" s="709"/>
      <c r="C316" s="709"/>
      <c r="D316" s="727"/>
    </row>
    <row r="317" spans="1:4">
      <c r="A317" s="726"/>
      <c r="B317" s="709"/>
      <c r="C317" s="709"/>
      <c r="D317" s="727"/>
    </row>
    <row r="318" spans="1:4">
      <c r="A318" s="726"/>
      <c r="B318" s="709"/>
      <c r="C318" s="709"/>
      <c r="D318" s="727"/>
    </row>
    <row r="319" spans="1:4">
      <c r="A319" s="726"/>
      <c r="B319" s="709"/>
      <c r="C319" s="709"/>
      <c r="D319" s="727"/>
    </row>
    <row r="320" spans="1:4">
      <c r="A320" s="726"/>
      <c r="B320" s="709"/>
      <c r="C320" s="709"/>
      <c r="D320" s="727"/>
    </row>
    <row r="321" spans="1:4">
      <c r="A321" s="726"/>
      <c r="B321" s="709"/>
      <c r="C321" s="709"/>
      <c r="D321" s="727"/>
    </row>
    <row r="322" spans="1:4">
      <c r="A322" s="726"/>
      <c r="B322" s="709"/>
      <c r="C322" s="709"/>
      <c r="D322" s="727"/>
    </row>
    <row r="323" spans="1:4">
      <c r="A323" s="726"/>
      <c r="B323" s="709"/>
      <c r="C323" s="709"/>
      <c r="D323" s="727"/>
    </row>
    <row r="324" spans="1:4">
      <c r="A324" s="726"/>
      <c r="B324" s="709"/>
      <c r="C324" s="709"/>
      <c r="D324" s="727"/>
    </row>
    <row r="325" spans="1:4">
      <c r="A325" s="726"/>
      <c r="B325" s="709"/>
      <c r="C325" s="709"/>
      <c r="D325" s="727"/>
    </row>
    <row r="326" spans="1:4">
      <c r="A326" s="726"/>
      <c r="B326" s="709"/>
      <c r="C326" s="709"/>
      <c r="D326" s="727"/>
    </row>
    <row r="327" spans="1:4">
      <c r="A327" s="726"/>
      <c r="B327" s="709"/>
      <c r="C327" s="709"/>
      <c r="D327" s="727"/>
    </row>
    <row r="328" spans="1:4">
      <c r="A328" s="726"/>
      <c r="B328" s="709"/>
      <c r="C328" s="709"/>
      <c r="D328" s="727"/>
    </row>
    <row r="329" spans="1:4">
      <c r="A329" s="726"/>
      <c r="B329" s="709"/>
      <c r="C329" s="709"/>
      <c r="D329" s="727"/>
    </row>
    <row r="330" spans="1:4">
      <c r="A330" s="726"/>
      <c r="B330" s="709"/>
      <c r="C330" s="709"/>
      <c r="D330" s="727"/>
    </row>
    <row r="331" spans="1:4">
      <c r="A331" s="726"/>
      <c r="B331" s="709"/>
      <c r="C331" s="709"/>
      <c r="D331" s="727"/>
    </row>
    <row r="332" spans="1:4">
      <c r="A332" s="726"/>
      <c r="B332" s="709"/>
      <c r="C332" s="709"/>
      <c r="D332" s="727"/>
    </row>
    <row r="333" spans="1:4">
      <c r="A333" s="726"/>
      <c r="B333" s="709"/>
      <c r="C333" s="709"/>
      <c r="D333" s="727"/>
    </row>
    <row r="334" spans="1:4">
      <c r="A334" s="726"/>
      <c r="B334" s="709"/>
      <c r="C334" s="709"/>
      <c r="D334" s="727"/>
    </row>
    <row r="335" spans="1:4">
      <c r="A335" s="726"/>
      <c r="B335" s="709"/>
      <c r="C335" s="709"/>
      <c r="D335" s="727"/>
    </row>
    <row r="336" spans="1:4">
      <c r="A336" s="726"/>
      <c r="B336" s="709"/>
      <c r="C336" s="709"/>
      <c r="D336" s="727"/>
    </row>
    <row r="337" spans="1:4">
      <c r="A337" s="726"/>
      <c r="B337" s="709"/>
      <c r="C337" s="709"/>
      <c r="D337" s="727"/>
    </row>
    <row r="338" spans="1:4">
      <c r="A338" s="726"/>
      <c r="B338" s="709"/>
      <c r="C338" s="709"/>
      <c r="D338" s="727"/>
    </row>
    <row r="339" spans="1:4">
      <c r="A339" s="726"/>
      <c r="B339" s="709"/>
      <c r="C339" s="709"/>
      <c r="D339" s="727"/>
    </row>
    <row r="340" spans="1:4">
      <c r="A340" s="726"/>
      <c r="B340" s="709"/>
      <c r="C340" s="709"/>
      <c r="D340" s="727"/>
    </row>
    <row r="341" spans="1:4">
      <c r="A341" s="726"/>
      <c r="B341" s="709"/>
      <c r="C341" s="709"/>
      <c r="D341" s="727"/>
    </row>
    <row r="342" spans="1:4">
      <c r="A342" s="726"/>
      <c r="B342" s="709"/>
      <c r="C342" s="709"/>
      <c r="D342" s="727"/>
    </row>
    <row r="343" spans="1:4">
      <c r="A343" s="726"/>
      <c r="B343" s="709"/>
      <c r="C343" s="709"/>
      <c r="D343" s="727"/>
    </row>
    <row r="344" spans="1:4">
      <c r="A344" s="726"/>
      <c r="B344" s="709"/>
      <c r="C344" s="709"/>
      <c r="D344" s="727"/>
    </row>
    <row r="345" spans="1:4">
      <c r="A345" s="726"/>
      <c r="B345" s="709"/>
      <c r="C345" s="709"/>
      <c r="D345" s="727"/>
    </row>
    <row r="346" spans="1:4">
      <c r="A346" s="726"/>
      <c r="B346" s="709"/>
      <c r="C346" s="709"/>
      <c r="D346" s="727"/>
    </row>
    <row r="347" spans="1:4">
      <c r="A347" s="726"/>
      <c r="B347" s="709"/>
      <c r="C347" s="709"/>
      <c r="D347" s="727"/>
    </row>
    <row r="348" spans="1:4">
      <c r="A348" s="726"/>
      <c r="B348" s="709"/>
      <c r="C348" s="709"/>
      <c r="D348" s="727"/>
    </row>
    <row r="349" spans="1:4">
      <c r="A349" s="726"/>
      <c r="B349" s="709"/>
      <c r="C349" s="709"/>
      <c r="D349" s="727"/>
    </row>
    <row r="350" spans="1:4">
      <c r="A350" s="726"/>
      <c r="B350" s="709"/>
      <c r="C350" s="709"/>
      <c r="D350" s="727"/>
    </row>
    <row r="351" spans="1:4">
      <c r="A351" s="726"/>
      <c r="B351" s="709"/>
      <c r="C351" s="709"/>
      <c r="D351" s="727"/>
    </row>
    <row r="352" spans="1:4">
      <c r="A352" s="726"/>
      <c r="B352" s="709"/>
      <c r="C352" s="709"/>
      <c r="D352" s="727"/>
    </row>
    <row r="353" spans="1:4">
      <c r="A353" s="726"/>
      <c r="B353" s="709"/>
      <c r="C353" s="709"/>
      <c r="D353" s="727"/>
    </row>
    <row r="354" spans="1:4">
      <c r="A354" s="726"/>
      <c r="B354" s="709"/>
      <c r="C354" s="709"/>
      <c r="D354" s="727"/>
    </row>
    <row r="355" spans="1:4">
      <c r="A355" s="726"/>
      <c r="B355" s="709"/>
      <c r="C355" s="709"/>
      <c r="D355" s="727"/>
    </row>
    <row r="356" spans="1:4">
      <c r="A356" s="726"/>
      <c r="B356" s="709"/>
      <c r="C356" s="709"/>
      <c r="D356" s="727"/>
    </row>
    <row r="357" spans="1:4">
      <c r="A357" s="726"/>
      <c r="B357" s="709"/>
      <c r="C357" s="709"/>
      <c r="D357" s="727"/>
    </row>
    <row r="358" spans="1:4">
      <c r="A358" s="726"/>
      <c r="B358" s="709"/>
      <c r="C358" s="709"/>
      <c r="D358" s="727"/>
    </row>
    <row r="359" spans="1:4">
      <c r="A359" s="726"/>
      <c r="B359" s="709"/>
      <c r="C359" s="709"/>
      <c r="D359" s="727"/>
    </row>
    <row r="360" spans="1:4">
      <c r="A360" s="726"/>
      <c r="B360" s="709"/>
      <c r="C360" s="709"/>
      <c r="D360" s="727"/>
    </row>
    <row r="361" spans="1:4">
      <c r="A361" s="726"/>
      <c r="B361" s="709"/>
      <c r="C361" s="709"/>
      <c r="D361" s="727"/>
    </row>
    <row r="362" spans="1:4">
      <c r="A362" s="726"/>
      <c r="B362" s="709"/>
      <c r="C362" s="709"/>
      <c r="D362" s="727"/>
    </row>
    <row r="363" spans="1:4">
      <c r="A363" s="726"/>
      <c r="B363" s="709"/>
      <c r="C363" s="709"/>
      <c r="D363" s="727"/>
    </row>
    <row r="364" spans="1:4">
      <c r="A364" s="726"/>
      <c r="B364" s="709"/>
      <c r="C364" s="709"/>
      <c r="D364" s="727"/>
    </row>
    <row r="365" spans="1:4">
      <c r="A365" s="726"/>
      <c r="B365" s="709"/>
      <c r="C365" s="709"/>
      <c r="D365" s="727"/>
    </row>
    <row r="366" spans="1:4">
      <c r="A366" s="726"/>
      <c r="B366" s="709"/>
      <c r="C366" s="709"/>
      <c r="D366" s="727"/>
    </row>
    <row r="367" spans="1:4">
      <c r="A367" s="726"/>
      <c r="B367" s="709"/>
      <c r="C367" s="709"/>
      <c r="D367" s="727"/>
    </row>
    <row r="368" spans="1:4">
      <c r="A368" s="726"/>
      <c r="B368" s="709"/>
      <c r="C368" s="709"/>
      <c r="D368" s="727"/>
    </row>
    <row r="369" spans="1:4">
      <c r="A369" s="726"/>
      <c r="B369" s="709"/>
      <c r="C369" s="709"/>
      <c r="D369" s="727"/>
    </row>
    <row r="370" spans="1:4">
      <c r="A370" s="726"/>
      <c r="B370" s="709"/>
      <c r="C370" s="709"/>
      <c r="D370" s="727"/>
    </row>
    <row r="371" spans="1:4">
      <c r="A371" s="726"/>
      <c r="B371" s="709"/>
      <c r="C371" s="709"/>
      <c r="D371" s="727"/>
    </row>
    <row r="372" spans="1:4">
      <c r="A372" s="726"/>
      <c r="B372" s="709"/>
      <c r="C372" s="709"/>
      <c r="D372" s="727"/>
    </row>
    <row r="373" spans="1:4">
      <c r="A373" s="726"/>
      <c r="B373" s="709"/>
      <c r="C373" s="709"/>
      <c r="D373" s="727"/>
    </row>
    <row r="374" spans="1:4">
      <c r="A374" s="726"/>
      <c r="B374" s="709"/>
      <c r="C374" s="709"/>
      <c r="D374" s="727"/>
    </row>
    <row r="375" spans="1:4">
      <c r="A375" s="726"/>
      <c r="B375" s="709"/>
      <c r="C375" s="709"/>
      <c r="D375" s="727"/>
    </row>
    <row r="376" spans="1:4">
      <c r="A376" s="726"/>
      <c r="B376" s="709"/>
      <c r="C376" s="709"/>
      <c r="D376" s="727"/>
    </row>
    <row r="377" spans="1:4">
      <c r="A377" s="726"/>
      <c r="B377" s="709"/>
      <c r="C377" s="709"/>
      <c r="D377" s="727"/>
    </row>
    <row r="378" spans="1:4">
      <c r="A378" s="726"/>
      <c r="B378" s="709"/>
      <c r="C378" s="709"/>
      <c r="D378" s="727"/>
    </row>
    <row r="379" spans="1:4">
      <c r="A379" s="726"/>
      <c r="B379" s="709"/>
      <c r="C379" s="709"/>
      <c r="D379" s="727"/>
    </row>
    <row r="380" spans="1:4">
      <c r="A380" s="726"/>
      <c r="B380" s="709"/>
      <c r="C380" s="709"/>
      <c r="D380" s="727"/>
    </row>
    <row r="381" spans="1:4">
      <c r="A381" s="726"/>
      <c r="B381" s="709"/>
      <c r="C381" s="709"/>
      <c r="D381" s="727"/>
    </row>
    <row r="382" spans="1:4">
      <c r="A382" s="726"/>
      <c r="B382" s="709"/>
      <c r="C382" s="709"/>
      <c r="D382" s="727"/>
    </row>
    <row r="383" spans="1:4">
      <c r="A383" s="726"/>
      <c r="B383" s="709"/>
      <c r="C383" s="709"/>
      <c r="D383" s="727"/>
    </row>
    <row r="384" spans="1:4">
      <c r="A384" s="726"/>
      <c r="B384" s="709"/>
      <c r="C384" s="709"/>
      <c r="D384" s="727"/>
    </row>
    <row r="385" spans="1:4">
      <c r="A385" s="726"/>
      <c r="B385" s="709"/>
      <c r="C385" s="709"/>
      <c r="D385" s="727"/>
    </row>
    <row r="386" spans="1:4">
      <c r="A386" s="726"/>
      <c r="B386" s="709"/>
      <c r="C386" s="709"/>
      <c r="D386" s="727"/>
    </row>
    <row r="387" spans="1:4">
      <c r="A387" s="726"/>
      <c r="B387" s="709"/>
      <c r="C387" s="709"/>
      <c r="D387" s="727"/>
    </row>
    <row r="388" spans="1:4">
      <c r="A388" s="726"/>
      <c r="B388" s="709"/>
      <c r="C388" s="709"/>
      <c r="D388" s="727"/>
    </row>
    <row r="389" spans="1:4">
      <c r="A389" s="726"/>
      <c r="B389" s="709"/>
      <c r="C389" s="709"/>
      <c r="D389" s="727"/>
    </row>
    <row r="390" spans="1:4">
      <c r="A390" s="726"/>
      <c r="B390" s="709"/>
      <c r="C390" s="709"/>
      <c r="D390" s="727"/>
    </row>
    <row r="391" spans="1:4">
      <c r="A391" s="726"/>
      <c r="B391" s="709"/>
      <c r="C391" s="709"/>
      <c r="D391" s="727"/>
    </row>
    <row r="392" spans="1:4">
      <c r="A392" s="726"/>
      <c r="B392" s="709"/>
      <c r="C392" s="709"/>
      <c r="D392" s="727"/>
    </row>
    <row r="393" spans="1:4">
      <c r="A393" s="726"/>
      <c r="B393" s="709"/>
      <c r="C393" s="709"/>
      <c r="D393" s="727"/>
    </row>
    <row r="394" spans="1:4">
      <c r="A394" s="726"/>
      <c r="B394" s="709"/>
      <c r="C394" s="709"/>
      <c r="D394" s="727"/>
    </row>
    <row r="395" spans="1:4">
      <c r="A395" s="726"/>
      <c r="B395" s="709"/>
      <c r="C395" s="709"/>
      <c r="D395" s="727"/>
    </row>
    <row r="396" spans="1:4">
      <c r="A396" s="726"/>
      <c r="B396" s="709"/>
      <c r="C396" s="709"/>
      <c r="D396" s="727"/>
    </row>
    <row r="397" spans="1:4">
      <c r="A397" s="726"/>
      <c r="B397" s="709"/>
      <c r="C397" s="709"/>
      <c r="D397" s="727"/>
    </row>
    <row r="398" spans="1:4">
      <c r="A398" s="726"/>
      <c r="B398" s="709"/>
      <c r="C398" s="709"/>
      <c r="D398" s="727"/>
    </row>
    <row r="399" spans="1:4">
      <c r="A399" s="726"/>
      <c r="B399" s="709"/>
      <c r="C399" s="709"/>
      <c r="D399" s="727"/>
    </row>
    <row r="400" spans="1:4">
      <c r="A400" s="726"/>
      <c r="B400" s="709"/>
      <c r="C400" s="709"/>
      <c r="D400" s="727"/>
    </row>
    <row r="401" spans="1:4">
      <c r="A401" s="726"/>
      <c r="B401" s="709"/>
      <c r="C401" s="709"/>
      <c r="D401" s="727"/>
    </row>
    <row r="402" spans="1:4">
      <c r="A402" s="726"/>
      <c r="B402" s="709"/>
      <c r="C402" s="709"/>
      <c r="D402" s="727"/>
    </row>
    <row r="403" spans="1:4">
      <c r="A403" s="726"/>
      <c r="B403" s="709"/>
      <c r="C403" s="709"/>
      <c r="D403" s="727"/>
    </row>
    <row r="404" spans="1:4">
      <c r="A404" s="726"/>
      <c r="B404" s="709"/>
      <c r="C404" s="709"/>
      <c r="D404" s="727"/>
    </row>
    <row r="405" spans="1:4">
      <c r="A405" s="726"/>
      <c r="B405" s="709"/>
      <c r="C405" s="709"/>
      <c r="D405" s="727"/>
    </row>
    <row r="406" spans="1:4">
      <c r="A406" s="726"/>
      <c r="B406" s="709"/>
      <c r="C406" s="709"/>
      <c r="D406" s="727"/>
    </row>
    <row r="407" spans="1:4">
      <c r="A407" s="726"/>
      <c r="B407" s="709"/>
      <c r="C407" s="709"/>
      <c r="D407" s="727"/>
    </row>
    <row r="408" spans="1:4">
      <c r="A408" s="726"/>
      <c r="B408" s="709"/>
      <c r="C408" s="709"/>
      <c r="D408" s="727"/>
    </row>
    <row r="409" spans="1:4">
      <c r="A409" s="726"/>
      <c r="B409" s="709"/>
      <c r="C409" s="709"/>
      <c r="D409" s="727"/>
    </row>
    <row r="410" spans="1:4">
      <c r="A410" s="726"/>
      <c r="B410" s="709"/>
      <c r="C410" s="709"/>
      <c r="D410" s="727"/>
    </row>
    <row r="411" spans="1:4">
      <c r="A411" s="726"/>
      <c r="B411" s="709"/>
      <c r="C411" s="709"/>
      <c r="D411" s="727"/>
    </row>
    <row r="412" spans="1:4">
      <c r="A412" s="726"/>
      <c r="B412" s="709"/>
      <c r="C412" s="709"/>
      <c r="D412" s="727"/>
    </row>
    <row r="413" spans="1:4">
      <c r="A413" s="726"/>
      <c r="B413" s="709"/>
      <c r="C413" s="709"/>
      <c r="D413" s="727"/>
    </row>
    <row r="414" spans="1:4">
      <c r="A414" s="726"/>
      <c r="B414" s="709"/>
      <c r="C414" s="709"/>
      <c r="D414" s="727"/>
    </row>
    <row r="415" spans="1:4">
      <c r="A415" s="726"/>
      <c r="B415" s="709"/>
      <c r="C415" s="709"/>
      <c r="D415" s="727"/>
    </row>
    <row r="416" spans="1:4">
      <c r="A416" s="726"/>
      <c r="B416" s="709"/>
      <c r="C416" s="709"/>
      <c r="D416" s="727"/>
    </row>
    <row r="417" spans="1:4">
      <c r="A417" s="726"/>
      <c r="B417" s="709"/>
      <c r="C417" s="709"/>
      <c r="D417" s="727"/>
    </row>
    <row r="418" spans="1:4">
      <c r="A418" s="726"/>
      <c r="B418" s="709"/>
      <c r="C418" s="709"/>
      <c r="D418" s="727"/>
    </row>
    <row r="419" spans="1:4">
      <c r="A419" s="726"/>
      <c r="B419" s="709"/>
      <c r="C419" s="709"/>
      <c r="D419" s="727"/>
    </row>
    <row r="420" spans="1:4">
      <c r="A420" s="726"/>
      <c r="B420" s="709"/>
      <c r="C420" s="709"/>
      <c r="D420" s="727"/>
    </row>
    <row r="421" spans="1:4">
      <c r="A421" s="726"/>
      <c r="B421" s="709"/>
      <c r="C421" s="709"/>
      <c r="D421" s="727"/>
    </row>
    <row r="422" spans="1:4">
      <c r="A422" s="726"/>
      <c r="B422" s="709"/>
      <c r="C422" s="709"/>
      <c r="D422" s="727"/>
    </row>
    <row r="423" spans="1:4">
      <c r="A423" s="726"/>
      <c r="B423" s="709"/>
      <c r="C423" s="709"/>
      <c r="D423" s="727"/>
    </row>
    <row r="424" spans="1:4">
      <c r="A424" s="726"/>
      <c r="B424" s="709"/>
      <c r="C424" s="709"/>
      <c r="D424" s="727"/>
    </row>
    <row r="425" spans="1:4">
      <c r="A425" s="726"/>
      <c r="B425" s="709"/>
      <c r="C425" s="709"/>
      <c r="D425" s="727"/>
    </row>
    <row r="426" spans="1:4">
      <c r="A426" s="726"/>
      <c r="B426" s="709"/>
      <c r="C426" s="709"/>
      <c r="D426" s="727"/>
    </row>
    <row r="427" spans="1:4">
      <c r="A427" s="726"/>
      <c r="B427" s="709"/>
      <c r="C427" s="709"/>
      <c r="D427" s="727"/>
    </row>
    <row r="428" spans="1:4">
      <c r="A428" s="726"/>
      <c r="B428" s="709"/>
      <c r="C428" s="709"/>
      <c r="D428" s="727"/>
    </row>
    <row r="429" spans="1:4">
      <c r="A429" s="726"/>
      <c r="B429" s="709"/>
      <c r="C429" s="709"/>
      <c r="D429" s="727"/>
    </row>
    <row r="430" spans="1:4">
      <c r="A430" s="726"/>
      <c r="B430" s="709"/>
      <c r="C430" s="709"/>
      <c r="D430" s="727"/>
    </row>
    <row r="431" spans="1:4">
      <c r="A431" s="726"/>
      <c r="B431" s="709"/>
      <c r="C431" s="709"/>
      <c r="D431" s="727"/>
    </row>
    <row r="432" spans="1:4">
      <c r="A432" s="726"/>
      <c r="B432" s="709"/>
      <c r="C432" s="709"/>
      <c r="D432" s="727"/>
    </row>
    <row r="433" spans="1:4">
      <c r="A433" s="726"/>
      <c r="B433" s="709"/>
      <c r="C433" s="709"/>
      <c r="D433" s="727"/>
    </row>
    <row r="434" spans="1:4">
      <c r="A434" s="726"/>
      <c r="B434" s="709"/>
      <c r="C434" s="709"/>
      <c r="D434" s="727"/>
    </row>
    <row r="435" spans="1:4">
      <c r="A435" s="726"/>
      <c r="B435" s="709"/>
      <c r="C435" s="709"/>
      <c r="D435" s="727"/>
    </row>
    <row r="436" spans="1:4">
      <c r="A436" s="726"/>
      <c r="B436" s="709"/>
      <c r="C436" s="709"/>
      <c r="D436" s="727"/>
    </row>
    <row r="437" spans="1:4">
      <c r="A437" s="726"/>
      <c r="B437" s="709"/>
      <c r="C437" s="709"/>
      <c r="D437" s="727"/>
    </row>
    <row r="438" spans="1:4">
      <c r="A438" s="726"/>
      <c r="B438" s="709"/>
      <c r="C438" s="709"/>
      <c r="D438" s="727"/>
    </row>
    <row r="439" spans="1:4">
      <c r="A439" s="726"/>
      <c r="B439" s="709"/>
      <c r="C439" s="709"/>
      <c r="D439" s="727"/>
    </row>
    <row r="440" spans="1:4">
      <c r="A440" s="726"/>
      <c r="B440" s="709"/>
      <c r="C440" s="709"/>
      <c r="D440" s="727"/>
    </row>
    <row r="441" spans="1:4">
      <c r="A441" s="726"/>
      <c r="B441" s="709"/>
      <c r="C441" s="709"/>
      <c r="D441" s="727"/>
    </row>
    <row r="442" spans="1:4">
      <c r="A442" s="726"/>
      <c r="B442" s="709"/>
      <c r="C442" s="709"/>
      <c r="D442" s="727"/>
    </row>
    <row r="443" spans="1:4">
      <c r="A443" s="726"/>
      <c r="B443" s="709"/>
      <c r="C443" s="709"/>
      <c r="D443" s="727"/>
    </row>
    <row r="444" spans="1:4">
      <c r="A444" s="726"/>
      <c r="B444" s="709"/>
      <c r="C444" s="709"/>
      <c r="D444" s="727"/>
    </row>
    <row r="445" spans="1:4">
      <c r="A445" s="726"/>
      <c r="B445" s="709"/>
      <c r="C445" s="709"/>
      <c r="D445" s="727"/>
    </row>
    <row r="446" spans="1:4" ht="13.5" thickBot="1">
      <c r="A446" s="729"/>
      <c r="B446" s="406"/>
      <c r="C446" s="406"/>
      <c r="D446" s="730"/>
    </row>
    <row r="447" spans="1:4">
      <c r="A447" s="391"/>
    </row>
    <row r="448" spans="1:4">
      <c r="A448" s="391"/>
    </row>
    <row r="449" spans="1:1">
      <c r="A449" s="391"/>
    </row>
    <row r="450" spans="1:1">
      <c r="A450" s="391"/>
    </row>
    <row r="451" spans="1:1">
      <c r="A451" s="391"/>
    </row>
    <row r="452" spans="1:1">
      <c r="A452" s="391"/>
    </row>
    <row r="453" spans="1:1">
      <c r="A453" s="391"/>
    </row>
    <row r="454" spans="1:1">
      <c r="A454" s="391"/>
    </row>
    <row r="455" spans="1:1">
      <c r="A455" s="391"/>
    </row>
    <row r="456" spans="1:1">
      <c r="A456" s="391"/>
    </row>
    <row r="457" spans="1:1">
      <c r="A457" s="391"/>
    </row>
    <row r="458" spans="1:1">
      <c r="A458" s="391"/>
    </row>
    <row r="459" spans="1:1">
      <c r="A459" s="391"/>
    </row>
    <row r="460" spans="1:1">
      <c r="A460" s="391"/>
    </row>
    <row r="461" spans="1:1">
      <c r="A461" s="391"/>
    </row>
    <row r="462" spans="1:1">
      <c r="A462" s="391"/>
    </row>
  </sheetData>
  <sheetProtection selectLockedCells="1"/>
  <mergeCells count="1">
    <mergeCell ref="A7:D7"/>
  </mergeCells>
  <phoneticPr fontId="8" type="noConversion"/>
  <pageMargins left="0.98425196850393704" right="0.39370078740157483" top="0.39370078740157483" bottom="0.39370078740157483" header="0.19685039370078741" footer="0.19685039370078741"/>
  <pageSetup paperSize="9" scale="94" orientation="portrait" r:id="rId1"/>
  <headerFooter alignWithMargins="0">
    <oddHeader>&amp;L&amp;8PERUŠIĆ d.o.o. 
&amp;C&amp;8UGOVOR REDOVITOG ODRŽAVANJA OBJEKATA 2021.-2022.&amp;R&amp;8&amp;D</oddHeader>
    <oddFooter>&amp;L&amp;8&amp;F&amp;R&amp;8&amp;P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17</vt:i4>
      </vt:variant>
      <vt:variant>
        <vt:lpstr>Imenovani rasponi</vt:lpstr>
      </vt:variant>
      <vt:variant>
        <vt:i4>26</vt:i4>
      </vt:variant>
    </vt:vector>
  </HeadingPairs>
  <TitlesOfParts>
    <vt:vector size="43" baseType="lpstr">
      <vt:lpstr>naslov za situacije</vt:lpstr>
      <vt:lpstr>List1</vt:lpstr>
      <vt:lpstr>troškovnik</vt:lpstr>
      <vt:lpstr>troškovnik (2)</vt:lpstr>
      <vt:lpstr>kalkulacija</vt:lpstr>
      <vt:lpstr>rekapitulacija</vt:lpstr>
      <vt:lpstr>Obrazac kalkulacije</vt:lpstr>
      <vt:lpstr>Cjenik RS</vt:lpstr>
      <vt:lpstr>Cjenik M</vt:lpstr>
      <vt:lpstr>Cjenik PM</vt:lpstr>
      <vt:lpstr>Devizni tecaj, porez i gorivo</vt:lpstr>
      <vt:lpstr>Nabavna cijena</vt:lpstr>
      <vt:lpstr>Cijena sata rada</vt:lpstr>
      <vt:lpstr>Cjenik VSO (pomoćna) (2)</vt:lpstr>
      <vt:lpstr>Cjenik VSO (pomoćna)</vt:lpstr>
      <vt:lpstr>Cjenik VSO</vt:lpstr>
      <vt:lpstr>Cjenik M (pomoćna)</vt:lpstr>
      <vt:lpstr>'Cijena sata rada'!Ispis_naslova</vt:lpstr>
      <vt:lpstr>'Cjenik M'!Ispis_naslova</vt:lpstr>
      <vt:lpstr>'Cjenik M (pomoćna)'!Ispis_naslova</vt:lpstr>
      <vt:lpstr>'Cjenik PM'!Ispis_naslova</vt:lpstr>
      <vt:lpstr>'Cjenik VSO'!Ispis_naslova</vt:lpstr>
      <vt:lpstr>'Cjenik VSO (pomoćna)'!Ispis_naslova</vt:lpstr>
      <vt:lpstr>'Cjenik VSO (pomoćna) (2)'!Ispis_naslova</vt:lpstr>
      <vt:lpstr>'Nabavna cijena'!Ispis_naslova</vt:lpstr>
      <vt:lpstr>rekapitulacija!Ispis_naslova</vt:lpstr>
      <vt:lpstr>troškovnik!Ispis_naslova</vt:lpstr>
      <vt:lpstr>'troškovnik (2)'!Ispis_naslova</vt:lpstr>
      <vt:lpstr>'Cijena sata rada'!Podrucje_ispisa</vt:lpstr>
      <vt:lpstr>'Cjenik M'!Podrucje_ispisa</vt:lpstr>
      <vt:lpstr>'Cjenik M (pomoćna)'!Podrucje_ispisa</vt:lpstr>
      <vt:lpstr>'Cjenik PM'!Podrucje_ispisa</vt:lpstr>
      <vt:lpstr>'Cjenik RS'!Podrucje_ispisa</vt:lpstr>
      <vt:lpstr>'Cjenik VSO'!Podrucje_ispisa</vt:lpstr>
      <vt:lpstr>'Cjenik VSO (pomoćna)'!Podrucje_ispisa</vt:lpstr>
      <vt:lpstr>'Cjenik VSO (pomoćna) (2)'!Podrucje_ispisa</vt:lpstr>
      <vt:lpstr>'Devizni tecaj, porez i gorivo'!Podrucje_ispisa</vt:lpstr>
      <vt:lpstr>kalkulacija!Podrucje_ispisa</vt:lpstr>
      <vt:lpstr>'Nabavna cijena'!Podrucje_ispisa</vt:lpstr>
      <vt:lpstr>'Obrazac kalkulacije'!Podrucje_ispisa</vt:lpstr>
      <vt:lpstr>rekapitulacija!Podrucje_ispisa</vt:lpstr>
      <vt:lpstr>troškovnik!Podrucje_ispisa</vt:lpstr>
      <vt:lpstr>'troškovnik (2)'!Podrucje_ispisa</vt:lpstr>
    </vt:vector>
  </TitlesOfParts>
  <Company>Hrvatske ceste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2009 - Analiza cijena</dc:title>
  <dc:creator>TomoV.</dc:creator>
  <cp:lastModifiedBy>Windows korisnik</cp:lastModifiedBy>
  <cp:revision/>
  <cp:lastPrinted>2022-01-07T05:57:38Z</cp:lastPrinted>
  <dcterms:created xsi:type="dcterms:W3CDTF">2004-12-03T09:36:05Z</dcterms:created>
  <dcterms:modified xsi:type="dcterms:W3CDTF">2022-01-07T13:49:06Z</dcterms:modified>
</cp:coreProperties>
</file>