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20" yWindow="990" windowWidth="11565" windowHeight="7980" tabRatio="930"/>
  </bookViews>
  <sheets>
    <sheet name="situacija 12 2021" sheetId="47" r:id="rId1"/>
    <sheet name="CJENIK" sheetId="49" r:id="rId2"/>
    <sheet name="rekapitulacija" sheetId="48" r:id="rId3"/>
    <sheet name="Grupa radova 2." sheetId="16" r:id="rId4"/>
    <sheet name="Grupa radova 3." sheetId="17" r:id="rId5"/>
    <sheet name="Grupa radova 4." sheetId="18" r:id="rId6"/>
    <sheet name="Grupa radova 5." sheetId="20" r:id="rId7"/>
    <sheet name="Grupa radova 6." sheetId="21" r:id="rId8"/>
    <sheet name="Grupa radova 7." sheetId="22" r:id="rId9"/>
    <sheet name="Grupa radova 8." sheetId="23" r:id="rId10"/>
    <sheet name="Grupa radova 9." sheetId="24" r:id="rId11"/>
    <sheet name="Grupa radova 10." sheetId="28" r:id="rId12"/>
    <sheet name="Grupa radova 11." sheetId="29" r:id="rId13"/>
    <sheet name="Obrazac kalkulacije" sheetId="8" r:id="rId14"/>
    <sheet name="Cjenik RS" sheetId="30" r:id="rId15"/>
    <sheet name="Cjenik M" sheetId="13" r:id="rId16"/>
    <sheet name="Cjenik PM" sheetId="45" r:id="rId17"/>
    <sheet name="Devizni tecaj, porez i gorivo" sheetId="41" r:id="rId18"/>
    <sheet name="Nabavna cijena" sheetId="42" r:id="rId19"/>
    <sheet name="Cijena sata rada" sheetId="43" r:id="rId20"/>
    <sheet name="Cjenik VSO (pomoćna)" sheetId="44" r:id="rId21"/>
    <sheet name="Cjenik VSO" sheetId="31" r:id="rId22"/>
    <sheet name="Cjenik M (pomoćna)" sheetId="46" r:id="rId23"/>
  </sheets>
  <externalReferences>
    <externalReference r:id="rId24"/>
    <externalReference r:id="rId25"/>
  </externalReferences>
  <definedNames>
    <definedName name="_xlnm._FilterDatabase" localSheetId="15" hidden="1">'Cjenik M'!$B$9:$D$73</definedName>
    <definedName name="_xlnm._FilterDatabase" localSheetId="22" hidden="1">'Cjenik M (pomoćna)'!$B$5:$B$95</definedName>
    <definedName name="_xlnm._FilterDatabase" localSheetId="21" hidden="1">'Cjenik VSO'!$A$7:$C$85</definedName>
    <definedName name="_xlnm._FilterDatabase" localSheetId="20" hidden="1">'Cjenik VSO (pomoćna)'!$A$7:$C$13</definedName>
    <definedName name="_xlnm._FilterDatabase" localSheetId="4" hidden="1">'Grupa radova 3.'!$B$5:$G$5</definedName>
    <definedName name="_xlnm.Print_Titles" localSheetId="19">'Cijena sata rada'!$A:$A</definedName>
    <definedName name="_xlnm.Print_Titles" localSheetId="1">CJENIK!$A:$C,CJENIK!$1:$7</definedName>
    <definedName name="_xlnm.Print_Titles" localSheetId="15">'Cjenik M'!$A:$C,'Cjenik M'!$5:$10</definedName>
    <definedName name="_xlnm.Print_Titles" localSheetId="22">'Cjenik M (pomoćna)'!$A:$C,'Cjenik M (pomoćna)'!$1:$7</definedName>
    <definedName name="_xlnm.Print_Titles" localSheetId="16">'Cjenik PM'!$1:$9</definedName>
    <definedName name="_xlnm.Print_Titles" localSheetId="21">'Cjenik VSO'!$2:$8</definedName>
    <definedName name="_xlnm.Print_Titles" localSheetId="20">'Cjenik VSO (pomoćna)'!$2:$8</definedName>
    <definedName name="_xlnm.Print_Titles" localSheetId="18">'Nabavna cijena'!$A:$B,'Nabavna cijena'!$1:$6</definedName>
    <definedName name="_xlnm.Print_Titles" localSheetId="2">rekapitulacija!$A:$B</definedName>
    <definedName name="_xlnm.Print_Titles" localSheetId="0">'situacija 12 2021'!$A:$C,'situacija 12 2021'!$1:$7</definedName>
    <definedName name="_xlnm.Print_Area" localSheetId="19">'Cijena sata rada'!$A$1:$BZ$55</definedName>
    <definedName name="_xlnm.Print_Area" localSheetId="15">'Cjenik M'!$A$7:$D$28</definedName>
    <definedName name="_xlnm.Print_Area" localSheetId="22">'Cjenik M (pomoćna)'!$A$1:$G$109</definedName>
    <definedName name="_xlnm.Print_Area" localSheetId="16">'Cjenik PM'!$A$3:$I$90</definedName>
    <definedName name="_xlnm.Print_Area" localSheetId="14">'Cjenik RS'!$A$1:$F$29</definedName>
    <definedName name="_xlnm.Print_Area" localSheetId="21">'Cjenik VSO'!$A$1:$D$85</definedName>
    <definedName name="_xlnm.Print_Area" localSheetId="20">'Cjenik VSO (pomoćna)'!$A$2:$C$37</definedName>
    <definedName name="_xlnm.Print_Area" localSheetId="17">'Devizni tecaj, porez i gorivo'!$A$1:$D$21</definedName>
    <definedName name="_xlnm.Print_Area" localSheetId="11">'Grupa radova 10.'!$A$1:$G$397</definedName>
    <definedName name="_xlnm.Print_Area" localSheetId="12">'Grupa radova 11.'!$A$1:$G$39</definedName>
    <definedName name="_xlnm.Print_Area" localSheetId="3">'Grupa radova 2.'!$A$1:$G$1024</definedName>
    <definedName name="_xlnm.Print_Area" localSheetId="4">'Grupa radova 3.'!$A$1:$G$332</definedName>
    <definedName name="_xlnm.Print_Area" localSheetId="5">'Grupa radova 4.'!$A$1:$G$298</definedName>
    <definedName name="_xlnm.Print_Area" localSheetId="6">'Grupa radova 5.'!$A$1:$G$817</definedName>
    <definedName name="_xlnm.Print_Area" localSheetId="7">'Grupa radova 6.'!$A$1:$G$1707</definedName>
    <definedName name="_xlnm.Print_Area" localSheetId="8">'Grupa radova 7.'!$A$1:$G$328</definedName>
    <definedName name="_xlnm.Print_Area" localSheetId="9">'Grupa radova 8.'!$A$1:$G$787</definedName>
    <definedName name="_xlnm.Print_Area" localSheetId="10">'Grupa radova 9.'!$A$1:$G$300</definedName>
    <definedName name="_xlnm.Print_Area" localSheetId="18">'Nabavna cijena'!$A$1:$J$83</definedName>
    <definedName name="_xlnm.Print_Area" localSheetId="13">'Obrazac kalkulacije'!$A$1:$G$26</definedName>
    <definedName name="_xlnm.Print_Area" localSheetId="2">rekapitulacija!$A$1:$G$23</definedName>
  </definedNames>
  <calcPr calcId="125725"/>
</workbook>
</file>

<file path=xl/calcChain.xml><?xml version="1.0" encoding="utf-8"?>
<calcChain xmlns="http://schemas.openxmlformats.org/spreadsheetml/2006/main">
  <c r="B198" i="16"/>
  <c r="F201"/>
  <c r="B201"/>
  <c r="F205"/>
  <c r="G205" s="1"/>
  <c r="B205"/>
  <c r="C14" i="44"/>
  <c r="B14"/>
  <c r="C13"/>
  <c r="B13"/>
  <c r="C12"/>
  <c r="B12"/>
  <c r="C11"/>
  <c r="B11"/>
  <c r="C10"/>
  <c r="B10"/>
  <c r="C9"/>
  <c r="B9"/>
  <c r="B174" i="16"/>
  <c r="F175"/>
  <c r="G175" s="1"/>
  <c r="G174" s="1"/>
  <c r="B176"/>
  <c r="G177"/>
  <c r="G176" s="1"/>
  <c r="B178"/>
  <c r="D179"/>
  <c r="G179"/>
  <c r="G178" s="1"/>
  <c r="E180"/>
  <c r="E181"/>
  <c r="F181"/>
  <c r="E182"/>
  <c r="C186"/>
  <c r="F186"/>
  <c r="C187"/>
  <c r="F187"/>
  <c r="G180" l="1"/>
  <c r="F25" i="49"/>
  <c r="F24" s="1"/>
  <c r="F23" s="1"/>
  <c r="F22"/>
  <c r="F21"/>
  <c r="F18"/>
  <c r="F17"/>
  <c r="F16"/>
  <c r="F15" s="1"/>
  <c r="F14"/>
  <c r="F13" s="1"/>
  <c r="F12" s="1"/>
  <c r="F11"/>
  <c r="F10"/>
  <c r="F9" l="1"/>
  <c r="F8" s="1"/>
  <c r="G181" i="16"/>
  <c r="G182" s="1"/>
  <c r="F27" i="49"/>
  <c r="F20"/>
  <c r="F19" s="1"/>
  <c r="F28"/>
  <c r="G36" i="16"/>
  <c r="G16"/>
  <c r="G15"/>
  <c r="G11"/>
  <c r="G9"/>
  <c r="F29" i="49" l="1"/>
  <c r="G8" i="48"/>
  <c r="G7"/>
  <c r="A3" l="1"/>
  <c r="B12"/>
  <c r="F331" i="16"/>
  <c r="H50" i="22"/>
  <c r="H51"/>
  <c r="R101"/>
  <c r="H61"/>
  <c r="J36"/>
  <c r="H10"/>
  <c r="N267" i="28"/>
  <c r="K267"/>
  <c r="F267"/>
  <c r="C267"/>
  <c r="N266"/>
  <c r="K266"/>
  <c r="F266"/>
  <c r="C266"/>
  <c r="M262"/>
  <c r="E262"/>
  <c r="N261"/>
  <c r="M261"/>
  <c r="F261"/>
  <c r="E261"/>
  <c r="M260"/>
  <c r="H260"/>
  <c r="E260"/>
  <c r="F294"/>
  <c r="G294" s="1"/>
  <c r="F295"/>
  <c r="G295" s="1"/>
  <c r="E296"/>
  <c r="E297"/>
  <c r="F297"/>
  <c r="E298"/>
  <c r="F6" i="43"/>
  <c r="CB6"/>
  <c r="CB9"/>
  <c r="CB4"/>
  <c r="CB46"/>
  <c r="CB47"/>
  <c r="CB48"/>
  <c r="CB36"/>
  <c r="CB37"/>
  <c r="CB38"/>
  <c r="CB10"/>
  <c r="CB11"/>
  <c r="CB18"/>
  <c r="CB44" s="1"/>
  <c r="CB21"/>
  <c r="CB45" s="1"/>
  <c r="I85" i="42"/>
  <c r="J85"/>
  <c r="N250" i="28"/>
  <c r="K250"/>
  <c r="F250"/>
  <c r="C250"/>
  <c r="N249"/>
  <c r="K249"/>
  <c r="F249"/>
  <c r="C249"/>
  <c r="M245"/>
  <c r="E245"/>
  <c r="N244"/>
  <c r="M244"/>
  <c r="F244"/>
  <c r="E244"/>
  <c r="M243"/>
  <c r="H243"/>
  <c r="E243"/>
  <c r="CA4" i="43"/>
  <c r="CA48"/>
  <c r="CA47"/>
  <c r="CA46"/>
  <c r="CA38"/>
  <c r="CA37"/>
  <c r="CA36"/>
  <c r="CA18"/>
  <c r="CA11"/>
  <c r="CA10"/>
  <c r="J84" i="42"/>
  <c r="I84"/>
  <c r="CA9" i="43" s="1"/>
  <c r="F302" i="24"/>
  <c r="C302"/>
  <c r="F301"/>
  <c r="C301"/>
  <c r="E298"/>
  <c r="F297"/>
  <c r="E297"/>
  <c r="E296"/>
  <c r="F295"/>
  <c r="G295" s="1"/>
  <c r="G294" s="1"/>
  <c r="D295"/>
  <c r="B295"/>
  <c r="B294"/>
  <c r="B290"/>
  <c r="B288"/>
  <c r="G286"/>
  <c r="F286"/>
  <c r="E286"/>
  <c r="D286"/>
  <c r="B286"/>
  <c r="F281"/>
  <c r="C281"/>
  <c r="F280"/>
  <c r="C280"/>
  <c r="E276"/>
  <c r="F275"/>
  <c r="E275"/>
  <c r="E274"/>
  <c r="F273"/>
  <c r="G273" s="1"/>
  <c r="G272" s="1"/>
  <c r="D273"/>
  <c r="B273"/>
  <c r="B272"/>
  <c r="B268"/>
  <c r="B266"/>
  <c r="G264"/>
  <c r="F264"/>
  <c r="E264"/>
  <c r="D264"/>
  <c r="B264"/>
  <c r="F259"/>
  <c r="C259"/>
  <c r="F258"/>
  <c r="C258"/>
  <c r="E254"/>
  <c r="F253"/>
  <c r="E253"/>
  <c r="E252"/>
  <c r="F251"/>
  <c r="G251" s="1"/>
  <c r="G250" s="1"/>
  <c r="D251"/>
  <c r="B251"/>
  <c r="B250"/>
  <c r="B246"/>
  <c r="B244"/>
  <c r="G242"/>
  <c r="F242"/>
  <c r="E242"/>
  <c r="D242"/>
  <c r="B242"/>
  <c r="F236"/>
  <c r="C236"/>
  <c r="F235"/>
  <c r="C235"/>
  <c r="E231"/>
  <c r="F230"/>
  <c r="E230"/>
  <c r="E229"/>
  <c r="F228"/>
  <c r="G228" s="1"/>
  <c r="G227" s="1"/>
  <c r="D228"/>
  <c r="B228"/>
  <c r="B227"/>
  <c r="B223"/>
  <c r="B221"/>
  <c r="G219"/>
  <c r="F219"/>
  <c r="E219"/>
  <c r="D219"/>
  <c r="B219"/>
  <c r="F213"/>
  <c r="C213"/>
  <c r="F212"/>
  <c r="C212"/>
  <c r="E208"/>
  <c r="F207"/>
  <c r="E207"/>
  <c r="E206"/>
  <c r="F205"/>
  <c r="G205" s="1"/>
  <c r="G204" s="1"/>
  <c r="D205"/>
  <c r="B205"/>
  <c r="B204"/>
  <c r="B200"/>
  <c r="B198"/>
  <c r="G196"/>
  <c r="F196"/>
  <c r="E196"/>
  <c r="D196"/>
  <c r="B196"/>
  <c r="F190"/>
  <c r="C190"/>
  <c r="F189"/>
  <c r="C189"/>
  <c r="E185"/>
  <c r="F184"/>
  <c r="E184"/>
  <c r="E183"/>
  <c r="F182"/>
  <c r="G182" s="1"/>
  <c r="G181" s="1"/>
  <c r="D182"/>
  <c r="B182"/>
  <c r="B181"/>
  <c r="B177"/>
  <c r="B175"/>
  <c r="G173"/>
  <c r="F173"/>
  <c r="E173"/>
  <c r="D173"/>
  <c r="B173"/>
  <c r="F167"/>
  <c r="C167"/>
  <c r="F166"/>
  <c r="C166"/>
  <c r="E162"/>
  <c r="F161"/>
  <c r="E161"/>
  <c r="E160"/>
  <c r="F159"/>
  <c r="G159" s="1"/>
  <c r="G158" s="1"/>
  <c r="D159"/>
  <c r="B159"/>
  <c r="B158"/>
  <c r="B154"/>
  <c r="B152"/>
  <c r="G150"/>
  <c r="F150"/>
  <c r="E150"/>
  <c r="D150"/>
  <c r="B150"/>
  <c r="F143"/>
  <c r="C143"/>
  <c r="F142"/>
  <c r="C142"/>
  <c r="E138"/>
  <c r="F137"/>
  <c r="E137"/>
  <c r="E136"/>
  <c r="F135"/>
  <c r="G135" s="1"/>
  <c r="G134" s="1"/>
  <c r="D135"/>
  <c r="B135"/>
  <c r="B134"/>
  <c r="B130"/>
  <c r="B128"/>
  <c r="G126"/>
  <c r="F126"/>
  <c r="E126"/>
  <c r="D126"/>
  <c r="B126"/>
  <c r="F120"/>
  <c r="C120"/>
  <c r="F119"/>
  <c r="C119"/>
  <c r="E115"/>
  <c r="F114"/>
  <c r="E114"/>
  <c r="E113"/>
  <c r="F112"/>
  <c r="G112" s="1"/>
  <c r="G111" s="1"/>
  <c r="D112"/>
  <c r="B112"/>
  <c r="B111"/>
  <c r="B107"/>
  <c r="B105"/>
  <c r="G103"/>
  <c r="F103"/>
  <c r="E103"/>
  <c r="D103"/>
  <c r="B103"/>
  <c r="F97"/>
  <c r="C97"/>
  <c r="F96"/>
  <c r="C96"/>
  <c r="E92"/>
  <c r="F91"/>
  <c r="E91"/>
  <c r="E90"/>
  <c r="F89"/>
  <c r="G89" s="1"/>
  <c r="G88" s="1"/>
  <c r="D89"/>
  <c r="B89"/>
  <c r="B88"/>
  <c r="B84"/>
  <c r="B82"/>
  <c r="G80"/>
  <c r="F80"/>
  <c r="E80"/>
  <c r="D80"/>
  <c r="B80"/>
  <c r="F74"/>
  <c r="C74"/>
  <c r="F73"/>
  <c r="C73"/>
  <c r="E69"/>
  <c r="F68"/>
  <c r="E68"/>
  <c r="E67"/>
  <c r="F66"/>
  <c r="G66" s="1"/>
  <c r="G65" s="1"/>
  <c r="D66"/>
  <c r="B66"/>
  <c r="B65"/>
  <c r="B61"/>
  <c r="B59"/>
  <c r="G57"/>
  <c r="F57"/>
  <c r="E57"/>
  <c r="D57"/>
  <c r="B57"/>
  <c r="F49"/>
  <c r="C49"/>
  <c r="F48"/>
  <c r="C48"/>
  <c r="E44"/>
  <c r="F43"/>
  <c r="E43"/>
  <c r="E42"/>
  <c r="F41"/>
  <c r="G41" s="1"/>
  <c r="G40" s="1"/>
  <c r="D41"/>
  <c r="B41"/>
  <c r="B40"/>
  <c r="B36"/>
  <c r="B34"/>
  <c r="G32"/>
  <c r="F32"/>
  <c r="E32"/>
  <c r="D32"/>
  <c r="B32"/>
  <c r="F22"/>
  <c r="C22"/>
  <c r="F21"/>
  <c r="C21"/>
  <c r="E17"/>
  <c r="F16"/>
  <c r="E16"/>
  <c r="E15"/>
  <c r="F14"/>
  <c r="G14" s="1"/>
  <c r="D14"/>
  <c r="B14"/>
  <c r="G13"/>
  <c r="B13"/>
  <c r="B9"/>
  <c r="B7"/>
  <c r="G5"/>
  <c r="F5"/>
  <c r="E5"/>
  <c r="D5"/>
  <c r="B5"/>
  <c r="N546" i="23"/>
  <c r="N447"/>
  <c r="N231"/>
  <c r="N206"/>
  <c r="N181"/>
  <c r="N131"/>
  <c r="M35" i="18"/>
  <c r="N34"/>
  <c r="M34"/>
  <c r="P33"/>
  <c r="M33"/>
  <c r="O32"/>
  <c r="O31"/>
  <c r="J31"/>
  <c r="M30"/>
  <c r="M29"/>
  <c r="J28"/>
  <c r="M27"/>
  <c r="J26"/>
  <c r="J803" i="21"/>
  <c r="B706" i="16"/>
  <c r="G293" i="28" l="1"/>
  <c r="G296" s="1"/>
  <c r="CB49" i="43"/>
  <c r="CA35"/>
  <c r="CA34"/>
  <c r="CA33"/>
  <c r="CA44"/>
  <c r="CA21"/>
  <c r="CA45" s="1"/>
  <c r="B441" i="21"/>
  <c r="B17" i="46"/>
  <c r="B16"/>
  <c r="B15"/>
  <c r="B14"/>
  <c r="B13"/>
  <c r="B12"/>
  <c r="B11"/>
  <c r="B10"/>
  <c r="B9"/>
  <c r="B8"/>
  <c r="G297" i="28" l="1"/>
  <c r="G298" s="1"/>
  <c r="CB33" i="43"/>
  <c r="CB34"/>
  <c r="CB35"/>
  <c r="CA49"/>
  <c r="E185" i="22"/>
  <c r="E142"/>
  <c r="H71"/>
  <c r="H48"/>
  <c r="H73"/>
  <c r="D579" i="20"/>
  <c r="B579"/>
  <c r="L579"/>
  <c r="J579"/>
  <c r="D552"/>
  <c r="B552"/>
  <c r="L551"/>
  <c r="J551"/>
  <c r="D551"/>
  <c r="B551"/>
  <c r="E30" i="18"/>
  <c r="E29"/>
  <c r="E27"/>
  <c r="C85" i="31"/>
  <c r="C84"/>
  <c r="H84" s="1"/>
  <c r="C83"/>
  <c r="C82"/>
  <c r="C81"/>
  <c r="C80"/>
  <c r="C79"/>
  <c r="C78"/>
  <c r="F119" i="22"/>
  <c r="G119" s="1"/>
  <c r="C76" i="31"/>
  <c r="F139" i="28" s="1"/>
  <c r="G139" s="1"/>
  <c r="C75" i="31"/>
  <c r="F75"/>
  <c r="C74"/>
  <c r="C73"/>
  <c r="C72"/>
  <c r="C71"/>
  <c r="C70"/>
  <c r="C69"/>
  <c r="C68"/>
  <c r="C67"/>
  <c r="C66"/>
  <c r="C65"/>
  <c r="C64"/>
  <c r="C63"/>
  <c r="C62"/>
  <c r="C61"/>
  <c r="C60"/>
  <c r="C59"/>
  <c r="F75" i="23" s="1"/>
  <c r="G75" s="1"/>
  <c r="C58" i="31"/>
  <c r="C57"/>
  <c r="F57" s="1"/>
  <c r="C56"/>
  <c r="C55"/>
  <c r="F72" i="17" s="1"/>
  <c r="G72" s="1"/>
  <c r="C54" i="31"/>
  <c r="C53"/>
  <c r="C52"/>
  <c r="C51"/>
  <c r="F165" i="22" s="1"/>
  <c r="G165" s="1"/>
  <c r="C50" i="31"/>
  <c r="C49"/>
  <c r="H49" s="1"/>
  <c r="C48"/>
  <c r="C47"/>
  <c r="C46"/>
  <c r="C45"/>
  <c r="F45" s="1"/>
  <c r="C43"/>
  <c r="C42"/>
  <c r="C41"/>
  <c r="H41"/>
  <c r="C40"/>
  <c r="C39"/>
  <c r="F39" s="1"/>
  <c r="C38"/>
  <c r="C37"/>
  <c r="C36"/>
  <c r="C34"/>
  <c r="C33"/>
  <c r="C32"/>
  <c r="C31"/>
  <c r="C30"/>
  <c r="C29"/>
  <c r="H29" s="1"/>
  <c r="C28"/>
  <c r="C27"/>
  <c r="C26"/>
  <c r="C25"/>
  <c r="F25" s="1"/>
  <c r="C24"/>
  <c r="C23"/>
  <c r="C22"/>
  <c r="C21"/>
  <c r="C20"/>
  <c r="C19"/>
  <c r="C18"/>
  <c r="C17"/>
  <c r="C16"/>
  <c r="C14"/>
  <c r="C13"/>
  <c r="H13" s="1"/>
  <c r="C12"/>
  <c r="H12"/>
  <c r="C11"/>
  <c r="C10"/>
  <c r="C9"/>
  <c r="F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9"/>
  <c r="C19" i="41"/>
  <c r="AW18" i="43" s="1"/>
  <c r="AW21" s="1"/>
  <c r="AW45" s="1"/>
  <c r="H9" i="31"/>
  <c r="C20" i="41"/>
  <c r="BZ18" i="43" s="1"/>
  <c r="BZ21" s="1"/>
  <c r="BZ45" s="1"/>
  <c r="H85" i="31"/>
  <c r="H81"/>
  <c r="H75"/>
  <c r="H72"/>
  <c r="H69"/>
  <c r="H65"/>
  <c r="H61"/>
  <c r="H53"/>
  <c r="H36"/>
  <c r="H32"/>
  <c r="H25"/>
  <c r="H17"/>
  <c r="H11"/>
  <c r="F85"/>
  <c r="F76"/>
  <c r="F72"/>
  <c r="F69"/>
  <c r="F65"/>
  <c r="F61"/>
  <c r="F53"/>
  <c r="F49"/>
  <c r="F41"/>
  <c r="F32"/>
  <c r="F29"/>
  <c r="F21"/>
  <c r="F11"/>
  <c r="AD10" i="43"/>
  <c r="J35" i="42"/>
  <c r="AD11" i="43" s="1"/>
  <c r="AD9" s="1"/>
  <c r="AD33" s="1"/>
  <c r="F367" i="28"/>
  <c r="G367" s="1"/>
  <c r="G366" s="1"/>
  <c r="E10" i="43"/>
  <c r="J10" i="42"/>
  <c r="E11" i="43" s="1"/>
  <c r="AB10"/>
  <c r="J33" i="42"/>
  <c r="AB11" i="43" s="1"/>
  <c r="AB9" s="1"/>
  <c r="AJ10"/>
  <c r="J41" i="42"/>
  <c r="AJ11" i="43" s="1"/>
  <c r="AJ9" s="1"/>
  <c r="AJ34" s="1"/>
  <c r="AG10"/>
  <c r="J38" i="42"/>
  <c r="AG11" i="43" s="1"/>
  <c r="AG9" s="1"/>
  <c r="AG44"/>
  <c r="AG21"/>
  <c r="AG45"/>
  <c r="AF10"/>
  <c r="J37" i="42"/>
  <c r="AF11" i="43" s="1"/>
  <c r="AF12"/>
  <c r="AF39" s="1"/>
  <c r="AF40"/>
  <c r="AF44"/>
  <c r="AF21"/>
  <c r="AF45" s="1"/>
  <c r="AC10"/>
  <c r="J34" i="42"/>
  <c r="AC11" i="43" s="1"/>
  <c r="AC12"/>
  <c r="AC39" s="1"/>
  <c r="AC40"/>
  <c r="H10"/>
  <c r="J13" i="42"/>
  <c r="H11" i="43" s="1"/>
  <c r="T10"/>
  <c r="J25" i="42"/>
  <c r="T11" i="43"/>
  <c r="AH10"/>
  <c r="J39" i="42"/>
  <c r="AH11" i="43" s="1"/>
  <c r="AH9" s="1"/>
  <c r="AH33" s="1"/>
  <c r="AH12"/>
  <c r="AH39"/>
  <c r="AH40"/>
  <c r="AH44"/>
  <c r="AH21"/>
  <c r="AH45"/>
  <c r="F182" i="28"/>
  <c r="G182" s="1"/>
  <c r="BQ10" i="43"/>
  <c r="J74" i="42"/>
  <c r="BQ11" i="43" s="1"/>
  <c r="AI10"/>
  <c r="J40" i="42"/>
  <c r="AI11" i="43" s="1"/>
  <c r="AI12"/>
  <c r="AI39"/>
  <c r="AI40"/>
  <c r="AI44"/>
  <c r="AI21"/>
  <c r="AI45"/>
  <c r="S10"/>
  <c r="J24" i="42"/>
  <c r="S11" i="43" s="1"/>
  <c r="S9" s="1"/>
  <c r="F103" i="28"/>
  <c r="G103" s="1"/>
  <c r="G102" s="1"/>
  <c r="F79"/>
  <c r="G79" s="1"/>
  <c r="G78" s="1"/>
  <c r="F11"/>
  <c r="G11" s="1"/>
  <c r="G10" s="1"/>
  <c r="F751" i="23"/>
  <c r="G751"/>
  <c r="BH10" i="43"/>
  <c r="J65" i="42"/>
  <c r="BH11" i="43" s="1"/>
  <c r="BH12"/>
  <c r="BH39" s="1"/>
  <c r="BH40"/>
  <c r="F755" i="23"/>
  <c r="G755" s="1"/>
  <c r="BE10" i="43"/>
  <c r="J62" i="42"/>
  <c r="BE11" i="43" s="1"/>
  <c r="BA10"/>
  <c r="J58" i="42"/>
  <c r="BA11" i="43" s="1"/>
  <c r="V10"/>
  <c r="J27" i="42"/>
  <c r="V11" i="43" s="1"/>
  <c r="F702" i="23"/>
  <c r="G702" s="1"/>
  <c r="F647"/>
  <c r="G647" s="1"/>
  <c r="F619"/>
  <c r="G619" s="1"/>
  <c r="F591"/>
  <c r="G591" s="1"/>
  <c r="F548"/>
  <c r="G548" s="1"/>
  <c r="F549"/>
  <c r="G549" s="1"/>
  <c r="F550"/>
  <c r="G550" s="1"/>
  <c r="BF10" i="43"/>
  <c r="J63" i="42"/>
  <c r="BF11" i="43" s="1"/>
  <c r="F524" i="23"/>
  <c r="G524"/>
  <c r="F500"/>
  <c r="G500"/>
  <c r="F449"/>
  <c r="G449"/>
  <c r="F451"/>
  <c r="G451" s="1"/>
  <c r="F422"/>
  <c r="G422" s="1"/>
  <c r="F426"/>
  <c r="G426" s="1"/>
  <c r="F399"/>
  <c r="G399" s="1"/>
  <c r="F378"/>
  <c r="G378" s="1"/>
  <c r="F284"/>
  <c r="G284" s="1"/>
  <c r="F287"/>
  <c r="G287" s="1"/>
  <c r="G286" s="1"/>
  <c r="F260"/>
  <c r="G260" s="1"/>
  <c r="F233"/>
  <c r="G233" s="1"/>
  <c r="F234"/>
  <c r="G234" s="1"/>
  <c r="F235"/>
  <c r="G235" s="1"/>
  <c r="G232" s="1"/>
  <c r="F209"/>
  <c r="G209" s="1"/>
  <c r="F210"/>
  <c r="G210" s="1"/>
  <c r="U10" i="43"/>
  <c r="J26" i="42"/>
  <c r="U11" i="43" s="1"/>
  <c r="F158" i="23"/>
  <c r="G158" s="1"/>
  <c r="AP10" i="43"/>
  <c r="J47" i="42"/>
  <c r="AP11" i="43" s="1"/>
  <c r="AP12"/>
  <c r="AP39"/>
  <c r="AP40"/>
  <c r="AP44"/>
  <c r="AP21"/>
  <c r="AP45"/>
  <c r="F160" i="23"/>
  <c r="G160" s="1"/>
  <c r="F133"/>
  <c r="G133" s="1"/>
  <c r="F134"/>
  <c r="G134" s="1"/>
  <c r="F135"/>
  <c r="G135" s="1"/>
  <c r="F95"/>
  <c r="G95" s="1"/>
  <c r="G94" s="1"/>
  <c r="F74"/>
  <c r="G74" s="1"/>
  <c r="AZ10" i="43"/>
  <c r="J57" i="42"/>
  <c r="AZ11" i="43" s="1"/>
  <c r="AS10"/>
  <c r="J50" i="42"/>
  <c r="AS11" i="43" s="1"/>
  <c r="AS40"/>
  <c r="AS21"/>
  <c r="AS45" s="1"/>
  <c r="F32" i="23"/>
  <c r="G32" s="1"/>
  <c r="F33"/>
  <c r="G33" s="1"/>
  <c r="F11"/>
  <c r="G11" s="1"/>
  <c r="G10" s="1"/>
  <c r="G10" i="43"/>
  <c r="J12" i="42"/>
  <c r="G11" i="43" s="1"/>
  <c r="F315" i="22"/>
  <c r="G315" s="1"/>
  <c r="AK10" i="43"/>
  <c r="J42" i="42"/>
  <c r="AK11" i="43" s="1"/>
  <c r="AT10"/>
  <c r="J51" i="42"/>
  <c r="AT11" i="43" s="1"/>
  <c r="AT40"/>
  <c r="AT21"/>
  <c r="AT45" s="1"/>
  <c r="F317" i="22"/>
  <c r="G317" s="1"/>
  <c r="F318"/>
  <c r="G318" s="1"/>
  <c r="X10" i="43"/>
  <c r="J29" i="42"/>
  <c r="X11" i="43" s="1"/>
  <c r="X12"/>
  <c r="X39" s="1"/>
  <c r="X40"/>
  <c r="X44"/>
  <c r="X21"/>
  <c r="X45" s="1"/>
  <c r="F292" i="22"/>
  <c r="G292" s="1"/>
  <c r="F294"/>
  <c r="G294" s="1"/>
  <c r="F295"/>
  <c r="G295" s="1"/>
  <c r="F269"/>
  <c r="G269" s="1"/>
  <c r="F271"/>
  <c r="G271" s="1"/>
  <c r="F250"/>
  <c r="G250" s="1"/>
  <c r="F229"/>
  <c r="G229" s="1"/>
  <c r="F208"/>
  <c r="G208" s="1"/>
  <c r="F184"/>
  <c r="G184" s="1"/>
  <c r="BM10" i="43"/>
  <c r="J70" i="42"/>
  <c r="BM11" i="43" s="1"/>
  <c r="BM12"/>
  <c r="BM39"/>
  <c r="BM40"/>
  <c r="F185" i="22"/>
  <c r="AQ10" i="43"/>
  <c r="J48" i="42"/>
  <c r="AQ11" i="43" s="1"/>
  <c r="AQ12"/>
  <c r="AQ39" s="1"/>
  <c r="AQ40"/>
  <c r="AQ44"/>
  <c r="AQ21"/>
  <c r="AQ45" s="1"/>
  <c r="F164" i="22"/>
  <c r="G164" s="1"/>
  <c r="AR10" i="43"/>
  <c r="J49" i="42"/>
  <c r="AR11" i="43" s="1"/>
  <c r="AR9" s="1"/>
  <c r="AR34" s="1"/>
  <c r="AR12"/>
  <c r="AR39"/>
  <c r="AR40"/>
  <c r="F142" i="22"/>
  <c r="G142" s="1"/>
  <c r="F144"/>
  <c r="G144" s="1"/>
  <c r="BS10" i="43"/>
  <c r="J76" i="42"/>
  <c r="BS11" i="43" s="1"/>
  <c r="BS40"/>
  <c r="BS21"/>
  <c r="BS45" s="1"/>
  <c r="BT10"/>
  <c r="J77" i="42"/>
  <c r="BT11" i="43"/>
  <c r="BT40"/>
  <c r="BT21"/>
  <c r="BT45" s="1"/>
  <c r="F120" i="22"/>
  <c r="G120" s="1"/>
  <c r="BU10" i="43"/>
  <c r="J78" i="42"/>
  <c r="BU11" i="43"/>
  <c r="BU40"/>
  <c r="BU21"/>
  <c r="BU45" s="1"/>
  <c r="BV10"/>
  <c r="J79" i="42"/>
  <c r="BV11" i="43" s="1"/>
  <c r="BV9" s="1"/>
  <c r="BV40"/>
  <c r="BV21"/>
  <c r="BV45" s="1"/>
  <c r="AN10"/>
  <c r="J45" i="42"/>
  <c r="AN11" i="43" s="1"/>
  <c r="AN12"/>
  <c r="AN39"/>
  <c r="AN40"/>
  <c r="AN44"/>
  <c r="AN21"/>
  <c r="AN45"/>
  <c r="AO10"/>
  <c r="J46" i="42"/>
  <c r="AO11" i="43" s="1"/>
  <c r="AO12"/>
  <c r="AO39" s="1"/>
  <c r="AO40"/>
  <c r="AO44"/>
  <c r="AO21"/>
  <c r="AO45" s="1"/>
  <c r="BR10"/>
  <c r="J75" i="42"/>
  <c r="BR11" i="43"/>
  <c r="BR40"/>
  <c r="F31" i="22"/>
  <c r="G31" s="1"/>
  <c r="BB10" i="43"/>
  <c r="J59" i="42"/>
  <c r="BB11" i="43" s="1"/>
  <c r="F1653" i="21"/>
  <c r="G1653" s="1"/>
  <c r="F1654"/>
  <c r="G1654" s="1"/>
  <c r="BC10" i="43"/>
  <c r="J60" i="42"/>
  <c r="BC11" i="43"/>
  <c r="F1608" i="21"/>
  <c r="F1582"/>
  <c r="F1583"/>
  <c r="F1556"/>
  <c r="F1530"/>
  <c r="F1531"/>
  <c r="F1504"/>
  <c r="F1478"/>
  <c r="F1479"/>
  <c r="E1479"/>
  <c r="G1479" s="1"/>
  <c r="F1452"/>
  <c r="F1426"/>
  <c r="F1427"/>
  <c r="F1400"/>
  <c r="F1374"/>
  <c r="F1375"/>
  <c r="F1348"/>
  <c r="F1322"/>
  <c r="F1323"/>
  <c r="F1296"/>
  <c r="BW10" i="43"/>
  <c r="J80" i="42"/>
  <c r="BW11" i="43" s="1"/>
  <c r="BW9" s="1"/>
  <c r="BW35" s="1"/>
  <c r="F1266" i="21"/>
  <c r="Z10" i="43"/>
  <c r="J31" i="42"/>
  <c r="Z11" i="43" s="1"/>
  <c r="Z12"/>
  <c r="Z39"/>
  <c r="Z40"/>
  <c r="Z44"/>
  <c r="Z21"/>
  <c r="Z45"/>
  <c r="F1268" i="21"/>
  <c r="BD10" i="43"/>
  <c r="J61" i="42"/>
  <c r="BD11" i="43" s="1"/>
  <c r="BD9" s="1"/>
  <c r="F1269" i="21"/>
  <c r="F1271"/>
  <c r="F1235"/>
  <c r="F1236"/>
  <c r="F1237"/>
  <c r="F1240"/>
  <c r="F1204"/>
  <c r="F1207"/>
  <c r="F1209"/>
  <c r="F1175"/>
  <c r="F1177"/>
  <c r="F1146"/>
  <c r="F1148"/>
  <c r="F1117"/>
  <c r="F1119"/>
  <c r="F1088"/>
  <c r="F1090"/>
  <c r="F1057"/>
  <c r="F1058"/>
  <c r="F1059"/>
  <c r="F1062"/>
  <c r="F1026"/>
  <c r="F1029"/>
  <c r="F1031"/>
  <c r="F995"/>
  <c r="F996"/>
  <c r="F997"/>
  <c r="F1000"/>
  <c r="F964"/>
  <c r="F967"/>
  <c r="F969"/>
  <c r="F935"/>
  <c r="F937"/>
  <c r="F906"/>
  <c r="F908"/>
  <c r="F877"/>
  <c r="F879"/>
  <c r="F848"/>
  <c r="F850"/>
  <c r="F782"/>
  <c r="G782" s="1"/>
  <c r="G781" s="1"/>
  <c r="F758"/>
  <c r="G758"/>
  <c r="F734"/>
  <c r="G734"/>
  <c r="F713"/>
  <c r="G713"/>
  <c r="F691"/>
  <c r="G691"/>
  <c r="I10" i="43"/>
  <c r="J14" i="42"/>
  <c r="I11" i="43" s="1"/>
  <c r="I44"/>
  <c r="I21"/>
  <c r="I45" s="1"/>
  <c r="F669" i="21"/>
  <c r="G669" s="1"/>
  <c r="G668" s="1"/>
  <c r="F647"/>
  <c r="G647" s="1"/>
  <c r="G646" s="1"/>
  <c r="F583"/>
  <c r="G583" s="1"/>
  <c r="G582" s="1"/>
  <c r="F463"/>
  <c r="G463" s="1"/>
  <c r="G462" s="1"/>
  <c r="F438"/>
  <c r="G438" s="1"/>
  <c r="F413"/>
  <c r="G413" s="1"/>
  <c r="F388"/>
  <c r="G388" s="1"/>
  <c r="F364"/>
  <c r="G364" s="1"/>
  <c r="F339"/>
  <c r="G339" s="1"/>
  <c r="F314"/>
  <c r="G314" s="1"/>
  <c r="F266"/>
  <c r="G266" s="1"/>
  <c r="F245"/>
  <c r="G245" s="1"/>
  <c r="G244" s="1"/>
  <c r="F201"/>
  <c r="G201" s="1"/>
  <c r="F134"/>
  <c r="G134" s="1"/>
  <c r="G133" s="1"/>
  <c r="F113"/>
  <c r="G113" s="1"/>
  <c r="F70"/>
  <c r="G70" s="1"/>
  <c r="F47"/>
  <c r="G47" s="1"/>
  <c r="F48"/>
  <c r="G48" s="1"/>
  <c r="G30" i="46"/>
  <c r="F803" i="20"/>
  <c r="G803" s="1"/>
  <c r="F777"/>
  <c r="G777" s="1"/>
  <c r="F749"/>
  <c r="G749" s="1"/>
  <c r="F724"/>
  <c r="G724" s="1"/>
  <c r="G723" s="1"/>
  <c r="F699"/>
  <c r="G699" s="1"/>
  <c r="G698" s="1"/>
  <c r="F673"/>
  <c r="G673" s="1"/>
  <c r="F649"/>
  <c r="G649" s="1"/>
  <c r="G648" s="1"/>
  <c r="F625"/>
  <c r="G625" s="1"/>
  <c r="G624" s="1"/>
  <c r="F572"/>
  <c r="G572" s="1"/>
  <c r="F545"/>
  <c r="G545" s="1"/>
  <c r="F519"/>
  <c r="G519" s="1"/>
  <c r="F492"/>
  <c r="G492" s="1"/>
  <c r="F466"/>
  <c r="G466" s="1"/>
  <c r="F440"/>
  <c r="G440" s="1"/>
  <c r="F414"/>
  <c r="G414" s="1"/>
  <c r="F388"/>
  <c r="G388" s="1"/>
  <c r="F391"/>
  <c r="G391" s="1"/>
  <c r="M10" i="43"/>
  <c r="J18" i="42"/>
  <c r="M11" i="43" s="1"/>
  <c r="F338" i="20"/>
  <c r="G338" s="1"/>
  <c r="F288"/>
  <c r="G288" s="1"/>
  <c r="F290"/>
  <c r="G290" s="1"/>
  <c r="F238"/>
  <c r="G238" s="1"/>
  <c r="F213"/>
  <c r="G213" s="1"/>
  <c r="F193"/>
  <c r="G193" s="1"/>
  <c r="G192" s="1"/>
  <c r="F133"/>
  <c r="G133" s="1"/>
  <c r="G132" s="1"/>
  <c r="F111"/>
  <c r="G111" s="1"/>
  <c r="G110" s="1"/>
  <c r="F70"/>
  <c r="E70"/>
  <c r="F50"/>
  <c r="J10" i="43"/>
  <c r="J15" i="42"/>
  <c r="J11" i="43" s="1"/>
  <c r="F286" i="18"/>
  <c r="G286" s="1"/>
  <c r="F287"/>
  <c r="G287" s="1"/>
  <c r="F260"/>
  <c r="G260" s="1"/>
  <c r="F261"/>
  <c r="G261" s="1"/>
  <c r="F234"/>
  <c r="G234" s="1"/>
  <c r="F235"/>
  <c r="G235" s="1"/>
  <c r="L10" i="43"/>
  <c r="J17" i="42"/>
  <c r="L11" i="43" s="1"/>
  <c r="F236" i="18"/>
  <c r="G236" s="1"/>
  <c r="Y10" i="43"/>
  <c r="J30" i="42"/>
  <c r="Y11" i="43" s="1"/>
  <c r="Y12"/>
  <c r="Y39"/>
  <c r="Y40"/>
  <c r="Y44"/>
  <c r="Y21"/>
  <c r="Y45"/>
  <c r="F237" i="18"/>
  <c r="G237" s="1"/>
  <c r="F210"/>
  <c r="G210" s="1"/>
  <c r="F211"/>
  <c r="G211" s="1"/>
  <c r="K10" i="43"/>
  <c r="J16" i="42"/>
  <c r="K11" i="43" s="1"/>
  <c r="F212" i="18"/>
  <c r="G212" s="1"/>
  <c r="F213"/>
  <c r="G213" s="1"/>
  <c r="F187"/>
  <c r="G187" s="1"/>
  <c r="G186" s="1"/>
  <c r="F165"/>
  <c r="G165" s="1"/>
  <c r="G164" s="1"/>
  <c r="F141"/>
  <c r="G141" s="1"/>
  <c r="F142"/>
  <c r="G142" s="1"/>
  <c r="F143"/>
  <c r="G143" s="1"/>
  <c r="F117"/>
  <c r="G117" s="1"/>
  <c r="F119"/>
  <c r="G119" s="1"/>
  <c r="F96"/>
  <c r="G96" s="1"/>
  <c r="G95" s="1"/>
  <c r="F74"/>
  <c r="G74" s="1"/>
  <c r="G73" s="1"/>
  <c r="F51"/>
  <c r="G51" s="1"/>
  <c r="F29"/>
  <c r="G29" s="1"/>
  <c r="F10"/>
  <c r="G10" s="1"/>
  <c r="F318" i="17"/>
  <c r="G318" s="1"/>
  <c r="F297"/>
  <c r="G297" s="1"/>
  <c r="F298"/>
  <c r="G298" s="1"/>
  <c r="F276"/>
  <c r="G276" s="1"/>
  <c r="F251"/>
  <c r="G251" s="1"/>
  <c r="F252"/>
  <c r="G252" s="1"/>
  <c r="F254"/>
  <c r="G254" s="1"/>
  <c r="F255"/>
  <c r="G255" s="1"/>
  <c r="E223"/>
  <c r="BP10" i="43"/>
  <c r="J73" i="42"/>
  <c r="BP11" i="43" s="1"/>
  <c r="F228" i="17"/>
  <c r="F229"/>
  <c r="F230"/>
  <c r="F203"/>
  <c r="G203" s="1"/>
  <c r="F204"/>
  <c r="G204" s="1"/>
  <c r="F205"/>
  <c r="G205" s="1"/>
  <c r="F206"/>
  <c r="G206" s="1"/>
  <c r="F176"/>
  <c r="G176" s="1"/>
  <c r="F150"/>
  <c r="G150" s="1"/>
  <c r="F130"/>
  <c r="G130" s="1"/>
  <c r="F111"/>
  <c r="G111" s="1"/>
  <c r="G110" s="1"/>
  <c r="AA10" i="43"/>
  <c r="J32" i="42"/>
  <c r="AA11" i="43" s="1"/>
  <c r="F92" i="17"/>
  <c r="G92" s="1"/>
  <c r="F71"/>
  <c r="G71" s="1"/>
  <c r="G70" s="1"/>
  <c r="AV10" i="43"/>
  <c r="J53" i="42"/>
  <c r="AV11" i="43" s="1"/>
  <c r="F52" i="17"/>
  <c r="G52" s="1"/>
  <c r="G51" s="1"/>
  <c r="F29"/>
  <c r="G29" s="1"/>
  <c r="F30"/>
  <c r="G30" s="1"/>
  <c r="F31"/>
  <c r="G31" s="1"/>
  <c r="F10"/>
  <c r="G10" s="1"/>
  <c r="G9" s="1"/>
  <c r="F1011" i="16"/>
  <c r="G1011" s="1"/>
  <c r="F971"/>
  <c r="G971" s="1"/>
  <c r="G970" s="1"/>
  <c r="N10" i="43"/>
  <c r="J19" i="42"/>
  <c r="N11" i="43" s="1"/>
  <c r="F909" i="16"/>
  <c r="G909" s="1"/>
  <c r="F911"/>
  <c r="F912"/>
  <c r="F913"/>
  <c r="F883"/>
  <c r="F885"/>
  <c r="F857"/>
  <c r="G857" s="1"/>
  <c r="F859"/>
  <c r="F831"/>
  <c r="F833"/>
  <c r="F796"/>
  <c r="F798"/>
  <c r="F799"/>
  <c r="P10" i="43"/>
  <c r="J21" i="42"/>
  <c r="P11" i="43" s="1"/>
  <c r="F801" i="16"/>
  <c r="O10" i="43"/>
  <c r="J20" i="42"/>
  <c r="O11" i="43" s="1"/>
  <c r="F802" i="16"/>
  <c r="F803"/>
  <c r="F804"/>
  <c r="F805"/>
  <c r="F806"/>
  <c r="F762"/>
  <c r="G762" s="1"/>
  <c r="F764"/>
  <c r="G764" s="1"/>
  <c r="F765"/>
  <c r="G765" s="1"/>
  <c r="F767"/>
  <c r="G767" s="1"/>
  <c r="F768"/>
  <c r="G768" s="1"/>
  <c r="F769"/>
  <c r="G769" s="1"/>
  <c r="F770"/>
  <c r="G770" s="1"/>
  <c r="F771"/>
  <c r="G771" s="1"/>
  <c r="F730"/>
  <c r="G730" s="1"/>
  <c r="F731"/>
  <c r="G731" s="1"/>
  <c r="F733"/>
  <c r="G733" s="1"/>
  <c r="F734"/>
  <c r="G734" s="1"/>
  <c r="F735"/>
  <c r="G735" s="1"/>
  <c r="F736"/>
  <c r="G736" s="1"/>
  <c r="F737"/>
  <c r="G737" s="1"/>
  <c r="F694"/>
  <c r="F696"/>
  <c r="F697"/>
  <c r="F699"/>
  <c r="F700"/>
  <c r="F701"/>
  <c r="F702"/>
  <c r="F703"/>
  <c r="F660"/>
  <c r="F662"/>
  <c r="F663"/>
  <c r="F665"/>
  <c r="F666"/>
  <c r="F667"/>
  <c r="F668"/>
  <c r="F669"/>
  <c r="F670"/>
  <c r="G670" s="1"/>
  <c r="F628"/>
  <c r="G628" s="1"/>
  <c r="F629"/>
  <c r="G629" s="1"/>
  <c r="F631"/>
  <c r="G631" s="1"/>
  <c r="F632"/>
  <c r="G632" s="1"/>
  <c r="F633"/>
  <c r="G633" s="1"/>
  <c r="F634"/>
  <c r="G634" s="1"/>
  <c r="F635"/>
  <c r="G635" s="1"/>
  <c r="G97" i="46"/>
  <c r="L331" i="16" s="1"/>
  <c r="M331" s="1"/>
  <c r="F592"/>
  <c r="G592" s="1"/>
  <c r="F594"/>
  <c r="G594" s="1"/>
  <c r="F595"/>
  <c r="G595" s="1"/>
  <c r="F597"/>
  <c r="G597" s="1"/>
  <c r="F598"/>
  <c r="G598" s="1"/>
  <c r="F599"/>
  <c r="G599" s="1"/>
  <c r="F600"/>
  <c r="G600" s="1"/>
  <c r="F601"/>
  <c r="G601" s="1"/>
  <c r="F602"/>
  <c r="G602" s="1"/>
  <c r="F558"/>
  <c r="G558" s="1"/>
  <c r="O558" s="1"/>
  <c r="P558" s="1"/>
  <c r="F560"/>
  <c r="F561"/>
  <c r="G561" s="1"/>
  <c r="O561" s="1"/>
  <c r="P561" s="1"/>
  <c r="F563"/>
  <c r="F564"/>
  <c r="F565"/>
  <c r="F566"/>
  <c r="G566" s="1"/>
  <c r="O566" s="1"/>
  <c r="P566" s="1"/>
  <c r="F567"/>
  <c r="F524"/>
  <c r="F526"/>
  <c r="F527"/>
  <c r="G527" s="1"/>
  <c r="F529"/>
  <c r="F530"/>
  <c r="G530" s="1"/>
  <c r="F531"/>
  <c r="F532"/>
  <c r="F533"/>
  <c r="F490"/>
  <c r="G490" s="1"/>
  <c r="F492"/>
  <c r="G492" s="1"/>
  <c r="F493"/>
  <c r="G493" s="1"/>
  <c r="F495"/>
  <c r="G495" s="1"/>
  <c r="F496"/>
  <c r="G496" s="1"/>
  <c r="F497"/>
  <c r="G497" s="1"/>
  <c r="F498"/>
  <c r="G498" s="1"/>
  <c r="F499"/>
  <c r="G499" s="1"/>
  <c r="F456"/>
  <c r="G456" s="1"/>
  <c r="F458"/>
  <c r="G458" s="1"/>
  <c r="F459"/>
  <c r="G459" s="1"/>
  <c r="F461"/>
  <c r="G461" s="1"/>
  <c r="F462"/>
  <c r="G462" s="1"/>
  <c r="F463"/>
  <c r="G463" s="1"/>
  <c r="F464"/>
  <c r="G464" s="1"/>
  <c r="F465"/>
  <c r="G465" s="1"/>
  <c r="F466"/>
  <c r="G466" s="1"/>
  <c r="F421"/>
  <c r="F423"/>
  <c r="F424"/>
  <c r="F425"/>
  <c r="G425" s="1"/>
  <c r="F426"/>
  <c r="F427"/>
  <c r="F428"/>
  <c r="F429"/>
  <c r="F430"/>
  <c r="F387"/>
  <c r="F389"/>
  <c r="F390"/>
  <c r="F392"/>
  <c r="F393"/>
  <c r="G393" s="1"/>
  <c r="F394"/>
  <c r="F395"/>
  <c r="F396"/>
  <c r="F397"/>
  <c r="F353"/>
  <c r="G353" s="1"/>
  <c r="F355"/>
  <c r="G355" s="1"/>
  <c r="F356"/>
  <c r="G356" s="1"/>
  <c r="F357"/>
  <c r="G357" s="1"/>
  <c r="F358"/>
  <c r="G358" s="1"/>
  <c r="F359"/>
  <c r="G359" s="1"/>
  <c r="F360"/>
  <c r="G360" s="1"/>
  <c r="F361"/>
  <c r="G361" s="1"/>
  <c r="F362"/>
  <c r="G362" s="1"/>
  <c r="F363"/>
  <c r="G363" s="1"/>
  <c r="F319"/>
  <c r="G319" s="1"/>
  <c r="F320"/>
  <c r="G320" s="1"/>
  <c r="F321"/>
  <c r="G321" s="1"/>
  <c r="F322"/>
  <c r="G322" s="1"/>
  <c r="F323"/>
  <c r="G323" s="1"/>
  <c r="F324"/>
  <c r="G324" s="1"/>
  <c r="F325"/>
  <c r="G325" s="1"/>
  <c r="F326"/>
  <c r="G326" s="1"/>
  <c r="F327"/>
  <c r="G327" s="1"/>
  <c r="F328"/>
  <c r="G328" s="1"/>
  <c r="F329"/>
  <c r="G329" s="1"/>
  <c r="F285"/>
  <c r="F287"/>
  <c r="F288"/>
  <c r="F290"/>
  <c r="F291"/>
  <c r="F292"/>
  <c r="F293"/>
  <c r="G293" s="1"/>
  <c r="O293" s="1"/>
  <c r="P293" s="1"/>
  <c r="F294"/>
  <c r="F295"/>
  <c r="F254"/>
  <c r="G254" s="1"/>
  <c r="F257"/>
  <c r="G257" s="1"/>
  <c r="F259"/>
  <c r="G259" s="1"/>
  <c r="F260"/>
  <c r="G260" s="1"/>
  <c r="F227"/>
  <c r="G227" s="1"/>
  <c r="AW10" i="43"/>
  <c r="J54" i="42"/>
  <c r="AW11" i="43" s="1"/>
  <c r="AX10"/>
  <c r="J55" i="42"/>
  <c r="AX11" i="43" s="1"/>
  <c r="AX9" s="1"/>
  <c r="F229" i="16"/>
  <c r="G229" s="1"/>
  <c r="G201"/>
  <c r="F204"/>
  <c r="F206"/>
  <c r="G206" s="1"/>
  <c r="F141"/>
  <c r="F142"/>
  <c r="G142" s="1"/>
  <c r="P142" s="1"/>
  <c r="F144"/>
  <c r="F146"/>
  <c r="F147"/>
  <c r="BL10" i="43"/>
  <c r="J69" i="42"/>
  <c r="BL11" i="43" s="1"/>
  <c r="F148" i="16"/>
  <c r="G148" s="1"/>
  <c r="P148" s="1"/>
  <c r="F149"/>
  <c r="G149" s="1"/>
  <c r="P149" s="1"/>
  <c r="F150"/>
  <c r="G150" s="1"/>
  <c r="P150" s="1"/>
  <c r="F151"/>
  <c r="G151" s="1"/>
  <c r="P151" s="1"/>
  <c r="F152"/>
  <c r="G152" s="1"/>
  <c r="P152" s="1"/>
  <c r="F106"/>
  <c r="F107"/>
  <c r="G107" s="1"/>
  <c r="P107" s="1"/>
  <c r="F109"/>
  <c r="F111"/>
  <c r="BZ10" i="43"/>
  <c r="J83" i="42"/>
  <c r="BZ11" i="43" s="1"/>
  <c r="BZ40"/>
  <c r="F112" i="16"/>
  <c r="F114"/>
  <c r="F115"/>
  <c r="F116"/>
  <c r="G116" s="1"/>
  <c r="P116" s="1"/>
  <c r="BO10" i="43"/>
  <c r="J72" i="42"/>
  <c r="BO11" i="43" s="1"/>
  <c r="BY10"/>
  <c r="J82" i="42"/>
  <c r="BY11" i="43" s="1"/>
  <c r="BY40"/>
  <c r="BY21"/>
  <c r="BY45" s="1"/>
  <c r="BK10"/>
  <c r="J68" i="42"/>
  <c r="BK11" i="43" s="1"/>
  <c r="BK12"/>
  <c r="BK39"/>
  <c r="BK40"/>
  <c r="F10"/>
  <c r="J11" i="42"/>
  <c r="F11" i="43" s="1"/>
  <c r="R10"/>
  <c r="J23" i="42"/>
  <c r="R11" i="43" s="1"/>
  <c r="R9" s="1"/>
  <c r="B10"/>
  <c r="J7" i="42"/>
  <c r="B11" i="43" s="1"/>
  <c r="B40"/>
  <c r="D88" i="45"/>
  <c r="D86"/>
  <c r="E86"/>
  <c r="D82"/>
  <c r="D76"/>
  <c r="D74"/>
  <c r="E74"/>
  <c r="D66"/>
  <c r="D60"/>
  <c r="H57"/>
  <c r="D54"/>
  <c r="H53"/>
  <c r="I53"/>
  <c r="D50"/>
  <c r="E50"/>
  <c r="D46"/>
  <c r="D42"/>
  <c r="H39"/>
  <c r="I39"/>
  <c r="D38"/>
  <c r="H37"/>
  <c r="I37" s="1"/>
  <c r="D36"/>
  <c r="H35"/>
  <c r="I35"/>
  <c r="D34"/>
  <c r="E34"/>
  <c r="H33"/>
  <c r="H31"/>
  <c r="I31" s="1"/>
  <c r="H29"/>
  <c r="H27"/>
  <c r="I27"/>
  <c r="D24"/>
  <c r="E24"/>
  <c r="D20"/>
  <c r="D16"/>
  <c r="E16" s="1"/>
  <c r="D12"/>
  <c r="E12" s="1"/>
  <c r="F12" s="1"/>
  <c r="H10"/>
  <c r="I10"/>
  <c r="E201" i="17"/>
  <c r="E70"/>
  <c r="E913" i="16"/>
  <c r="E912"/>
  <c r="E911"/>
  <c r="G911" s="1"/>
  <c r="E910"/>
  <c r="E909"/>
  <c r="E908"/>
  <c r="E906"/>
  <c r="G903"/>
  <c r="F903"/>
  <c r="E903"/>
  <c r="E887"/>
  <c r="E886"/>
  <c r="E885"/>
  <c r="E884"/>
  <c r="E883"/>
  <c r="E882"/>
  <c r="E880"/>
  <c r="E861"/>
  <c r="E860"/>
  <c r="E859"/>
  <c r="E858"/>
  <c r="E857"/>
  <c r="E856"/>
  <c r="E854"/>
  <c r="E835"/>
  <c r="E834"/>
  <c r="E833"/>
  <c r="G833" s="1"/>
  <c r="E832"/>
  <c r="E831"/>
  <c r="E830"/>
  <c r="E828"/>
  <c r="B240" i="23"/>
  <c r="B239"/>
  <c r="B237"/>
  <c r="D238"/>
  <c r="B238"/>
  <c r="H235"/>
  <c r="H234"/>
  <c r="H233"/>
  <c r="H231"/>
  <c r="H1654" i="21"/>
  <c r="H1653"/>
  <c r="H1651"/>
  <c r="E1269"/>
  <c r="G1269"/>
  <c r="O1269"/>
  <c r="O1238"/>
  <c r="E1238"/>
  <c r="O1207"/>
  <c r="E1207"/>
  <c r="O1176"/>
  <c r="E1176"/>
  <c r="O1147"/>
  <c r="E1147"/>
  <c r="O1118"/>
  <c r="E1118"/>
  <c r="E1089"/>
  <c r="O1089"/>
  <c r="E851"/>
  <c r="E850"/>
  <c r="E849"/>
  <c r="E848"/>
  <c r="G848"/>
  <c r="E846"/>
  <c r="E880"/>
  <c r="E879"/>
  <c r="G879"/>
  <c r="E877"/>
  <c r="G877"/>
  <c r="E878"/>
  <c r="E875"/>
  <c r="O1060"/>
  <c r="E1060"/>
  <c r="O1029"/>
  <c r="E1029"/>
  <c r="O998"/>
  <c r="E998"/>
  <c r="E967"/>
  <c r="O967"/>
  <c r="G109" i="46"/>
  <c r="G108"/>
  <c r="D90" i="45"/>
  <c r="D84"/>
  <c r="D80"/>
  <c r="D78"/>
  <c r="D72"/>
  <c r="E72"/>
  <c r="D68"/>
  <c r="D64"/>
  <c r="D56"/>
  <c r="E56"/>
  <c r="D52"/>
  <c r="D40"/>
  <c r="E40" s="1"/>
  <c r="D32"/>
  <c r="D28"/>
  <c r="E28"/>
  <c r="D26"/>
  <c r="E26"/>
  <c r="D22"/>
  <c r="D18"/>
  <c r="E18" s="1"/>
  <c r="D14"/>
  <c r="E14" s="1"/>
  <c r="G31" i="46"/>
  <c r="E194" i="20"/>
  <c r="B282" i="18"/>
  <c r="B331" i="28"/>
  <c r="G107" i="46"/>
  <c r="F331" i="28"/>
  <c r="G331" s="1"/>
  <c r="G330" s="1"/>
  <c r="G332" s="1"/>
  <c r="D349"/>
  <c r="B349"/>
  <c r="D331"/>
  <c r="L478" i="23"/>
  <c r="J478"/>
  <c r="D478"/>
  <c r="B478"/>
  <c r="B402"/>
  <c r="B212"/>
  <c r="E1609" i="21"/>
  <c r="E1608"/>
  <c r="F1607"/>
  <c r="E1606"/>
  <c r="G1603"/>
  <c r="F1603"/>
  <c r="E1603"/>
  <c r="E1583"/>
  <c r="E1582"/>
  <c r="G1582" s="1"/>
  <c r="F1581"/>
  <c r="E1580"/>
  <c r="G1577"/>
  <c r="F1577"/>
  <c r="E1577"/>
  <c r="E1557"/>
  <c r="E1556"/>
  <c r="G1556" s="1"/>
  <c r="F1555"/>
  <c r="E1554"/>
  <c r="G1551"/>
  <c r="F1551"/>
  <c r="E1551"/>
  <c r="E1531"/>
  <c r="E1530"/>
  <c r="F1529"/>
  <c r="E1528"/>
  <c r="G1525"/>
  <c r="F1525"/>
  <c r="E1525"/>
  <c r="E1505"/>
  <c r="E1504"/>
  <c r="F1503"/>
  <c r="E1502"/>
  <c r="G1499"/>
  <c r="F1499"/>
  <c r="E1499"/>
  <c r="E1478"/>
  <c r="G1478"/>
  <c r="F1477"/>
  <c r="E1476"/>
  <c r="G1473"/>
  <c r="F1473"/>
  <c r="E1473"/>
  <c r="E1453"/>
  <c r="E1452"/>
  <c r="F1451"/>
  <c r="E1450"/>
  <c r="G1447"/>
  <c r="F1447"/>
  <c r="E1447"/>
  <c r="B1430"/>
  <c r="B1378"/>
  <c r="E1427"/>
  <c r="E1426"/>
  <c r="G1426" s="1"/>
  <c r="F1425"/>
  <c r="E1424"/>
  <c r="G1421"/>
  <c r="F1421"/>
  <c r="E1421"/>
  <c r="E1401"/>
  <c r="E1400"/>
  <c r="F1399"/>
  <c r="E1398"/>
  <c r="G1395"/>
  <c r="F1395"/>
  <c r="E1395"/>
  <c r="E1375"/>
  <c r="E1374"/>
  <c r="F1373"/>
  <c r="E1372"/>
  <c r="G1369"/>
  <c r="F1369"/>
  <c r="E1369"/>
  <c r="E1349"/>
  <c r="E1348"/>
  <c r="G1348" s="1"/>
  <c r="F1347"/>
  <c r="E1346"/>
  <c r="G1343"/>
  <c r="F1343"/>
  <c r="E1343"/>
  <c r="B1326"/>
  <c r="E1323"/>
  <c r="E1322"/>
  <c r="G1322"/>
  <c r="F1321"/>
  <c r="E1320"/>
  <c r="G1317"/>
  <c r="F1317"/>
  <c r="E1317"/>
  <c r="E1297"/>
  <c r="E1296"/>
  <c r="E1294"/>
  <c r="E1271"/>
  <c r="G1271"/>
  <c r="E1270"/>
  <c r="E1268"/>
  <c r="E1267"/>
  <c r="E1266"/>
  <c r="F1265"/>
  <c r="E1264"/>
  <c r="G1261"/>
  <c r="F1261"/>
  <c r="E1261"/>
  <c r="E1240"/>
  <c r="E1239"/>
  <c r="E1237"/>
  <c r="G1237" s="1"/>
  <c r="E1236"/>
  <c r="G1236" s="1"/>
  <c r="E1235"/>
  <c r="G1235" s="1"/>
  <c r="F1234"/>
  <c r="E1233"/>
  <c r="G1230"/>
  <c r="F1230"/>
  <c r="E1230"/>
  <c r="E1209"/>
  <c r="E1208"/>
  <c r="E1206"/>
  <c r="E1205"/>
  <c r="E1204"/>
  <c r="E1202"/>
  <c r="F1203"/>
  <c r="G1199"/>
  <c r="F1199"/>
  <c r="E1199"/>
  <c r="E1178"/>
  <c r="E1177"/>
  <c r="G1177" s="1"/>
  <c r="E1175"/>
  <c r="F1174"/>
  <c r="E1173"/>
  <c r="G1170"/>
  <c r="F1170"/>
  <c r="E1170"/>
  <c r="E1149"/>
  <c r="E1148"/>
  <c r="E1146"/>
  <c r="G1146" s="1"/>
  <c r="F1145"/>
  <c r="E1144"/>
  <c r="G1141"/>
  <c r="F1141"/>
  <c r="E1141"/>
  <c r="E1120"/>
  <c r="E1119"/>
  <c r="E1117"/>
  <c r="G1117"/>
  <c r="F1116"/>
  <c r="E1115"/>
  <c r="G1112"/>
  <c r="F1112"/>
  <c r="E1112"/>
  <c r="E1091"/>
  <c r="E1090"/>
  <c r="G1090"/>
  <c r="E1088"/>
  <c r="G1088"/>
  <c r="E1086"/>
  <c r="F1087"/>
  <c r="G1083"/>
  <c r="F1083"/>
  <c r="E1083"/>
  <c r="E1062"/>
  <c r="E1061"/>
  <c r="E1059"/>
  <c r="G1059" s="1"/>
  <c r="E1058"/>
  <c r="E1057"/>
  <c r="G1057"/>
  <c r="F1056"/>
  <c r="E1055"/>
  <c r="G1052"/>
  <c r="F1052"/>
  <c r="E1052"/>
  <c r="E1031"/>
  <c r="E1030"/>
  <c r="E1028"/>
  <c r="E1027"/>
  <c r="E1026"/>
  <c r="F1025"/>
  <c r="E1024"/>
  <c r="G1021"/>
  <c r="F1021"/>
  <c r="E1021"/>
  <c r="E1000"/>
  <c r="E999"/>
  <c r="E997"/>
  <c r="G997" s="1"/>
  <c r="E996"/>
  <c r="E995"/>
  <c r="E993"/>
  <c r="F994"/>
  <c r="G990"/>
  <c r="F990"/>
  <c r="E990"/>
  <c r="E969"/>
  <c r="G969"/>
  <c r="E968"/>
  <c r="E966"/>
  <c r="E965"/>
  <c r="E964"/>
  <c r="E962"/>
  <c r="E938"/>
  <c r="E937"/>
  <c r="G937"/>
  <c r="E935"/>
  <c r="G935"/>
  <c r="E936"/>
  <c r="E933"/>
  <c r="O936"/>
  <c r="E909"/>
  <c r="E908"/>
  <c r="G908"/>
  <c r="E906"/>
  <c r="G906"/>
  <c r="E907"/>
  <c r="E904"/>
  <c r="B883"/>
  <c r="D854"/>
  <c r="B854"/>
  <c r="O849"/>
  <c r="O907"/>
  <c r="H1378"/>
  <c r="H1376"/>
  <c r="H1350"/>
  <c r="H1324"/>
  <c r="H1298"/>
  <c r="H1179"/>
  <c r="H1150"/>
  <c r="H1121"/>
  <c r="H1092"/>
  <c r="B826"/>
  <c r="G106" i="46"/>
  <c r="F826" i="21"/>
  <c r="G826" s="1"/>
  <c r="G825" s="1"/>
  <c r="O826"/>
  <c r="J825"/>
  <c r="B825"/>
  <c r="B804"/>
  <c r="O804"/>
  <c r="B803"/>
  <c r="E689"/>
  <c r="E694"/>
  <c r="H694"/>
  <c r="M694"/>
  <c r="E695"/>
  <c r="F695"/>
  <c r="M695"/>
  <c r="N695"/>
  <c r="E696"/>
  <c r="M696"/>
  <c r="C700"/>
  <c r="F700"/>
  <c r="K700"/>
  <c r="N700"/>
  <c r="C701"/>
  <c r="F701"/>
  <c r="K701"/>
  <c r="N701"/>
  <c r="B708"/>
  <c r="D708"/>
  <c r="E708"/>
  <c r="F708"/>
  <c r="G708"/>
  <c r="J708"/>
  <c r="L708"/>
  <c r="M708"/>
  <c r="N708"/>
  <c r="O708"/>
  <c r="B710"/>
  <c r="J710"/>
  <c r="B712"/>
  <c r="F712"/>
  <c r="J712"/>
  <c r="N712"/>
  <c r="E715"/>
  <c r="H715"/>
  <c r="M715"/>
  <c r="E716"/>
  <c r="F716"/>
  <c r="M716"/>
  <c r="N716"/>
  <c r="E717"/>
  <c r="M717"/>
  <c r="C721"/>
  <c r="F721"/>
  <c r="K721"/>
  <c r="N721"/>
  <c r="C722"/>
  <c r="F722"/>
  <c r="K722"/>
  <c r="N722"/>
  <c r="B729"/>
  <c r="D729"/>
  <c r="E729"/>
  <c r="F729"/>
  <c r="G729"/>
  <c r="J729"/>
  <c r="L729"/>
  <c r="M729"/>
  <c r="N729"/>
  <c r="O729"/>
  <c r="B731"/>
  <c r="J731"/>
  <c r="B733"/>
  <c r="F733"/>
  <c r="J733"/>
  <c r="N733"/>
  <c r="B736"/>
  <c r="J736"/>
  <c r="B737"/>
  <c r="D737"/>
  <c r="J737"/>
  <c r="L737"/>
  <c r="B738"/>
  <c r="D738"/>
  <c r="J738"/>
  <c r="L738"/>
  <c r="E739"/>
  <c r="H739"/>
  <c r="M739"/>
  <c r="E740"/>
  <c r="F740"/>
  <c r="M740"/>
  <c r="N740"/>
  <c r="E741"/>
  <c r="M741"/>
  <c r="C745"/>
  <c r="F745"/>
  <c r="K745"/>
  <c r="N745"/>
  <c r="C746"/>
  <c r="F746"/>
  <c r="K746"/>
  <c r="N746"/>
  <c r="B753"/>
  <c r="D753"/>
  <c r="E753"/>
  <c r="F753"/>
  <c r="G753"/>
  <c r="J753"/>
  <c r="L753"/>
  <c r="M753"/>
  <c r="N753"/>
  <c r="O753"/>
  <c r="B755"/>
  <c r="J755"/>
  <c r="B757"/>
  <c r="F757"/>
  <c r="J757"/>
  <c r="N757"/>
  <c r="B760"/>
  <c r="J760"/>
  <c r="B761"/>
  <c r="D761"/>
  <c r="J761"/>
  <c r="L761"/>
  <c r="B762"/>
  <c r="D762"/>
  <c r="J762"/>
  <c r="L762"/>
  <c r="E763"/>
  <c r="H763"/>
  <c r="M763"/>
  <c r="E764"/>
  <c r="F764"/>
  <c r="M764"/>
  <c r="N764"/>
  <c r="E765"/>
  <c r="M765"/>
  <c r="C769"/>
  <c r="F769"/>
  <c r="K769"/>
  <c r="N769"/>
  <c r="C770"/>
  <c r="F770"/>
  <c r="K770"/>
  <c r="N770"/>
  <c r="B777"/>
  <c r="D777"/>
  <c r="E777"/>
  <c r="F777"/>
  <c r="G777"/>
  <c r="J777"/>
  <c r="L777"/>
  <c r="M777"/>
  <c r="N777"/>
  <c r="O777"/>
  <c r="B779"/>
  <c r="J779"/>
  <c r="B781"/>
  <c r="F781"/>
  <c r="J781"/>
  <c r="N781"/>
  <c r="E783"/>
  <c r="H783"/>
  <c r="M783"/>
  <c r="E784"/>
  <c r="F784"/>
  <c r="M784"/>
  <c r="N784"/>
  <c r="E785"/>
  <c r="M785"/>
  <c r="C789"/>
  <c r="F789"/>
  <c r="K789"/>
  <c r="N789"/>
  <c r="C790"/>
  <c r="F790"/>
  <c r="K790"/>
  <c r="N790"/>
  <c r="B797"/>
  <c r="D797"/>
  <c r="E797"/>
  <c r="F797"/>
  <c r="G797"/>
  <c r="J797"/>
  <c r="L797"/>
  <c r="M797"/>
  <c r="N797"/>
  <c r="O797"/>
  <c r="B799"/>
  <c r="J799"/>
  <c r="B801"/>
  <c r="F801"/>
  <c r="J801"/>
  <c r="N801"/>
  <c r="E805"/>
  <c r="H805"/>
  <c r="M805"/>
  <c r="E806"/>
  <c r="F806"/>
  <c r="M806"/>
  <c r="N806"/>
  <c r="E807"/>
  <c r="M807"/>
  <c r="C811"/>
  <c r="F811"/>
  <c r="K811"/>
  <c r="N811"/>
  <c r="C812"/>
  <c r="F812"/>
  <c r="K812"/>
  <c r="N812"/>
  <c r="B819"/>
  <c r="D819"/>
  <c r="E819"/>
  <c r="F819"/>
  <c r="G819"/>
  <c r="J819"/>
  <c r="L819"/>
  <c r="M819"/>
  <c r="N819"/>
  <c r="O819"/>
  <c r="B821"/>
  <c r="J821"/>
  <c r="B823"/>
  <c r="F823"/>
  <c r="J823"/>
  <c r="N823"/>
  <c r="E827"/>
  <c r="H827"/>
  <c r="M827"/>
  <c r="E828"/>
  <c r="F828"/>
  <c r="M828"/>
  <c r="N828"/>
  <c r="E829"/>
  <c r="M829"/>
  <c r="C833"/>
  <c r="F833"/>
  <c r="K833"/>
  <c r="N833"/>
  <c r="C834"/>
  <c r="F834"/>
  <c r="K834"/>
  <c r="N834"/>
  <c r="B843"/>
  <c r="D843"/>
  <c r="E843"/>
  <c r="F843"/>
  <c r="G843"/>
  <c r="J843"/>
  <c r="L843"/>
  <c r="M843"/>
  <c r="N843"/>
  <c r="O843"/>
  <c r="B845"/>
  <c r="J845"/>
  <c r="B847"/>
  <c r="F847"/>
  <c r="J847"/>
  <c r="N847"/>
  <c r="B852"/>
  <c r="J852"/>
  <c r="B853"/>
  <c r="D853"/>
  <c r="J853"/>
  <c r="L853"/>
  <c r="J854"/>
  <c r="L854"/>
  <c r="B855"/>
  <c r="D855"/>
  <c r="J855"/>
  <c r="L855"/>
  <c r="E856"/>
  <c r="H856"/>
  <c r="M856"/>
  <c r="E857"/>
  <c r="F857"/>
  <c r="M857"/>
  <c r="N857"/>
  <c r="E858"/>
  <c r="M858"/>
  <c r="C862"/>
  <c r="F862"/>
  <c r="K862"/>
  <c r="N862"/>
  <c r="C863"/>
  <c r="F863"/>
  <c r="K863"/>
  <c r="N863"/>
  <c r="B872"/>
  <c r="D872"/>
  <c r="E872"/>
  <c r="F872"/>
  <c r="G872"/>
  <c r="J872"/>
  <c r="L872"/>
  <c r="M872"/>
  <c r="N872"/>
  <c r="O872"/>
  <c r="B874"/>
  <c r="J874"/>
  <c r="B876"/>
  <c r="F876"/>
  <c r="J876"/>
  <c r="N876"/>
  <c r="B881"/>
  <c r="J881"/>
  <c r="B882"/>
  <c r="D882"/>
  <c r="J882"/>
  <c r="L882"/>
  <c r="D883"/>
  <c r="J883"/>
  <c r="L883"/>
  <c r="B884"/>
  <c r="D884"/>
  <c r="J884"/>
  <c r="L884"/>
  <c r="E885"/>
  <c r="H885"/>
  <c r="M885"/>
  <c r="E886"/>
  <c r="F886"/>
  <c r="M886"/>
  <c r="N886"/>
  <c r="E887"/>
  <c r="M887"/>
  <c r="C891"/>
  <c r="F891"/>
  <c r="K891"/>
  <c r="N891"/>
  <c r="C892"/>
  <c r="F892"/>
  <c r="K892"/>
  <c r="N892"/>
  <c r="B901"/>
  <c r="D901"/>
  <c r="E901"/>
  <c r="F901"/>
  <c r="G901"/>
  <c r="J901"/>
  <c r="L901"/>
  <c r="M901"/>
  <c r="N901"/>
  <c r="O901"/>
  <c r="B903"/>
  <c r="J903"/>
  <c r="B905"/>
  <c r="F905"/>
  <c r="J905"/>
  <c r="N905"/>
  <c r="B910"/>
  <c r="J910"/>
  <c r="B911"/>
  <c r="D911"/>
  <c r="J911"/>
  <c r="L911"/>
  <c r="B912"/>
  <c r="D912"/>
  <c r="J912"/>
  <c r="L912"/>
  <c r="B913"/>
  <c r="D913"/>
  <c r="J913"/>
  <c r="L913"/>
  <c r="E914"/>
  <c r="H914"/>
  <c r="M914"/>
  <c r="E915"/>
  <c r="F915"/>
  <c r="M915"/>
  <c r="N915"/>
  <c r="E916"/>
  <c r="M916"/>
  <c r="C920"/>
  <c r="F920"/>
  <c r="K920"/>
  <c r="N920"/>
  <c r="C921"/>
  <c r="F921"/>
  <c r="K921"/>
  <c r="N921"/>
  <c r="B930"/>
  <c r="D930"/>
  <c r="E930"/>
  <c r="F930"/>
  <c r="G930"/>
  <c r="J930"/>
  <c r="L930"/>
  <c r="M930"/>
  <c r="N930"/>
  <c r="O930"/>
  <c r="B932"/>
  <c r="J932"/>
  <c r="B934"/>
  <c r="F934"/>
  <c r="J934"/>
  <c r="N934"/>
  <c r="B939"/>
  <c r="J939"/>
  <c r="B940"/>
  <c r="D940"/>
  <c r="J940"/>
  <c r="L940"/>
  <c r="B941"/>
  <c r="D941"/>
  <c r="J941"/>
  <c r="L941"/>
  <c r="B942"/>
  <c r="D942"/>
  <c r="J942"/>
  <c r="L942"/>
  <c r="E943"/>
  <c r="H943"/>
  <c r="M943"/>
  <c r="E944"/>
  <c r="F944"/>
  <c r="M944"/>
  <c r="N944"/>
  <c r="E945"/>
  <c r="M945"/>
  <c r="C949"/>
  <c r="F949"/>
  <c r="K949"/>
  <c r="N949"/>
  <c r="C950"/>
  <c r="F950"/>
  <c r="K950"/>
  <c r="N950"/>
  <c r="B671"/>
  <c r="O671"/>
  <c r="J670"/>
  <c r="B670"/>
  <c r="B649"/>
  <c r="O649"/>
  <c r="J648"/>
  <c r="B648"/>
  <c r="B627"/>
  <c r="B605"/>
  <c r="O627"/>
  <c r="J626"/>
  <c r="B626"/>
  <c r="O605"/>
  <c r="J604"/>
  <c r="B604"/>
  <c r="D442"/>
  <c r="D418"/>
  <c r="D417"/>
  <c r="B417"/>
  <c r="D392"/>
  <c r="D391"/>
  <c r="B391"/>
  <c r="D368"/>
  <c r="D367"/>
  <c r="B367"/>
  <c r="D343"/>
  <c r="D319"/>
  <c r="D318"/>
  <c r="B318"/>
  <c r="D293"/>
  <c r="D292"/>
  <c r="B292"/>
  <c r="B269"/>
  <c r="H156"/>
  <c r="H154"/>
  <c r="E9"/>
  <c r="H623" i="20"/>
  <c r="H151"/>
  <c r="H89"/>
  <c r="E71"/>
  <c r="E68"/>
  <c r="E50"/>
  <c r="E49"/>
  <c r="E47"/>
  <c r="H27"/>
  <c r="H9"/>
  <c r="B28" i="18"/>
  <c r="G59" i="46"/>
  <c r="F441" i="21" s="1"/>
  <c r="G441" s="1"/>
  <c r="G60" i="46"/>
  <c r="G63"/>
  <c r="G64"/>
  <c r="G68"/>
  <c r="N98" i="18" s="1"/>
  <c r="O98" s="1"/>
  <c r="O97" s="1"/>
  <c r="G71" i="46"/>
  <c r="G75"/>
  <c r="G76"/>
  <c r="F528" i="23"/>
  <c r="G79" i="46"/>
  <c r="G80"/>
  <c r="G83"/>
  <c r="G84"/>
  <c r="F142" i="28" s="1"/>
  <c r="G142" s="1"/>
  <c r="G141" s="1"/>
  <c r="G88" i="46"/>
  <c r="G91"/>
  <c r="G92"/>
  <c r="N50" i="21"/>
  <c r="O50" s="1"/>
  <c r="O49" s="1"/>
  <c r="G100" i="46"/>
  <c r="N1003" i="21"/>
  <c r="O1003" s="1"/>
  <c r="M352" i="28"/>
  <c r="E352"/>
  <c r="N351"/>
  <c r="M351"/>
  <c r="F351"/>
  <c r="E351"/>
  <c r="M350"/>
  <c r="H350"/>
  <c r="E350"/>
  <c r="O349"/>
  <c r="O348" s="1"/>
  <c r="O350" s="1"/>
  <c r="N339"/>
  <c r="K339"/>
  <c r="F339"/>
  <c r="C339"/>
  <c r="N338"/>
  <c r="K338"/>
  <c r="F338"/>
  <c r="C338"/>
  <c r="M334"/>
  <c r="E334"/>
  <c r="N333"/>
  <c r="M333"/>
  <c r="F333"/>
  <c r="E333"/>
  <c r="M332"/>
  <c r="H332"/>
  <c r="E332"/>
  <c r="O331"/>
  <c r="O330" s="1"/>
  <c r="O332"/>
  <c r="N357"/>
  <c r="K357"/>
  <c r="F357"/>
  <c r="C357"/>
  <c r="N356"/>
  <c r="K356"/>
  <c r="F356"/>
  <c r="C356"/>
  <c r="C126"/>
  <c r="E556" i="23"/>
  <c r="F555"/>
  <c r="E555"/>
  <c r="E554"/>
  <c r="G553"/>
  <c r="G552"/>
  <c r="E457"/>
  <c r="F456"/>
  <c r="E456"/>
  <c r="E455"/>
  <c r="G454"/>
  <c r="G453"/>
  <c r="E243"/>
  <c r="F242"/>
  <c r="E242"/>
  <c r="E241"/>
  <c r="E216"/>
  <c r="F215"/>
  <c r="E215"/>
  <c r="E214"/>
  <c r="G213"/>
  <c r="E191"/>
  <c r="F190"/>
  <c r="E190"/>
  <c r="E189"/>
  <c r="G188"/>
  <c r="G187"/>
  <c r="G186"/>
  <c r="F185"/>
  <c r="G185" s="1"/>
  <c r="F184"/>
  <c r="G184" s="1"/>
  <c r="F183"/>
  <c r="G183" s="1"/>
  <c r="E141"/>
  <c r="F140"/>
  <c r="E140"/>
  <c r="E139"/>
  <c r="G138"/>
  <c r="G137"/>
  <c r="E39"/>
  <c r="F38"/>
  <c r="E38"/>
  <c r="E37"/>
  <c r="G36"/>
  <c r="G35"/>
  <c r="G34" s="1"/>
  <c r="N1706" i="21"/>
  <c r="K1706"/>
  <c r="F1706"/>
  <c r="C1706"/>
  <c r="N1705"/>
  <c r="K1705"/>
  <c r="F1705"/>
  <c r="C1705"/>
  <c r="M1701"/>
  <c r="E1701"/>
  <c r="N1700"/>
  <c r="M1700"/>
  <c r="F1700"/>
  <c r="G1700"/>
  <c r="G1701" s="1"/>
  <c r="E1700"/>
  <c r="M1699"/>
  <c r="H1699"/>
  <c r="H1700" s="1"/>
  <c r="E1699"/>
  <c r="N1698"/>
  <c r="O1698" s="1"/>
  <c r="G1698"/>
  <c r="N1697"/>
  <c r="O1697" s="1"/>
  <c r="G1697"/>
  <c r="N1696"/>
  <c r="J1696"/>
  <c r="F1696"/>
  <c r="B1696"/>
  <c r="J1694"/>
  <c r="B1694"/>
  <c r="O1692"/>
  <c r="N1692"/>
  <c r="M1692"/>
  <c r="L1692"/>
  <c r="J1692"/>
  <c r="G1692"/>
  <c r="F1692"/>
  <c r="E1692"/>
  <c r="D1692"/>
  <c r="B1692"/>
  <c r="N1684"/>
  <c r="K1684"/>
  <c r="F1684"/>
  <c r="C1684"/>
  <c r="N1683"/>
  <c r="K1683"/>
  <c r="F1683"/>
  <c r="C1683"/>
  <c r="M1679"/>
  <c r="E1679"/>
  <c r="N1678"/>
  <c r="M1678"/>
  <c r="F1678"/>
  <c r="G1678"/>
  <c r="G1679" s="1"/>
  <c r="E1678"/>
  <c r="M1677"/>
  <c r="H1677"/>
  <c r="H1678" s="1"/>
  <c r="E1677"/>
  <c r="N1676"/>
  <c r="O1676" s="1"/>
  <c r="G1676"/>
  <c r="N1675"/>
  <c r="O1675"/>
  <c r="G1675"/>
  <c r="N1674"/>
  <c r="J1674"/>
  <c r="F1674"/>
  <c r="B1674"/>
  <c r="J1672"/>
  <c r="B1672"/>
  <c r="O1670"/>
  <c r="N1670"/>
  <c r="M1670"/>
  <c r="L1670"/>
  <c r="J1670"/>
  <c r="G1670"/>
  <c r="F1670"/>
  <c r="E1670"/>
  <c r="D1670"/>
  <c r="B1670"/>
  <c r="E226" i="17"/>
  <c r="E230"/>
  <c r="G230" s="1"/>
  <c r="E229"/>
  <c r="G229"/>
  <c r="E228"/>
  <c r="E227"/>
  <c r="E225"/>
  <c r="H30"/>
  <c r="H991" i="16"/>
  <c r="H969"/>
  <c r="H971"/>
  <c r="B433"/>
  <c r="E806"/>
  <c r="E805"/>
  <c r="E804"/>
  <c r="E803"/>
  <c r="E802"/>
  <c r="E801"/>
  <c r="E800"/>
  <c r="E799"/>
  <c r="E798"/>
  <c r="E797"/>
  <c r="E796"/>
  <c r="E794"/>
  <c r="E704"/>
  <c r="E703"/>
  <c r="G703" s="1"/>
  <c r="E702"/>
  <c r="E701"/>
  <c r="E700"/>
  <c r="E699"/>
  <c r="G699" s="1"/>
  <c r="E698"/>
  <c r="E697"/>
  <c r="E696"/>
  <c r="G696" s="1"/>
  <c r="E695"/>
  <c r="E694"/>
  <c r="E692"/>
  <c r="E670"/>
  <c r="E669"/>
  <c r="G669" s="1"/>
  <c r="E668"/>
  <c r="E667"/>
  <c r="G667" s="1"/>
  <c r="E666"/>
  <c r="E665"/>
  <c r="E664"/>
  <c r="E663"/>
  <c r="E662"/>
  <c r="E661"/>
  <c r="E660"/>
  <c r="E658"/>
  <c r="E568"/>
  <c r="E567"/>
  <c r="G567" s="1"/>
  <c r="O567" s="1"/>
  <c r="P567" s="1"/>
  <c r="E566"/>
  <c r="E565"/>
  <c r="E564"/>
  <c r="E563"/>
  <c r="G563" s="1"/>
  <c r="O563" s="1"/>
  <c r="P563" s="1"/>
  <c r="E562"/>
  <c r="E561"/>
  <c r="E560"/>
  <c r="G560"/>
  <c r="O560" s="1"/>
  <c r="P560" s="1"/>
  <c r="E559"/>
  <c r="E558"/>
  <c r="E556"/>
  <c r="E534"/>
  <c r="E533"/>
  <c r="E532"/>
  <c r="E531"/>
  <c r="G531" s="1"/>
  <c r="E530"/>
  <c r="E529"/>
  <c r="E528"/>
  <c r="E527"/>
  <c r="E526"/>
  <c r="E525"/>
  <c r="E524"/>
  <c r="E522"/>
  <c r="E431"/>
  <c r="E430"/>
  <c r="G430" s="1"/>
  <c r="E429"/>
  <c r="E428"/>
  <c r="E427"/>
  <c r="E426"/>
  <c r="E425"/>
  <c r="E424"/>
  <c r="G424" s="1"/>
  <c r="E423"/>
  <c r="E422"/>
  <c r="E421"/>
  <c r="G421" s="1"/>
  <c r="E419"/>
  <c r="E397"/>
  <c r="E396"/>
  <c r="E395"/>
  <c r="E394"/>
  <c r="E393"/>
  <c r="E392"/>
  <c r="E391"/>
  <c r="E390"/>
  <c r="E389"/>
  <c r="E388"/>
  <c r="E387"/>
  <c r="E385"/>
  <c r="E295"/>
  <c r="E294"/>
  <c r="E293"/>
  <c r="E292"/>
  <c r="E291"/>
  <c r="E290"/>
  <c r="E289"/>
  <c r="E288"/>
  <c r="E287"/>
  <c r="E286"/>
  <c r="E285"/>
  <c r="E283"/>
  <c r="V301"/>
  <c r="W300"/>
  <c r="V300"/>
  <c r="V299"/>
  <c r="U298"/>
  <c r="S298"/>
  <c r="U297"/>
  <c r="S297"/>
  <c r="S296"/>
  <c r="Y295"/>
  <c r="Y294"/>
  <c r="Y293"/>
  <c r="Y292"/>
  <c r="Y291"/>
  <c r="Y290"/>
  <c r="Y289"/>
  <c r="Y288"/>
  <c r="Y287"/>
  <c r="Y286"/>
  <c r="Y285"/>
  <c r="S284"/>
  <c r="S282"/>
  <c r="X280"/>
  <c r="W280"/>
  <c r="V280"/>
  <c r="U280"/>
  <c r="S280"/>
  <c r="B263"/>
  <c r="D263"/>
  <c r="H260"/>
  <c r="H259"/>
  <c r="H258"/>
  <c r="H257"/>
  <c r="H256"/>
  <c r="H255"/>
  <c r="H254"/>
  <c r="H252"/>
  <c r="H175"/>
  <c r="F195" i="20"/>
  <c r="E196"/>
  <c r="E195"/>
  <c r="B192"/>
  <c r="B190"/>
  <c r="G188"/>
  <c r="F188"/>
  <c r="E188"/>
  <c r="D188"/>
  <c r="B188"/>
  <c r="F173"/>
  <c r="G173" s="1"/>
  <c r="G172" s="1"/>
  <c r="F175"/>
  <c r="G175" s="1"/>
  <c r="G176" s="1"/>
  <c r="E176"/>
  <c r="E175"/>
  <c r="E174"/>
  <c r="B172"/>
  <c r="B170"/>
  <c r="G168"/>
  <c r="F168"/>
  <c r="E168"/>
  <c r="D168"/>
  <c r="B168"/>
  <c r="N297" i="18"/>
  <c r="K297"/>
  <c r="F297"/>
  <c r="C297"/>
  <c r="N296"/>
  <c r="K296"/>
  <c r="F296"/>
  <c r="C296"/>
  <c r="N287"/>
  <c r="O287" s="1"/>
  <c r="N291"/>
  <c r="M292"/>
  <c r="H290"/>
  <c r="F291"/>
  <c r="E292"/>
  <c r="M291"/>
  <c r="E291"/>
  <c r="M290"/>
  <c r="E290"/>
  <c r="L289"/>
  <c r="J289"/>
  <c r="D289"/>
  <c r="J288"/>
  <c r="B288"/>
  <c r="J282"/>
  <c r="J280"/>
  <c r="B280"/>
  <c r="O278"/>
  <c r="N278"/>
  <c r="M278"/>
  <c r="L278"/>
  <c r="J278"/>
  <c r="G278"/>
  <c r="F278"/>
  <c r="E278"/>
  <c r="D278"/>
  <c r="B278"/>
  <c r="H33"/>
  <c r="G32"/>
  <c r="G31"/>
  <c r="F34"/>
  <c r="E35"/>
  <c r="E34"/>
  <c r="E33"/>
  <c r="B31"/>
  <c r="B26"/>
  <c r="O24"/>
  <c r="N24"/>
  <c r="M24"/>
  <c r="L24"/>
  <c r="J24"/>
  <c r="G24"/>
  <c r="F24"/>
  <c r="E24"/>
  <c r="D24"/>
  <c r="B24"/>
  <c r="C40" i="43"/>
  <c r="D40"/>
  <c r="AE40"/>
  <c r="AL40"/>
  <c r="AM40"/>
  <c r="AU40"/>
  <c r="BG40"/>
  <c r="BI40"/>
  <c r="BJ40"/>
  <c r="D12" i="30"/>
  <c r="G18" i="46"/>
  <c r="G81"/>
  <c r="F263" i="16"/>
  <c r="G263" s="1"/>
  <c r="G62" i="46"/>
  <c r="G28"/>
  <c r="G67"/>
  <c r="F163" i="18"/>
  <c r="G163" s="1"/>
  <c r="G66" i="46"/>
  <c r="G87"/>
  <c r="F145" i="18" s="1"/>
  <c r="G145" s="1"/>
  <c r="G144" s="1"/>
  <c r="G49" i="46"/>
  <c r="G78"/>
  <c r="N243" i="20" s="1"/>
  <c r="O243" s="1"/>
  <c r="G33" i="46"/>
  <c r="G38"/>
  <c r="G34"/>
  <c r="G35"/>
  <c r="G36"/>
  <c r="G37"/>
  <c r="G40"/>
  <c r="G72"/>
  <c r="N427" i="23"/>
  <c r="O427" s="1"/>
  <c r="G74" i="46"/>
  <c r="G65"/>
  <c r="G50"/>
  <c r="G105"/>
  <c r="G103"/>
  <c r="N292" i="21"/>
  <c r="O292" s="1"/>
  <c r="G58" i="46"/>
  <c r="G52"/>
  <c r="N509" i="21" s="1"/>
  <c r="O509" s="1"/>
  <c r="O508" s="1"/>
  <c r="F56" i="23"/>
  <c r="G90" i="46"/>
  <c r="G53"/>
  <c r="N778" i="23" s="1"/>
  <c r="G44" i="46"/>
  <c r="G93"/>
  <c r="G54"/>
  <c r="G55"/>
  <c r="G95"/>
  <c r="G86"/>
  <c r="A9" i="44"/>
  <c r="B12" i="43"/>
  <c r="B39" s="1"/>
  <c r="B36"/>
  <c r="B37"/>
  <c r="B38"/>
  <c r="B46"/>
  <c r="B47"/>
  <c r="B48"/>
  <c r="A10" i="44"/>
  <c r="C10" i="43"/>
  <c r="J8" i="42"/>
  <c r="C11" i="43" s="1"/>
  <c r="C12"/>
  <c r="C39"/>
  <c r="C36"/>
  <c r="C37"/>
  <c r="C38"/>
  <c r="C46"/>
  <c r="C47"/>
  <c r="C48"/>
  <c r="A11" i="44"/>
  <c r="D10" i="43"/>
  <c r="J9" i="42"/>
  <c r="D11" i="43" s="1"/>
  <c r="D12"/>
  <c r="D39" s="1"/>
  <c r="D36"/>
  <c r="D37"/>
  <c r="D38"/>
  <c r="D44"/>
  <c r="D21"/>
  <c r="D45"/>
  <c r="D46"/>
  <c r="D47"/>
  <c r="D48"/>
  <c r="A12" i="44"/>
  <c r="E36" i="43"/>
  <c r="E37"/>
  <c r="E38"/>
  <c r="E46"/>
  <c r="E47"/>
  <c r="E48"/>
  <c r="A13" i="44"/>
  <c r="F36" i="43"/>
  <c r="F37"/>
  <c r="F38"/>
  <c r="F46"/>
  <c r="F47"/>
  <c r="F48"/>
  <c r="G36"/>
  <c r="G37"/>
  <c r="G38"/>
  <c r="G46"/>
  <c r="G47"/>
  <c r="G48"/>
  <c r="H36"/>
  <c r="H37"/>
  <c r="H38"/>
  <c r="H46"/>
  <c r="H47"/>
  <c r="H48"/>
  <c r="I36"/>
  <c r="I37"/>
  <c r="I38"/>
  <c r="I46"/>
  <c r="I47"/>
  <c r="I48"/>
  <c r="J36"/>
  <c r="J37"/>
  <c r="J38"/>
  <c r="J46"/>
  <c r="J47"/>
  <c r="J48"/>
  <c r="K36"/>
  <c r="K37"/>
  <c r="K38"/>
  <c r="K46"/>
  <c r="K47"/>
  <c r="K48"/>
  <c r="L36"/>
  <c r="L37"/>
  <c r="L38"/>
  <c r="L46"/>
  <c r="L47"/>
  <c r="L48"/>
  <c r="M36"/>
  <c r="M37"/>
  <c r="M38"/>
  <c r="M46"/>
  <c r="M47"/>
  <c r="M48"/>
  <c r="N36"/>
  <c r="N37"/>
  <c r="N38"/>
  <c r="N46"/>
  <c r="N47"/>
  <c r="N48"/>
  <c r="O36"/>
  <c r="O37"/>
  <c r="O38"/>
  <c r="O46"/>
  <c r="O47"/>
  <c r="O48"/>
  <c r="P36"/>
  <c r="P37"/>
  <c r="P38"/>
  <c r="P46"/>
  <c r="P47"/>
  <c r="P48"/>
  <c r="Q10"/>
  <c r="J22" i="42"/>
  <c r="Q11" i="43" s="1"/>
  <c r="Q36"/>
  <c r="Q37"/>
  <c r="Q38"/>
  <c r="Q46"/>
  <c r="Q47"/>
  <c r="Q48"/>
  <c r="R36"/>
  <c r="R37"/>
  <c r="R38"/>
  <c r="R46"/>
  <c r="R47"/>
  <c r="R48"/>
  <c r="S36"/>
  <c r="S37"/>
  <c r="S38"/>
  <c r="S46"/>
  <c r="S47"/>
  <c r="S48"/>
  <c r="T36"/>
  <c r="T37"/>
  <c r="T38"/>
  <c r="T46"/>
  <c r="T47"/>
  <c r="T48"/>
  <c r="U36"/>
  <c r="U37"/>
  <c r="U38"/>
  <c r="U46"/>
  <c r="U47"/>
  <c r="U48"/>
  <c r="V36"/>
  <c r="V37"/>
  <c r="V38"/>
  <c r="V46"/>
  <c r="V47"/>
  <c r="V48"/>
  <c r="W10"/>
  <c r="J28" i="42"/>
  <c r="W11" i="43" s="1"/>
  <c r="W36"/>
  <c r="W37"/>
  <c r="W38"/>
  <c r="W46"/>
  <c r="W47"/>
  <c r="W48"/>
  <c r="X36"/>
  <c r="X37"/>
  <c r="X38"/>
  <c r="X46"/>
  <c r="X47"/>
  <c r="X48"/>
  <c r="Y36"/>
  <c r="Y37"/>
  <c r="Y38"/>
  <c r="Y46"/>
  <c r="Y47"/>
  <c r="Y48"/>
  <c r="Z36"/>
  <c r="Z37"/>
  <c r="Z38"/>
  <c r="Z46"/>
  <c r="Z47"/>
  <c r="Z48"/>
  <c r="AA36"/>
  <c r="AA37"/>
  <c r="AA38"/>
  <c r="AA46"/>
  <c r="AA47"/>
  <c r="AA48"/>
  <c r="AB36"/>
  <c r="AB37"/>
  <c r="AB38"/>
  <c r="AB46"/>
  <c r="AB47"/>
  <c r="AB48"/>
  <c r="AC36"/>
  <c r="AC37"/>
  <c r="AC38"/>
  <c r="AC46"/>
  <c r="AC47"/>
  <c r="AC48"/>
  <c r="AD36"/>
  <c r="AD37"/>
  <c r="AD38"/>
  <c r="AD46"/>
  <c r="AD47"/>
  <c r="AD48"/>
  <c r="AE10"/>
  <c r="J36" i="42"/>
  <c r="AE11" i="43" s="1"/>
  <c r="AE12"/>
  <c r="AE39" s="1"/>
  <c r="AE36"/>
  <c r="AE37"/>
  <c r="AE38"/>
  <c r="AE44"/>
  <c r="AE21"/>
  <c r="AE45"/>
  <c r="AE46"/>
  <c r="AE47"/>
  <c r="AE48"/>
  <c r="AF36"/>
  <c r="AF37"/>
  <c r="AF38"/>
  <c r="AF46"/>
  <c r="AF47"/>
  <c r="AF48"/>
  <c r="AG36"/>
  <c r="AG37"/>
  <c r="AG38"/>
  <c r="AG46"/>
  <c r="AG47"/>
  <c r="AG48"/>
  <c r="AH36"/>
  <c r="AH37"/>
  <c r="AH38"/>
  <c r="AH46"/>
  <c r="AH47"/>
  <c r="AH48"/>
  <c r="AI36"/>
  <c r="AI37"/>
  <c r="AI38"/>
  <c r="AI46"/>
  <c r="AI47"/>
  <c r="AI48"/>
  <c r="AJ36"/>
  <c r="AJ37"/>
  <c r="AJ38"/>
  <c r="AJ46"/>
  <c r="AJ47"/>
  <c r="AJ48"/>
  <c r="AK36"/>
  <c r="AK37"/>
  <c r="AK38"/>
  <c r="AK46"/>
  <c r="AK47"/>
  <c r="AK48"/>
  <c r="AL10"/>
  <c r="J43" i="42"/>
  <c r="AL11" i="43" s="1"/>
  <c r="AL12"/>
  <c r="AL39"/>
  <c r="AL36"/>
  <c r="AL37"/>
  <c r="AL38"/>
  <c r="AL44"/>
  <c r="AL21"/>
  <c r="AL45" s="1"/>
  <c r="AL46"/>
  <c r="AL47"/>
  <c r="AL48"/>
  <c r="AM10"/>
  <c r="J44" i="42"/>
  <c r="AM11" i="43" s="1"/>
  <c r="AM12"/>
  <c r="AM39"/>
  <c r="AM36"/>
  <c r="AM37"/>
  <c r="AM38"/>
  <c r="AM44"/>
  <c r="AM21"/>
  <c r="AM45" s="1"/>
  <c r="AM46"/>
  <c r="AM47"/>
  <c r="AM48"/>
  <c r="AN36"/>
  <c r="AN37"/>
  <c r="AN38"/>
  <c r="AN46"/>
  <c r="AN47"/>
  <c r="AN48"/>
  <c r="AO36"/>
  <c r="AO37"/>
  <c r="AO38"/>
  <c r="AO46"/>
  <c r="AO47"/>
  <c r="AO48"/>
  <c r="AP36"/>
  <c r="AP37"/>
  <c r="AP38"/>
  <c r="AP46"/>
  <c r="AP47"/>
  <c r="AP48"/>
  <c r="AQ36"/>
  <c r="AQ37"/>
  <c r="AQ38"/>
  <c r="AQ46"/>
  <c r="AQ47"/>
  <c r="AQ48"/>
  <c r="AR36"/>
  <c r="AR37"/>
  <c r="AR38"/>
  <c r="AR46"/>
  <c r="AR47"/>
  <c r="AR48"/>
  <c r="AS12"/>
  <c r="AS39" s="1"/>
  <c r="AS36"/>
  <c r="AS37"/>
  <c r="AS38"/>
  <c r="AS44"/>
  <c r="AS46"/>
  <c r="AS47"/>
  <c r="AS48"/>
  <c r="AT12"/>
  <c r="AT39" s="1"/>
  <c r="AT36"/>
  <c r="AT37"/>
  <c r="AT38"/>
  <c r="AT44"/>
  <c r="AT46"/>
  <c r="AT47"/>
  <c r="AT48"/>
  <c r="AU10"/>
  <c r="J52" i="42"/>
  <c r="AU11" i="43" s="1"/>
  <c r="AU12"/>
  <c r="AU39" s="1"/>
  <c r="AU36"/>
  <c r="AU37"/>
  <c r="AU38"/>
  <c r="AU44"/>
  <c r="AU21"/>
  <c r="AU45"/>
  <c r="AU46"/>
  <c r="AU47"/>
  <c r="AU48"/>
  <c r="AV36"/>
  <c r="AV37"/>
  <c r="AV38"/>
  <c r="AV46"/>
  <c r="AV47"/>
  <c r="AV48"/>
  <c r="AW36"/>
  <c r="AW37"/>
  <c r="AW38"/>
  <c r="AW46"/>
  <c r="AW47"/>
  <c r="AW48"/>
  <c r="AX36"/>
  <c r="AX37"/>
  <c r="AX38"/>
  <c r="AX46"/>
  <c r="AX47"/>
  <c r="AX48"/>
  <c r="AY10"/>
  <c r="J56" i="42"/>
  <c r="AY11" i="43"/>
  <c r="AY36"/>
  <c r="AY37"/>
  <c r="AY38"/>
  <c r="AY46"/>
  <c r="AY47"/>
  <c r="AY48"/>
  <c r="AZ36"/>
  <c r="AZ37"/>
  <c r="AZ38"/>
  <c r="AZ46"/>
  <c r="AZ47"/>
  <c r="AZ48"/>
  <c r="BA36"/>
  <c r="BA37"/>
  <c r="BA38"/>
  <c r="BA46"/>
  <c r="BA47"/>
  <c r="BA48"/>
  <c r="BB36"/>
  <c r="BB37"/>
  <c r="BB38"/>
  <c r="BB46"/>
  <c r="BB47"/>
  <c r="BB48"/>
  <c r="BC36"/>
  <c r="BC37"/>
  <c r="BC38"/>
  <c r="BC46"/>
  <c r="BC47"/>
  <c r="BC48"/>
  <c r="BD36"/>
  <c r="BD37"/>
  <c r="BD38"/>
  <c r="BD46"/>
  <c r="BD47"/>
  <c r="BD48"/>
  <c r="BE36"/>
  <c r="BE37"/>
  <c r="BE38"/>
  <c r="BE46"/>
  <c r="BE47"/>
  <c r="BE48"/>
  <c r="BF36"/>
  <c r="BF37"/>
  <c r="BF38"/>
  <c r="BF46"/>
  <c r="BF47"/>
  <c r="BF48"/>
  <c r="BG10"/>
  <c r="J64" i="42"/>
  <c r="BG11" i="43" s="1"/>
  <c r="BG9" s="1"/>
  <c r="BG12"/>
  <c r="BG39"/>
  <c r="BG36"/>
  <c r="BG37"/>
  <c r="BG38"/>
  <c r="BG46"/>
  <c r="BG47"/>
  <c r="BG48"/>
  <c r="BH36"/>
  <c r="BH37"/>
  <c r="BH38"/>
  <c r="BH46"/>
  <c r="BH47"/>
  <c r="BH48"/>
  <c r="BI10"/>
  <c r="J66" i="42"/>
  <c r="BI11" i="43" s="1"/>
  <c r="BI9" s="1"/>
  <c r="BI34" s="1"/>
  <c r="BI12"/>
  <c r="BI39" s="1"/>
  <c r="BI36"/>
  <c r="BI37"/>
  <c r="BI38"/>
  <c r="BI46"/>
  <c r="BI47"/>
  <c r="BI48"/>
  <c r="BJ10"/>
  <c r="J67" i="42"/>
  <c r="BJ11" i="43" s="1"/>
  <c r="BJ12"/>
  <c r="BJ39" s="1"/>
  <c r="BJ36"/>
  <c r="BJ37"/>
  <c r="BJ38"/>
  <c r="BJ46"/>
  <c r="BJ47"/>
  <c r="BJ48"/>
  <c r="BK36"/>
  <c r="BK37"/>
  <c r="BK38"/>
  <c r="BK46"/>
  <c r="BK47"/>
  <c r="BK48"/>
  <c r="BL36"/>
  <c r="BL37"/>
  <c r="BL38"/>
  <c r="BL46"/>
  <c r="BL47"/>
  <c r="BL48"/>
  <c r="BM36"/>
  <c r="BM37"/>
  <c r="BM38"/>
  <c r="BM46"/>
  <c r="BM47"/>
  <c r="BM48"/>
  <c r="BN10"/>
  <c r="J71" i="42"/>
  <c r="BN11" i="43" s="1"/>
  <c r="BN36"/>
  <c r="BN37"/>
  <c r="BN38"/>
  <c r="BN46"/>
  <c r="BN47"/>
  <c r="BN48"/>
  <c r="BO36"/>
  <c r="BO37"/>
  <c r="BO38"/>
  <c r="BO46"/>
  <c r="BO47"/>
  <c r="BO48"/>
  <c r="BP36"/>
  <c r="BP37"/>
  <c r="BP38"/>
  <c r="BP46"/>
  <c r="BP47"/>
  <c r="BP48"/>
  <c r="BQ36"/>
  <c r="BQ37"/>
  <c r="BQ38"/>
  <c r="BQ46"/>
  <c r="BQ47"/>
  <c r="BQ48"/>
  <c r="BR12"/>
  <c r="BR39" s="1"/>
  <c r="BR36"/>
  <c r="BR37"/>
  <c r="BR38"/>
  <c r="BR46"/>
  <c r="BR47"/>
  <c r="BR48"/>
  <c r="BS12"/>
  <c r="BS39"/>
  <c r="BS36"/>
  <c r="BS37"/>
  <c r="BS38"/>
  <c r="BS44"/>
  <c r="BS46"/>
  <c r="BS47"/>
  <c r="BS48"/>
  <c r="BT12"/>
  <c r="BT39"/>
  <c r="BT36"/>
  <c r="BT37"/>
  <c r="BT38"/>
  <c r="BT44"/>
  <c r="BT46"/>
  <c r="BT47"/>
  <c r="BT48"/>
  <c r="BU12"/>
  <c r="BU39" s="1"/>
  <c r="BU36"/>
  <c r="BU37"/>
  <c r="BU38"/>
  <c r="BU44"/>
  <c r="BU46"/>
  <c r="BU47"/>
  <c r="BU48"/>
  <c r="BV12"/>
  <c r="BV39" s="1"/>
  <c r="BV36"/>
  <c r="BV37"/>
  <c r="BV38"/>
  <c r="BV44"/>
  <c r="BV46"/>
  <c r="BV47"/>
  <c r="BV48"/>
  <c r="BW36"/>
  <c r="BW37"/>
  <c r="BW38"/>
  <c r="BW46"/>
  <c r="BW47"/>
  <c r="BW48"/>
  <c r="BX10"/>
  <c r="J81" i="42"/>
  <c r="BX11" i="43" s="1"/>
  <c r="BX36"/>
  <c r="BX37"/>
  <c r="BX38"/>
  <c r="BX46"/>
  <c r="BX47"/>
  <c r="BX48"/>
  <c r="BY12"/>
  <c r="BY39"/>
  <c r="BY36"/>
  <c r="BY37"/>
  <c r="BY38"/>
  <c r="BY44"/>
  <c r="BY46"/>
  <c r="BY47"/>
  <c r="BY48"/>
  <c r="BZ12"/>
  <c r="BZ39"/>
  <c r="BZ36"/>
  <c r="BZ37"/>
  <c r="BZ38"/>
  <c r="BZ46"/>
  <c r="BZ47"/>
  <c r="BZ48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I7" i="42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G6" i="29"/>
  <c r="G7"/>
  <c r="E18"/>
  <c r="E19"/>
  <c r="F19"/>
  <c r="G19"/>
  <c r="G20"/>
  <c r="E20"/>
  <c r="C24"/>
  <c r="F24"/>
  <c r="C25"/>
  <c r="F25"/>
  <c r="E31"/>
  <c r="E32"/>
  <c r="F32"/>
  <c r="G32" s="1"/>
  <c r="G33" s="1"/>
  <c r="E33"/>
  <c r="C37"/>
  <c r="F37"/>
  <c r="C38"/>
  <c r="F38"/>
  <c r="B13" i="28"/>
  <c r="D13"/>
  <c r="J13"/>
  <c r="L13"/>
  <c r="B14"/>
  <c r="D14"/>
  <c r="J14"/>
  <c r="L14"/>
  <c r="B15"/>
  <c r="D15"/>
  <c r="J15"/>
  <c r="L15"/>
  <c r="E16"/>
  <c r="H16"/>
  <c r="M16"/>
  <c r="E17"/>
  <c r="F17"/>
  <c r="M17"/>
  <c r="N17"/>
  <c r="E18"/>
  <c r="M18"/>
  <c r="C22"/>
  <c r="F22"/>
  <c r="K22"/>
  <c r="N22"/>
  <c r="C23"/>
  <c r="F23"/>
  <c r="K23"/>
  <c r="N23"/>
  <c r="B37"/>
  <c r="D37"/>
  <c r="J37"/>
  <c r="L37"/>
  <c r="E38"/>
  <c r="H38"/>
  <c r="M38"/>
  <c r="E39"/>
  <c r="F39"/>
  <c r="M39"/>
  <c r="N39"/>
  <c r="E40"/>
  <c r="M40"/>
  <c r="C44"/>
  <c r="F44"/>
  <c r="K44"/>
  <c r="N44"/>
  <c r="C45"/>
  <c r="F45"/>
  <c r="K45"/>
  <c r="N45"/>
  <c r="B59"/>
  <c r="D59"/>
  <c r="J59"/>
  <c r="L59"/>
  <c r="E60"/>
  <c r="H60"/>
  <c r="M60"/>
  <c r="E61"/>
  <c r="F61"/>
  <c r="M61"/>
  <c r="N61"/>
  <c r="E62"/>
  <c r="M62"/>
  <c r="C66"/>
  <c r="F66"/>
  <c r="K66"/>
  <c r="N66"/>
  <c r="C67"/>
  <c r="F67"/>
  <c r="K67"/>
  <c r="N67"/>
  <c r="B81"/>
  <c r="D81"/>
  <c r="J81"/>
  <c r="L81"/>
  <c r="B82"/>
  <c r="D82"/>
  <c r="J82"/>
  <c r="L82"/>
  <c r="B83"/>
  <c r="D83"/>
  <c r="J83"/>
  <c r="L83"/>
  <c r="E84"/>
  <c r="H84"/>
  <c r="M84"/>
  <c r="E85"/>
  <c r="F85"/>
  <c r="M85"/>
  <c r="N85"/>
  <c r="E86"/>
  <c r="M86"/>
  <c r="C90"/>
  <c r="F90"/>
  <c r="K90"/>
  <c r="N90"/>
  <c r="C91"/>
  <c r="F91"/>
  <c r="K91"/>
  <c r="N91"/>
  <c r="B105"/>
  <c r="D105"/>
  <c r="J105"/>
  <c r="L105"/>
  <c r="E106"/>
  <c r="H106"/>
  <c r="M106"/>
  <c r="E107"/>
  <c r="F107"/>
  <c r="M107"/>
  <c r="N107"/>
  <c r="E108"/>
  <c r="M108"/>
  <c r="C112"/>
  <c r="F112"/>
  <c r="K112"/>
  <c r="N112"/>
  <c r="C113"/>
  <c r="F113"/>
  <c r="K113"/>
  <c r="N113"/>
  <c r="E120"/>
  <c r="M120"/>
  <c r="E121"/>
  <c r="F121"/>
  <c r="G121" s="1"/>
  <c r="G122" s="1"/>
  <c r="M121"/>
  <c r="N121"/>
  <c r="O121" s="1"/>
  <c r="O122" s="1"/>
  <c r="E122"/>
  <c r="M122"/>
  <c r="F126"/>
  <c r="K126"/>
  <c r="N126"/>
  <c r="C127"/>
  <c r="F127"/>
  <c r="K127"/>
  <c r="N127"/>
  <c r="B142"/>
  <c r="D142"/>
  <c r="J142"/>
  <c r="L142"/>
  <c r="E143"/>
  <c r="H143"/>
  <c r="M143"/>
  <c r="E144"/>
  <c r="F144"/>
  <c r="M144"/>
  <c r="N144"/>
  <c r="E145"/>
  <c r="M145"/>
  <c r="C149"/>
  <c r="F149"/>
  <c r="K149"/>
  <c r="N149"/>
  <c r="C150"/>
  <c r="F150"/>
  <c r="K150"/>
  <c r="N150"/>
  <c r="E162"/>
  <c r="H162"/>
  <c r="M162"/>
  <c r="E163"/>
  <c r="F163"/>
  <c r="M163"/>
  <c r="N163"/>
  <c r="E164"/>
  <c r="M164"/>
  <c r="C168"/>
  <c r="F168"/>
  <c r="K168"/>
  <c r="N168"/>
  <c r="C169"/>
  <c r="F169"/>
  <c r="K169"/>
  <c r="N169"/>
  <c r="E183"/>
  <c r="H183"/>
  <c r="M183"/>
  <c r="E184"/>
  <c r="F184"/>
  <c r="M184"/>
  <c r="N184"/>
  <c r="E185"/>
  <c r="M185"/>
  <c r="C189"/>
  <c r="F189"/>
  <c r="K189"/>
  <c r="N189"/>
  <c r="C190"/>
  <c r="F190"/>
  <c r="K190"/>
  <c r="N190"/>
  <c r="E201"/>
  <c r="H201"/>
  <c r="M201"/>
  <c r="E202"/>
  <c r="F202"/>
  <c r="M202"/>
  <c r="N202"/>
  <c r="E203"/>
  <c r="M203"/>
  <c r="C207"/>
  <c r="F207"/>
  <c r="K207"/>
  <c r="N207"/>
  <c r="C208"/>
  <c r="F208"/>
  <c r="K208"/>
  <c r="N208"/>
  <c r="E222"/>
  <c r="H222"/>
  <c r="M222"/>
  <c r="E223"/>
  <c r="F223"/>
  <c r="M223"/>
  <c r="N223"/>
  <c r="E224"/>
  <c r="M224"/>
  <c r="C228"/>
  <c r="F228"/>
  <c r="K228"/>
  <c r="N228"/>
  <c r="C229"/>
  <c r="F229"/>
  <c r="K229"/>
  <c r="N229"/>
  <c r="E277"/>
  <c r="H277"/>
  <c r="M277"/>
  <c r="E278"/>
  <c r="F278"/>
  <c r="M278"/>
  <c r="N278"/>
  <c r="E279"/>
  <c r="M279"/>
  <c r="C283"/>
  <c r="F283"/>
  <c r="K283"/>
  <c r="N283"/>
  <c r="C284"/>
  <c r="F284"/>
  <c r="K284"/>
  <c r="N284"/>
  <c r="H296"/>
  <c r="M296"/>
  <c r="M297"/>
  <c r="N297"/>
  <c r="M298"/>
  <c r="C302"/>
  <c r="F302"/>
  <c r="K302"/>
  <c r="N302"/>
  <c r="C303"/>
  <c r="F303"/>
  <c r="K303"/>
  <c r="N303"/>
  <c r="N315"/>
  <c r="E314"/>
  <c r="H314"/>
  <c r="M314"/>
  <c r="E315"/>
  <c r="F315"/>
  <c r="M315"/>
  <c r="E316"/>
  <c r="M316"/>
  <c r="C320"/>
  <c r="F320"/>
  <c r="K320"/>
  <c r="N320"/>
  <c r="C321"/>
  <c r="F321"/>
  <c r="K321"/>
  <c r="N321"/>
  <c r="D369"/>
  <c r="J369"/>
  <c r="L369"/>
  <c r="B370"/>
  <c r="D370"/>
  <c r="J370"/>
  <c r="L370"/>
  <c r="E371"/>
  <c r="H371"/>
  <c r="M371"/>
  <c r="E372"/>
  <c r="F372"/>
  <c r="M372"/>
  <c r="N372"/>
  <c r="E373"/>
  <c r="M373"/>
  <c r="C377"/>
  <c r="F377"/>
  <c r="K377"/>
  <c r="N377"/>
  <c r="C378"/>
  <c r="F378"/>
  <c r="K378"/>
  <c r="N378"/>
  <c r="B388"/>
  <c r="D388"/>
  <c r="J388"/>
  <c r="L388"/>
  <c r="E389"/>
  <c r="H389"/>
  <c r="M389"/>
  <c r="E390"/>
  <c r="F390"/>
  <c r="M390"/>
  <c r="N390"/>
  <c r="E391"/>
  <c r="M391"/>
  <c r="C395"/>
  <c r="F395"/>
  <c r="K395"/>
  <c r="N395"/>
  <c r="C396"/>
  <c r="F396"/>
  <c r="K396"/>
  <c r="N396"/>
  <c r="B6" i="23"/>
  <c r="D6"/>
  <c r="E6"/>
  <c r="F6"/>
  <c r="G6"/>
  <c r="J6"/>
  <c r="L6"/>
  <c r="M6"/>
  <c r="N6"/>
  <c r="O6"/>
  <c r="E12"/>
  <c r="H12"/>
  <c r="M12"/>
  <c r="E13"/>
  <c r="F13"/>
  <c r="M13"/>
  <c r="N13"/>
  <c r="E14"/>
  <c r="M14"/>
  <c r="C18"/>
  <c r="F18"/>
  <c r="K18"/>
  <c r="N18"/>
  <c r="C19"/>
  <c r="F19"/>
  <c r="K19"/>
  <c r="N19"/>
  <c r="C43"/>
  <c r="F43"/>
  <c r="K43"/>
  <c r="N43"/>
  <c r="C44"/>
  <c r="F44"/>
  <c r="K44"/>
  <c r="N44"/>
  <c r="B51"/>
  <c r="D51"/>
  <c r="E51"/>
  <c r="F51"/>
  <c r="G51"/>
  <c r="J51"/>
  <c r="L51"/>
  <c r="M51"/>
  <c r="N51"/>
  <c r="O51"/>
  <c r="E55"/>
  <c r="M55"/>
  <c r="E56"/>
  <c r="M56"/>
  <c r="N56"/>
  <c r="E57"/>
  <c r="M57"/>
  <c r="C61"/>
  <c r="F61"/>
  <c r="K61"/>
  <c r="N61"/>
  <c r="C62"/>
  <c r="F62"/>
  <c r="K62"/>
  <c r="N62"/>
  <c r="B69"/>
  <c r="D69"/>
  <c r="E69"/>
  <c r="F69"/>
  <c r="G69"/>
  <c r="J69"/>
  <c r="L69"/>
  <c r="M69"/>
  <c r="N69"/>
  <c r="O69"/>
  <c r="E76"/>
  <c r="H76"/>
  <c r="M76"/>
  <c r="E77"/>
  <c r="F77"/>
  <c r="M77"/>
  <c r="N77"/>
  <c r="E78"/>
  <c r="M78"/>
  <c r="C82"/>
  <c r="F82"/>
  <c r="K82"/>
  <c r="N82"/>
  <c r="C83"/>
  <c r="F83"/>
  <c r="K83"/>
  <c r="N83"/>
  <c r="B90"/>
  <c r="D90"/>
  <c r="E90"/>
  <c r="F90"/>
  <c r="G90"/>
  <c r="J90"/>
  <c r="L90"/>
  <c r="M90"/>
  <c r="N90"/>
  <c r="O90"/>
  <c r="N95"/>
  <c r="O95" s="1"/>
  <c r="O94" s="1"/>
  <c r="E96"/>
  <c r="H96"/>
  <c r="M96"/>
  <c r="E97"/>
  <c r="F97"/>
  <c r="M97"/>
  <c r="N97"/>
  <c r="E98"/>
  <c r="M98"/>
  <c r="C102"/>
  <c r="F102"/>
  <c r="K102"/>
  <c r="N102"/>
  <c r="C103"/>
  <c r="F103"/>
  <c r="K103"/>
  <c r="N103"/>
  <c r="B110"/>
  <c r="D110"/>
  <c r="E110"/>
  <c r="F110"/>
  <c r="G110"/>
  <c r="J110"/>
  <c r="L110"/>
  <c r="M110"/>
  <c r="N110"/>
  <c r="O110"/>
  <c r="N115"/>
  <c r="E114"/>
  <c r="M114"/>
  <c r="E115"/>
  <c r="F115"/>
  <c r="M115"/>
  <c r="E116"/>
  <c r="M116"/>
  <c r="C120"/>
  <c r="F120"/>
  <c r="K120"/>
  <c r="N120"/>
  <c r="C121"/>
  <c r="F121"/>
  <c r="K121"/>
  <c r="N121"/>
  <c r="C145"/>
  <c r="F145"/>
  <c r="K145"/>
  <c r="N145"/>
  <c r="C146"/>
  <c r="F146"/>
  <c r="K146"/>
  <c r="N146"/>
  <c r="B162"/>
  <c r="D162"/>
  <c r="J162"/>
  <c r="L162"/>
  <c r="B163"/>
  <c r="D163"/>
  <c r="J163"/>
  <c r="L163"/>
  <c r="E164"/>
  <c r="H164"/>
  <c r="M164"/>
  <c r="E165"/>
  <c r="F165"/>
  <c r="M165"/>
  <c r="N165"/>
  <c r="E166"/>
  <c r="M166"/>
  <c r="C170"/>
  <c r="F170"/>
  <c r="K170"/>
  <c r="N170"/>
  <c r="C171"/>
  <c r="F171"/>
  <c r="K171"/>
  <c r="N171"/>
  <c r="C195"/>
  <c r="F195"/>
  <c r="K195"/>
  <c r="N195"/>
  <c r="C196"/>
  <c r="F196"/>
  <c r="K196"/>
  <c r="N196"/>
  <c r="C220"/>
  <c r="F220"/>
  <c r="K220"/>
  <c r="N220"/>
  <c r="C221"/>
  <c r="F221"/>
  <c r="K221"/>
  <c r="N221"/>
  <c r="C247"/>
  <c r="F247"/>
  <c r="K247"/>
  <c r="N247"/>
  <c r="C248"/>
  <c r="F248"/>
  <c r="K248"/>
  <c r="N248"/>
  <c r="B263"/>
  <c r="D263"/>
  <c r="J263"/>
  <c r="L263"/>
  <c r="B264"/>
  <c r="D264"/>
  <c r="J264"/>
  <c r="L264"/>
  <c r="E265"/>
  <c r="H265"/>
  <c r="M265"/>
  <c r="E266"/>
  <c r="F266"/>
  <c r="M266"/>
  <c r="N266"/>
  <c r="E267"/>
  <c r="M267"/>
  <c r="C271"/>
  <c r="F271"/>
  <c r="K271"/>
  <c r="N271"/>
  <c r="C272"/>
  <c r="F272"/>
  <c r="K272"/>
  <c r="N272"/>
  <c r="N287"/>
  <c r="O287" s="1"/>
  <c r="O286" s="1"/>
  <c r="B287"/>
  <c r="D287"/>
  <c r="J287"/>
  <c r="L287"/>
  <c r="E288"/>
  <c r="H288"/>
  <c r="M288"/>
  <c r="E289"/>
  <c r="F289"/>
  <c r="M289"/>
  <c r="N289"/>
  <c r="E290"/>
  <c r="M290"/>
  <c r="C294"/>
  <c r="F294"/>
  <c r="K294"/>
  <c r="N294"/>
  <c r="C295"/>
  <c r="F295"/>
  <c r="K295"/>
  <c r="N295"/>
  <c r="B307"/>
  <c r="D307"/>
  <c r="J307"/>
  <c r="L307"/>
  <c r="E308"/>
  <c r="H308"/>
  <c r="M308"/>
  <c r="E309"/>
  <c r="F309"/>
  <c r="M309"/>
  <c r="N309"/>
  <c r="E310"/>
  <c r="M310"/>
  <c r="C314"/>
  <c r="F314"/>
  <c r="K314"/>
  <c r="N314"/>
  <c r="C315"/>
  <c r="F315"/>
  <c r="K315"/>
  <c r="N315"/>
  <c r="B329"/>
  <c r="D329"/>
  <c r="J329"/>
  <c r="L329"/>
  <c r="B330"/>
  <c r="D330"/>
  <c r="J330"/>
  <c r="L330"/>
  <c r="B331"/>
  <c r="D331"/>
  <c r="J331"/>
  <c r="L331"/>
  <c r="B332"/>
  <c r="D332"/>
  <c r="J332"/>
  <c r="L332"/>
  <c r="E333"/>
  <c r="H333"/>
  <c r="M333"/>
  <c r="E334"/>
  <c r="F334"/>
  <c r="M334"/>
  <c r="N334"/>
  <c r="E335"/>
  <c r="M335"/>
  <c r="C339"/>
  <c r="F339"/>
  <c r="K339"/>
  <c r="N339"/>
  <c r="C340"/>
  <c r="F340"/>
  <c r="K340"/>
  <c r="N340"/>
  <c r="B355"/>
  <c r="D355"/>
  <c r="J355"/>
  <c r="L355"/>
  <c r="B356"/>
  <c r="D356"/>
  <c r="J356"/>
  <c r="L356"/>
  <c r="E357"/>
  <c r="H357"/>
  <c r="M357"/>
  <c r="E358"/>
  <c r="F358"/>
  <c r="M358"/>
  <c r="N358"/>
  <c r="E359"/>
  <c r="M359"/>
  <c r="C363"/>
  <c r="F363"/>
  <c r="K363"/>
  <c r="N363"/>
  <c r="C364"/>
  <c r="F364"/>
  <c r="K364"/>
  <c r="N364"/>
  <c r="N378"/>
  <c r="O378" s="1"/>
  <c r="B378"/>
  <c r="D378"/>
  <c r="J378"/>
  <c r="L378"/>
  <c r="B379"/>
  <c r="D379"/>
  <c r="J379"/>
  <c r="L379"/>
  <c r="E380"/>
  <c r="H380"/>
  <c r="M380"/>
  <c r="E381"/>
  <c r="F381"/>
  <c r="M381"/>
  <c r="N381"/>
  <c r="E382"/>
  <c r="M382"/>
  <c r="C386"/>
  <c r="F386"/>
  <c r="K386"/>
  <c r="N386"/>
  <c r="C387"/>
  <c r="F387"/>
  <c r="K387"/>
  <c r="N387"/>
  <c r="N402"/>
  <c r="O402" s="1"/>
  <c r="O401" s="1"/>
  <c r="D402"/>
  <c r="J402"/>
  <c r="L402"/>
  <c r="E403"/>
  <c r="H403"/>
  <c r="M403"/>
  <c r="E404"/>
  <c r="F404"/>
  <c r="M404"/>
  <c r="N404"/>
  <c r="E405"/>
  <c r="M405"/>
  <c r="C409"/>
  <c r="F409"/>
  <c r="K409"/>
  <c r="N409"/>
  <c r="C410"/>
  <c r="F410"/>
  <c r="K410"/>
  <c r="N410"/>
  <c r="N426"/>
  <c r="O426" s="1"/>
  <c r="B425"/>
  <c r="D425"/>
  <c r="J425"/>
  <c r="L425"/>
  <c r="B426"/>
  <c r="D426"/>
  <c r="J426"/>
  <c r="L426"/>
  <c r="B427"/>
  <c r="D427"/>
  <c r="J427"/>
  <c r="L427"/>
  <c r="B428"/>
  <c r="D428"/>
  <c r="J428"/>
  <c r="L428"/>
  <c r="B429"/>
  <c r="D429"/>
  <c r="J429"/>
  <c r="L429"/>
  <c r="E430"/>
  <c r="H430"/>
  <c r="M430"/>
  <c r="E431"/>
  <c r="F431"/>
  <c r="M431"/>
  <c r="N431"/>
  <c r="E432"/>
  <c r="M432"/>
  <c r="C436"/>
  <c r="F436"/>
  <c r="K436"/>
  <c r="N436"/>
  <c r="C437"/>
  <c r="F437"/>
  <c r="K437"/>
  <c r="N437"/>
  <c r="C461"/>
  <c r="F461"/>
  <c r="K461"/>
  <c r="N461"/>
  <c r="C462"/>
  <c r="F462"/>
  <c r="K462"/>
  <c r="N462"/>
  <c r="B477"/>
  <c r="D477"/>
  <c r="J477"/>
  <c r="L477"/>
  <c r="B479"/>
  <c r="D479"/>
  <c r="J479"/>
  <c r="L479"/>
  <c r="E480"/>
  <c r="H480"/>
  <c r="M480"/>
  <c r="E481"/>
  <c r="F481"/>
  <c r="M481"/>
  <c r="N481"/>
  <c r="E482"/>
  <c r="M482"/>
  <c r="C486"/>
  <c r="F486"/>
  <c r="K486"/>
  <c r="N486"/>
  <c r="C487"/>
  <c r="F487"/>
  <c r="K487"/>
  <c r="N487"/>
  <c r="B502"/>
  <c r="D502"/>
  <c r="J502"/>
  <c r="L502"/>
  <c r="B503"/>
  <c r="D503"/>
  <c r="J503"/>
  <c r="L503"/>
  <c r="B504"/>
  <c r="D504"/>
  <c r="J504"/>
  <c r="L504"/>
  <c r="E505"/>
  <c r="H505"/>
  <c r="M505"/>
  <c r="E506"/>
  <c r="F506"/>
  <c r="M506"/>
  <c r="N506"/>
  <c r="E507"/>
  <c r="M507"/>
  <c r="C511"/>
  <c r="F511"/>
  <c r="K511"/>
  <c r="N511"/>
  <c r="C512"/>
  <c r="F512"/>
  <c r="K512"/>
  <c r="N512"/>
  <c r="B527"/>
  <c r="D527"/>
  <c r="J527"/>
  <c r="L527"/>
  <c r="B528"/>
  <c r="D528"/>
  <c r="J528"/>
  <c r="L528"/>
  <c r="E529"/>
  <c r="H529"/>
  <c r="M529"/>
  <c r="E530"/>
  <c r="F530"/>
  <c r="M530"/>
  <c r="N530"/>
  <c r="E531"/>
  <c r="M531"/>
  <c r="C535"/>
  <c r="F535"/>
  <c r="K535"/>
  <c r="N535"/>
  <c r="C536"/>
  <c r="F536"/>
  <c r="K536"/>
  <c r="N536"/>
  <c r="C560"/>
  <c r="F560"/>
  <c r="K560"/>
  <c r="N560"/>
  <c r="C561"/>
  <c r="F561"/>
  <c r="K561"/>
  <c r="N561"/>
  <c r="N573"/>
  <c r="E572"/>
  <c r="H572"/>
  <c r="M572"/>
  <c r="E573"/>
  <c r="F573"/>
  <c r="M573"/>
  <c r="E574"/>
  <c r="M574"/>
  <c r="C578"/>
  <c r="F578"/>
  <c r="K578"/>
  <c r="N578"/>
  <c r="C579"/>
  <c r="F579"/>
  <c r="K579"/>
  <c r="N579"/>
  <c r="B595"/>
  <c r="D595"/>
  <c r="J595"/>
  <c r="L595"/>
  <c r="B596"/>
  <c r="D596"/>
  <c r="J596"/>
  <c r="L596"/>
  <c r="B597"/>
  <c r="D597"/>
  <c r="J597"/>
  <c r="L597"/>
  <c r="B598"/>
  <c r="D598"/>
  <c r="J598"/>
  <c r="L598"/>
  <c r="B599"/>
  <c r="D599"/>
  <c r="J599"/>
  <c r="L599"/>
  <c r="E600"/>
  <c r="H600"/>
  <c r="M600"/>
  <c r="E601"/>
  <c r="F601"/>
  <c r="M601"/>
  <c r="N601"/>
  <c r="E602"/>
  <c r="M602"/>
  <c r="C606"/>
  <c r="F606"/>
  <c r="K606"/>
  <c r="N606"/>
  <c r="C607"/>
  <c r="F607"/>
  <c r="K607"/>
  <c r="N607"/>
  <c r="B624"/>
  <c r="D624"/>
  <c r="J624"/>
  <c r="L624"/>
  <c r="B625"/>
  <c r="D625"/>
  <c r="J625"/>
  <c r="L625"/>
  <c r="B626"/>
  <c r="D626"/>
  <c r="J626"/>
  <c r="L626"/>
  <c r="B627"/>
  <c r="D627"/>
  <c r="J627"/>
  <c r="L627"/>
  <c r="E628"/>
  <c r="H628"/>
  <c r="M628"/>
  <c r="E629"/>
  <c r="F629"/>
  <c r="M629"/>
  <c r="N629"/>
  <c r="E630"/>
  <c r="M630"/>
  <c r="C634"/>
  <c r="F634"/>
  <c r="K634"/>
  <c r="N634"/>
  <c r="C635"/>
  <c r="F635"/>
  <c r="K635"/>
  <c r="N635"/>
  <c r="N655"/>
  <c r="O655" s="1"/>
  <c r="B652"/>
  <c r="D652"/>
  <c r="J652"/>
  <c r="L652"/>
  <c r="B653"/>
  <c r="D653"/>
  <c r="J653"/>
  <c r="L653"/>
  <c r="B654"/>
  <c r="D654"/>
  <c r="J654"/>
  <c r="L654"/>
  <c r="B655"/>
  <c r="D655"/>
  <c r="J655"/>
  <c r="L655"/>
  <c r="B656"/>
  <c r="D656"/>
  <c r="J656"/>
  <c r="L656"/>
  <c r="E657"/>
  <c r="H657"/>
  <c r="M657"/>
  <c r="E658"/>
  <c r="F658"/>
  <c r="M658"/>
  <c r="N658"/>
  <c r="E659"/>
  <c r="M659"/>
  <c r="C663"/>
  <c r="F663"/>
  <c r="K663"/>
  <c r="N663"/>
  <c r="C664"/>
  <c r="F664"/>
  <c r="K664"/>
  <c r="N664"/>
  <c r="N677"/>
  <c r="O677" s="1"/>
  <c r="B676"/>
  <c r="D676"/>
  <c r="J676"/>
  <c r="L676"/>
  <c r="B677"/>
  <c r="D677"/>
  <c r="J677"/>
  <c r="L677"/>
  <c r="B678"/>
  <c r="D678"/>
  <c r="J678"/>
  <c r="L678"/>
  <c r="E679"/>
  <c r="H679"/>
  <c r="M679"/>
  <c r="E680"/>
  <c r="F680"/>
  <c r="M680"/>
  <c r="N680"/>
  <c r="E681"/>
  <c r="M681"/>
  <c r="C685"/>
  <c r="F685"/>
  <c r="K685"/>
  <c r="N685"/>
  <c r="C686"/>
  <c r="F686"/>
  <c r="K686"/>
  <c r="N686"/>
  <c r="B704"/>
  <c r="D704"/>
  <c r="J704"/>
  <c r="L704"/>
  <c r="B705"/>
  <c r="D705"/>
  <c r="J705"/>
  <c r="L705"/>
  <c r="B706"/>
  <c r="D706"/>
  <c r="J706"/>
  <c r="L706"/>
  <c r="E707"/>
  <c r="H707"/>
  <c r="M707"/>
  <c r="E708"/>
  <c r="F708"/>
  <c r="M708"/>
  <c r="N708"/>
  <c r="E709"/>
  <c r="M709"/>
  <c r="C713"/>
  <c r="F713"/>
  <c r="K713"/>
  <c r="N713"/>
  <c r="C714"/>
  <c r="F714"/>
  <c r="K714"/>
  <c r="N714"/>
  <c r="B729"/>
  <c r="D729"/>
  <c r="J729"/>
  <c r="L729"/>
  <c r="B730"/>
  <c r="D730"/>
  <c r="J730"/>
  <c r="L730"/>
  <c r="B731"/>
  <c r="D731"/>
  <c r="J731"/>
  <c r="L731"/>
  <c r="E732"/>
  <c r="H732"/>
  <c r="M732"/>
  <c r="E733"/>
  <c r="F733"/>
  <c r="M733"/>
  <c r="N733"/>
  <c r="E734"/>
  <c r="M734"/>
  <c r="C738"/>
  <c r="F738"/>
  <c r="K738"/>
  <c r="N738"/>
  <c r="C739"/>
  <c r="F739"/>
  <c r="K739"/>
  <c r="N739"/>
  <c r="N755"/>
  <c r="O755" s="1"/>
  <c r="B754"/>
  <c r="D754"/>
  <c r="J754"/>
  <c r="L754"/>
  <c r="B755"/>
  <c r="D755"/>
  <c r="J755"/>
  <c r="L755"/>
  <c r="B756"/>
  <c r="D756"/>
  <c r="J756"/>
  <c r="L756"/>
  <c r="B757"/>
  <c r="D757"/>
  <c r="J757"/>
  <c r="L757"/>
  <c r="B758"/>
  <c r="D758"/>
  <c r="J758"/>
  <c r="L758"/>
  <c r="E759"/>
  <c r="H759"/>
  <c r="M759"/>
  <c r="E760"/>
  <c r="F760"/>
  <c r="M760"/>
  <c r="N760"/>
  <c r="E761"/>
  <c r="M761"/>
  <c r="C765"/>
  <c r="F765"/>
  <c r="K765"/>
  <c r="N765"/>
  <c r="C766"/>
  <c r="F766"/>
  <c r="K766"/>
  <c r="N766"/>
  <c r="B778"/>
  <c r="D778"/>
  <c r="J778"/>
  <c r="L778"/>
  <c r="E779"/>
  <c r="H779"/>
  <c r="M779"/>
  <c r="E780"/>
  <c r="F780"/>
  <c r="M780"/>
  <c r="N780"/>
  <c r="E781"/>
  <c r="M781"/>
  <c r="C785"/>
  <c r="F785"/>
  <c r="K785"/>
  <c r="N785"/>
  <c r="C786"/>
  <c r="F786"/>
  <c r="K786"/>
  <c r="N786"/>
  <c r="B5" i="22"/>
  <c r="D5"/>
  <c r="E5"/>
  <c r="F5"/>
  <c r="G5"/>
  <c r="J5"/>
  <c r="L5"/>
  <c r="M5"/>
  <c r="N5"/>
  <c r="O5"/>
  <c r="E11"/>
  <c r="H11"/>
  <c r="M11"/>
  <c r="E12"/>
  <c r="F12"/>
  <c r="M12"/>
  <c r="N12"/>
  <c r="E13"/>
  <c r="M13"/>
  <c r="C17"/>
  <c r="F17"/>
  <c r="K17"/>
  <c r="N17"/>
  <c r="C18"/>
  <c r="F18"/>
  <c r="K18"/>
  <c r="N18"/>
  <c r="B24"/>
  <c r="D24"/>
  <c r="E24"/>
  <c r="F24"/>
  <c r="G24"/>
  <c r="J24"/>
  <c r="L24"/>
  <c r="M24"/>
  <c r="N24"/>
  <c r="O24"/>
  <c r="E32"/>
  <c r="H32"/>
  <c r="M32"/>
  <c r="E33"/>
  <c r="F33"/>
  <c r="M33"/>
  <c r="N33"/>
  <c r="E34"/>
  <c r="M34"/>
  <c r="C38"/>
  <c r="F38"/>
  <c r="K38"/>
  <c r="N38"/>
  <c r="C39"/>
  <c r="F39"/>
  <c r="K39"/>
  <c r="N39"/>
  <c r="B45"/>
  <c r="D45"/>
  <c r="E45"/>
  <c r="F45"/>
  <c r="G45"/>
  <c r="J45"/>
  <c r="L45"/>
  <c r="M45"/>
  <c r="N45"/>
  <c r="O45"/>
  <c r="E55"/>
  <c r="M55"/>
  <c r="E56"/>
  <c r="F56"/>
  <c r="M56"/>
  <c r="N56"/>
  <c r="E57"/>
  <c r="M57"/>
  <c r="C61"/>
  <c r="F61"/>
  <c r="K61"/>
  <c r="N61"/>
  <c r="C62"/>
  <c r="F62"/>
  <c r="K62"/>
  <c r="N62"/>
  <c r="B68"/>
  <c r="D68"/>
  <c r="E68"/>
  <c r="F68"/>
  <c r="G68"/>
  <c r="J68"/>
  <c r="L68"/>
  <c r="M68"/>
  <c r="N68"/>
  <c r="O68"/>
  <c r="E78"/>
  <c r="H78"/>
  <c r="M78"/>
  <c r="E79"/>
  <c r="F79"/>
  <c r="M79"/>
  <c r="N79"/>
  <c r="E80"/>
  <c r="M80"/>
  <c r="C84"/>
  <c r="F84"/>
  <c r="K84"/>
  <c r="N84"/>
  <c r="C85"/>
  <c r="F85"/>
  <c r="K85"/>
  <c r="N85"/>
  <c r="B91"/>
  <c r="D91"/>
  <c r="E91"/>
  <c r="F91"/>
  <c r="G91"/>
  <c r="J91"/>
  <c r="L91"/>
  <c r="M91"/>
  <c r="N91"/>
  <c r="O91"/>
  <c r="E101"/>
  <c r="H101"/>
  <c r="M101"/>
  <c r="E102"/>
  <c r="F102"/>
  <c r="M102"/>
  <c r="N102"/>
  <c r="E103"/>
  <c r="M103"/>
  <c r="C107"/>
  <c r="F107"/>
  <c r="K107"/>
  <c r="N107"/>
  <c r="C108"/>
  <c r="F108"/>
  <c r="K108"/>
  <c r="N108"/>
  <c r="B114"/>
  <c r="D114"/>
  <c r="E114"/>
  <c r="F114"/>
  <c r="G114"/>
  <c r="J114"/>
  <c r="L114"/>
  <c r="M114"/>
  <c r="N114"/>
  <c r="O114"/>
  <c r="E123"/>
  <c r="H123"/>
  <c r="M123"/>
  <c r="E124"/>
  <c r="F124"/>
  <c r="M124"/>
  <c r="N124"/>
  <c r="E125"/>
  <c r="M125"/>
  <c r="C129"/>
  <c r="F129"/>
  <c r="K129"/>
  <c r="N129"/>
  <c r="C130"/>
  <c r="F130"/>
  <c r="K130"/>
  <c r="N130"/>
  <c r="B136"/>
  <c r="D136"/>
  <c r="E136"/>
  <c r="F136"/>
  <c r="G136"/>
  <c r="J136"/>
  <c r="L136"/>
  <c r="M136"/>
  <c r="N136"/>
  <c r="O136"/>
  <c r="E145"/>
  <c r="H145"/>
  <c r="M145"/>
  <c r="E146"/>
  <c r="F146"/>
  <c r="M146"/>
  <c r="N146"/>
  <c r="E147"/>
  <c r="M147"/>
  <c r="C151"/>
  <c r="F151"/>
  <c r="K151"/>
  <c r="N151"/>
  <c r="C152"/>
  <c r="F152"/>
  <c r="K152"/>
  <c r="N152"/>
  <c r="B158"/>
  <c r="D158"/>
  <c r="E158"/>
  <c r="F158"/>
  <c r="G158"/>
  <c r="J158"/>
  <c r="L158"/>
  <c r="M158"/>
  <c r="N158"/>
  <c r="O158"/>
  <c r="E166"/>
  <c r="H166"/>
  <c r="M166"/>
  <c r="E167"/>
  <c r="F167"/>
  <c r="M167"/>
  <c r="N167"/>
  <c r="E168"/>
  <c r="M168"/>
  <c r="C172"/>
  <c r="F172"/>
  <c r="K172"/>
  <c r="N172"/>
  <c r="C173"/>
  <c r="F173"/>
  <c r="K173"/>
  <c r="N173"/>
  <c r="B179"/>
  <c r="D179"/>
  <c r="E179"/>
  <c r="F179"/>
  <c r="G179"/>
  <c r="J179"/>
  <c r="L179"/>
  <c r="M179"/>
  <c r="N179"/>
  <c r="O179"/>
  <c r="E188"/>
  <c r="H188"/>
  <c r="M188"/>
  <c r="E189"/>
  <c r="F189"/>
  <c r="M189"/>
  <c r="N189"/>
  <c r="E190"/>
  <c r="M190"/>
  <c r="C194"/>
  <c r="F194"/>
  <c r="K194"/>
  <c r="N194"/>
  <c r="C195"/>
  <c r="F195"/>
  <c r="K195"/>
  <c r="N195"/>
  <c r="B201"/>
  <c r="D201"/>
  <c r="E201"/>
  <c r="F201"/>
  <c r="G201"/>
  <c r="J201"/>
  <c r="L201"/>
  <c r="M201"/>
  <c r="N201"/>
  <c r="O201"/>
  <c r="E209"/>
  <c r="H209"/>
  <c r="M209"/>
  <c r="E210"/>
  <c r="F210"/>
  <c r="M210"/>
  <c r="N210"/>
  <c r="E211"/>
  <c r="M211"/>
  <c r="C215"/>
  <c r="F215"/>
  <c r="K215"/>
  <c r="N215"/>
  <c r="C216"/>
  <c r="F216"/>
  <c r="K216"/>
  <c r="N216"/>
  <c r="B222"/>
  <c r="D222"/>
  <c r="E222"/>
  <c r="F222"/>
  <c r="G222"/>
  <c r="J222"/>
  <c r="L222"/>
  <c r="M222"/>
  <c r="N222"/>
  <c r="O222"/>
  <c r="E230"/>
  <c r="H230"/>
  <c r="M230"/>
  <c r="E231"/>
  <c r="F231"/>
  <c r="M231"/>
  <c r="N231"/>
  <c r="E232"/>
  <c r="M232"/>
  <c r="C236"/>
  <c r="F236"/>
  <c r="K236"/>
  <c r="N236"/>
  <c r="C237"/>
  <c r="F237"/>
  <c r="K237"/>
  <c r="N237"/>
  <c r="B243"/>
  <c r="D243"/>
  <c r="E243"/>
  <c r="F243"/>
  <c r="G243"/>
  <c r="J243"/>
  <c r="L243"/>
  <c r="M243"/>
  <c r="N243"/>
  <c r="O243"/>
  <c r="E251"/>
  <c r="H251"/>
  <c r="M251"/>
  <c r="E252"/>
  <c r="F252"/>
  <c r="M252"/>
  <c r="N252"/>
  <c r="E253"/>
  <c r="M253"/>
  <c r="C257"/>
  <c r="F257"/>
  <c r="K257"/>
  <c r="N257"/>
  <c r="C258"/>
  <c r="F258"/>
  <c r="K258"/>
  <c r="N258"/>
  <c r="B264"/>
  <c r="D264"/>
  <c r="E264"/>
  <c r="F264"/>
  <c r="G264"/>
  <c r="J264"/>
  <c r="L264"/>
  <c r="M264"/>
  <c r="N264"/>
  <c r="O264"/>
  <c r="E274"/>
  <c r="H274"/>
  <c r="M274"/>
  <c r="E275"/>
  <c r="F275"/>
  <c r="M275"/>
  <c r="N275"/>
  <c r="E276"/>
  <c r="M276"/>
  <c r="C280"/>
  <c r="F280"/>
  <c r="K280"/>
  <c r="N280"/>
  <c r="C281"/>
  <c r="F281"/>
  <c r="K281"/>
  <c r="N281"/>
  <c r="B287"/>
  <c r="D287"/>
  <c r="E287"/>
  <c r="F287"/>
  <c r="G287"/>
  <c r="J287"/>
  <c r="L287"/>
  <c r="M287"/>
  <c r="N287"/>
  <c r="O287"/>
  <c r="E297"/>
  <c r="H297"/>
  <c r="M297"/>
  <c r="E298"/>
  <c r="F298"/>
  <c r="M298"/>
  <c r="N298"/>
  <c r="E299"/>
  <c r="M299"/>
  <c r="C303"/>
  <c r="F303"/>
  <c r="K303"/>
  <c r="N303"/>
  <c r="C304"/>
  <c r="F304"/>
  <c r="K304"/>
  <c r="N304"/>
  <c r="B310"/>
  <c r="D310"/>
  <c r="E310"/>
  <c r="F310"/>
  <c r="G310"/>
  <c r="J310"/>
  <c r="L310"/>
  <c r="M310"/>
  <c r="N310"/>
  <c r="O310"/>
  <c r="E320"/>
  <c r="H320"/>
  <c r="M320"/>
  <c r="E321"/>
  <c r="F321"/>
  <c r="M321"/>
  <c r="N321"/>
  <c r="E322"/>
  <c r="M322"/>
  <c r="C326"/>
  <c r="F326"/>
  <c r="K326"/>
  <c r="N326"/>
  <c r="C327"/>
  <c r="F327"/>
  <c r="K327"/>
  <c r="N327"/>
  <c r="B6" i="21"/>
  <c r="D6"/>
  <c r="E6"/>
  <c r="F6"/>
  <c r="G6"/>
  <c r="J6"/>
  <c r="L6"/>
  <c r="M6"/>
  <c r="N6"/>
  <c r="O6"/>
  <c r="B8"/>
  <c r="J8"/>
  <c r="N11"/>
  <c r="E10"/>
  <c r="H10"/>
  <c r="M10"/>
  <c r="E11"/>
  <c r="F11"/>
  <c r="M11"/>
  <c r="E12"/>
  <c r="M12"/>
  <c r="C16"/>
  <c r="F16"/>
  <c r="K16"/>
  <c r="N16"/>
  <c r="C17"/>
  <c r="F17"/>
  <c r="K17"/>
  <c r="N17"/>
  <c r="B24"/>
  <c r="D24"/>
  <c r="E24"/>
  <c r="F24"/>
  <c r="G24"/>
  <c r="J24"/>
  <c r="L24"/>
  <c r="M24"/>
  <c r="N24"/>
  <c r="O24"/>
  <c r="B26"/>
  <c r="J26"/>
  <c r="N29"/>
  <c r="E28"/>
  <c r="H28"/>
  <c r="M28"/>
  <c r="E29"/>
  <c r="F29"/>
  <c r="M29"/>
  <c r="E30"/>
  <c r="M30"/>
  <c r="C34"/>
  <c r="F34"/>
  <c r="K34"/>
  <c r="N34"/>
  <c r="C35"/>
  <c r="F35"/>
  <c r="K35"/>
  <c r="N35"/>
  <c r="B42"/>
  <c r="D42"/>
  <c r="E42"/>
  <c r="F42"/>
  <c r="G42"/>
  <c r="J42"/>
  <c r="L42"/>
  <c r="M42"/>
  <c r="N42"/>
  <c r="O42"/>
  <c r="B44"/>
  <c r="J44"/>
  <c r="B46"/>
  <c r="J46"/>
  <c r="B49"/>
  <c r="J49"/>
  <c r="B50"/>
  <c r="D50"/>
  <c r="J50"/>
  <c r="L50"/>
  <c r="E51"/>
  <c r="H51"/>
  <c r="M51"/>
  <c r="E52"/>
  <c r="F52"/>
  <c r="M52"/>
  <c r="N52"/>
  <c r="E53"/>
  <c r="M53"/>
  <c r="C57"/>
  <c r="F57"/>
  <c r="K57"/>
  <c r="N57"/>
  <c r="C58"/>
  <c r="F58"/>
  <c r="K58"/>
  <c r="N58"/>
  <c r="B65"/>
  <c r="D65"/>
  <c r="E65"/>
  <c r="F65"/>
  <c r="G65"/>
  <c r="J65"/>
  <c r="L65"/>
  <c r="M65"/>
  <c r="N65"/>
  <c r="O65"/>
  <c r="B67"/>
  <c r="J67"/>
  <c r="B69"/>
  <c r="F69"/>
  <c r="J69"/>
  <c r="N69"/>
  <c r="B72"/>
  <c r="J72"/>
  <c r="B73"/>
  <c r="D73"/>
  <c r="J73"/>
  <c r="L73"/>
  <c r="B74"/>
  <c r="D74"/>
  <c r="J74"/>
  <c r="L74"/>
  <c r="B75"/>
  <c r="D75"/>
  <c r="J75"/>
  <c r="L75"/>
  <c r="E76"/>
  <c r="H76"/>
  <c r="M76"/>
  <c r="E77"/>
  <c r="F77"/>
  <c r="M77"/>
  <c r="N77"/>
  <c r="E78"/>
  <c r="M78"/>
  <c r="C82"/>
  <c r="F82"/>
  <c r="K82"/>
  <c r="N82"/>
  <c r="C83"/>
  <c r="F83"/>
  <c r="K83"/>
  <c r="N83"/>
  <c r="B90"/>
  <c r="D90"/>
  <c r="E90"/>
  <c r="F90"/>
  <c r="G90"/>
  <c r="J90"/>
  <c r="L90"/>
  <c r="M90"/>
  <c r="N90"/>
  <c r="O90"/>
  <c r="B92"/>
  <c r="J92"/>
  <c r="N95"/>
  <c r="E94"/>
  <c r="H94"/>
  <c r="M94"/>
  <c r="E95"/>
  <c r="F95"/>
  <c r="M95"/>
  <c r="E96"/>
  <c r="M96"/>
  <c r="C100"/>
  <c r="F100"/>
  <c r="K100"/>
  <c r="N100"/>
  <c r="C101"/>
  <c r="F101"/>
  <c r="K101"/>
  <c r="N101"/>
  <c r="B108"/>
  <c r="D108"/>
  <c r="E108"/>
  <c r="F108"/>
  <c r="G108"/>
  <c r="J108"/>
  <c r="L108"/>
  <c r="M108"/>
  <c r="N108"/>
  <c r="O108"/>
  <c r="B110"/>
  <c r="J110"/>
  <c r="B112"/>
  <c r="F112"/>
  <c r="J112"/>
  <c r="N112"/>
  <c r="E115"/>
  <c r="H115"/>
  <c r="M115"/>
  <c r="E116"/>
  <c r="F116"/>
  <c r="M116"/>
  <c r="N116"/>
  <c r="E117"/>
  <c r="M117"/>
  <c r="C121"/>
  <c r="F121"/>
  <c r="K121"/>
  <c r="N121"/>
  <c r="C122"/>
  <c r="F122"/>
  <c r="K122"/>
  <c r="N122"/>
  <c r="B129"/>
  <c r="D129"/>
  <c r="E129"/>
  <c r="F129"/>
  <c r="G129"/>
  <c r="J129"/>
  <c r="L129"/>
  <c r="M129"/>
  <c r="N129"/>
  <c r="O129"/>
  <c r="B131"/>
  <c r="J131"/>
  <c r="B133"/>
  <c r="F133"/>
  <c r="J133"/>
  <c r="N133"/>
  <c r="B135"/>
  <c r="J135"/>
  <c r="B136"/>
  <c r="D136"/>
  <c r="J136"/>
  <c r="L136"/>
  <c r="E137"/>
  <c r="H137"/>
  <c r="M137"/>
  <c r="E138"/>
  <c r="F138"/>
  <c r="M138"/>
  <c r="N138"/>
  <c r="E139"/>
  <c r="M139"/>
  <c r="C143"/>
  <c r="F143"/>
  <c r="K143"/>
  <c r="N143"/>
  <c r="C144"/>
  <c r="F144"/>
  <c r="K144"/>
  <c r="N144"/>
  <c r="B151"/>
  <c r="D151"/>
  <c r="E151"/>
  <c r="F151"/>
  <c r="G151"/>
  <c r="J151"/>
  <c r="L151"/>
  <c r="M151"/>
  <c r="N151"/>
  <c r="O151"/>
  <c r="B153"/>
  <c r="J153"/>
  <c r="B155"/>
  <c r="F155"/>
  <c r="J155"/>
  <c r="N155"/>
  <c r="B157"/>
  <c r="J157"/>
  <c r="B158"/>
  <c r="D158"/>
  <c r="J158"/>
  <c r="L158"/>
  <c r="E159"/>
  <c r="H159"/>
  <c r="M159"/>
  <c r="E160"/>
  <c r="F160"/>
  <c r="M160"/>
  <c r="N160"/>
  <c r="E161"/>
  <c r="M161"/>
  <c r="C165"/>
  <c r="F165"/>
  <c r="K165"/>
  <c r="N165"/>
  <c r="C166"/>
  <c r="F166"/>
  <c r="K166"/>
  <c r="N166"/>
  <c r="B173"/>
  <c r="D173"/>
  <c r="E173"/>
  <c r="F173"/>
  <c r="G173"/>
  <c r="J173"/>
  <c r="L173"/>
  <c r="M173"/>
  <c r="N173"/>
  <c r="O173"/>
  <c r="B175"/>
  <c r="J175"/>
  <c r="B177"/>
  <c r="F177"/>
  <c r="J177"/>
  <c r="N177"/>
  <c r="B179"/>
  <c r="J179"/>
  <c r="B180"/>
  <c r="D180"/>
  <c r="J180"/>
  <c r="L180"/>
  <c r="B181"/>
  <c r="D181"/>
  <c r="J181"/>
  <c r="L181"/>
  <c r="E182"/>
  <c r="H182"/>
  <c r="M182"/>
  <c r="E183"/>
  <c r="F183"/>
  <c r="M183"/>
  <c r="N183"/>
  <c r="E184"/>
  <c r="M184"/>
  <c r="C188"/>
  <c r="F188"/>
  <c r="K188"/>
  <c r="N188"/>
  <c r="C189"/>
  <c r="F189"/>
  <c r="K189"/>
  <c r="N189"/>
  <c r="B196"/>
  <c r="D196"/>
  <c r="E196"/>
  <c r="F196"/>
  <c r="G196"/>
  <c r="J196"/>
  <c r="L196"/>
  <c r="M196"/>
  <c r="N196"/>
  <c r="O196"/>
  <c r="B198"/>
  <c r="J198"/>
  <c r="B200"/>
  <c r="F200"/>
  <c r="J200"/>
  <c r="N200"/>
  <c r="B202"/>
  <c r="J202"/>
  <c r="B203"/>
  <c r="D203"/>
  <c r="J203"/>
  <c r="L203"/>
  <c r="B204"/>
  <c r="D204"/>
  <c r="J204"/>
  <c r="L204"/>
  <c r="E205"/>
  <c r="H205"/>
  <c r="M205"/>
  <c r="E206"/>
  <c r="F206"/>
  <c r="M206"/>
  <c r="N206"/>
  <c r="E207"/>
  <c r="M207"/>
  <c r="C211"/>
  <c r="F211"/>
  <c r="K211"/>
  <c r="N211"/>
  <c r="C212"/>
  <c r="F212"/>
  <c r="K212"/>
  <c r="N212"/>
  <c r="B219"/>
  <c r="D219"/>
  <c r="E219"/>
  <c r="F219"/>
  <c r="G219"/>
  <c r="J219"/>
  <c r="L219"/>
  <c r="M219"/>
  <c r="N219"/>
  <c r="O219"/>
  <c r="B221"/>
  <c r="J221"/>
  <c r="B223"/>
  <c r="F223"/>
  <c r="J223"/>
  <c r="N223"/>
  <c r="E226"/>
  <c r="H226"/>
  <c r="M226"/>
  <c r="E227"/>
  <c r="F227"/>
  <c r="M227"/>
  <c r="N227"/>
  <c r="E228"/>
  <c r="M228"/>
  <c r="C232"/>
  <c r="F232"/>
  <c r="K232"/>
  <c r="N232"/>
  <c r="C233"/>
  <c r="F233"/>
  <c r="K233"/>
  <c r="N233"/>
  <c r="B240"/>
  <c r="D240"/>
  <c r="E240"/>
  <c r="F240"/>
  <c r="G240"/>
  <c r="J240"/>
  <c r="L240"/>
  <c r="M240"/>
  <c r="N240"/>
  <c r="O240"/>
  <c r="B242"/>
  <c r="J242"/>
  <c r="B244"/>
  <c r="F244"/>
  <c r="J244"/>
  <c r="N244"/>
  <c r="E246"/>
  <c r="H246"/>
  <c r="M246"/>
  <c r="E247"/>
  <c r="F247"/>
  <c r="M247"/>
  <c r="N247"/>
  <c r="E248"/>
  <c r="M248"/>
  <c r="C252"/>
  <c r="F252"/>
  <c r="K252"/>
  <c r="N252"/>
  <c r="C253"/>
  <c r="F253"/>
  <c r="K253"/>
  <c r="N253"/>
  <c r="B260"/>
  <c r="D260"/>
  <c r="E260"/>
  <c r="F260"/>
  <c r="G260"/>
  <c r="J260"/>
  <c r="L260"/>
  <c r="M260"/>
  <c r="N260"/>
  <c r="O260"/>
  <c r="B262"/>
  <c r="J262"/>
  <c r="B264"/>
  <c r="F264"/>
  <c r="J264"/>
  <c r="N264"/>
  <c r="B267"/>
  <c r="J267"/>
  <c r="B268"/>
  <c r="D268"/>
  <c r="J268"/>
  <c r="L268"/>
  <c r="D269"/>
  <c r="J269"/>
  <c r="L269"/>
  <c r="E270"/>
  <c r="H270"/>
  <c r="M270"/>
  <c r="E271"/>
  <c r="F271"/>
  <c r="M271"/>
  <c r="N271"/>
  <c r="E272"/>
  <c r="M272"/>
  <c r="C276"/>
  <c r="F276"/>
  <c r="K276"/>
  <c r="N276"/>
  <c r="C277"/>
  <c r="F277"/>
  <c r="K277"/>
  <c r="N277"/>
  <c r="B284"/>
  <c r="D284"/>
  <c r="E284"/>
  <c r="F284"/>
  <c r="G284"/>
  <c r="J284"/>
  <c r="L284"/>
  <c r="M284"/>
  <c r="N284"/>
  <c r="O284"/>
  <c r="B286"/>
  <c r="J286"/>
  <c r="B288"/>
  <c r="F288"/>
  <c r="J288"/>
  <c r="N288"/>
  <c r="B291"/>
  <c r="J291"/>
  <c r="J292"/>
  <c r="L292"/>
  <c r="J293"/>
  <c r="L293"/>
  <c r="B294"/>
  <c r="D294"/>
  <c r="J294"/>
  <c r="L294"/>
  <c r="E295"/>
  <c r="H295"/>
  <c r="M295"/>
  <c r="E296"/>
  <c r="F296"/>
  <c r="M296"/>
  <c r="N296"/>
  <c r="E297"/>
  <c r="M297"/>
  <c r="C301"/>
  <c r="F301"/>
  <c r="K301"/>
  <c r="N301"/>
  <c r="C302"/>
  <c r="F302"/>
  <c r="K302"/>
  <c r="N302"/>
  <c r="B309"/>
  <c r="D309"/>
  <c r="E309"/>
  <c r="F309"/>
  <c r="G309"/>
  <c r="J309"/>
  <c r="L309"/>
  <c r="M309"/>
  <c r="N309"/>
  <c r="O309"/>
  <c r="B311"/>
  <c r="J311"/>
  <c r="B313"/>
  <c r="F313"/>
  <c r="J313"/>
  <c r="N313"/>
  <c r="B317"/>
  <c r="J317"/>
  <c r="J318"/>
  <c r="L318"/>
  <c r="J319"/>
  <c r="L319"/>
  <c r="E320"/>
  <c r="H320"/>
  <c r="M320"/>
  <c r="E321"/>
  <c r="F321"/>
  <c r="M321"/>
  <c r="N321"/>
  <c r="E322"/>
  <c r="M322"/>
  <c r="C326"/>
  <c r="F326"/>
  <c r="K326"/>
  <c r="N326"/>
  <c r="C327"/>
  <c r="F327"/>
  <c r="K327"/>
  <c r="N327"/>
  <c r="B334"/>
  <c r="D334"/>
  <c r="E334"/>
  <c r="F334"/>
  <c r="G334"/>
  <c r="J334"/>
  <c r="L334"/>
  <c r="M334"/>
  <c r="N334"/>
  <c r="O334"/>
  <c r="B336"/>
  <c r="J336"/>
  <c r="B338"/>
  <c r="F338"/>
  <c r="J338"/>
  <c r="N338"/>
  <c r="B341"/>
  <c r="J341"/>
  <c r="B342"/>
  <c r="D342"/>
  <c r="J342"/>
  <c r="L342"/>
  <c r="J343"/>
  <c r="L343"/>
  <c r="B344"/>
  <c r="D344"/>
  <c r="J344"/>
  <c r="L344"/>
  <c r="E345"/>
  <c r="H345"/>
  <c r="M345"/>
  <c r="E346"/>
  <c r="F346"/>
  <c r="M346"/>
  <c r="N346"/>
  <c r="E347"/>
  <c r="M347"/>
  <c r="C351"/>
  <c r="F351"/>
  <c r="K351"/>
  <c r="N351"/>
  <c r="C352"/>
  <c r="F352"/>
  <c r="K352"/>
  <c r="N352"/>
  <c r="B359"/>
  <c r="D359"/>
  <c r="E359"/>
  <c r="F359"/>
  <c r="G359"/>
  <c r="J359"/>
  <c r="L359"/>
  <c r="M359"/>
  <c r="N359"/>
  <c r="O359"/>
  <c r="B361"/>
  <c r="J361"/>
  <c r="B363"/>
  <c r="F363"/>
  <c r="J363"/>
  <c r="N363"/>
  <c r="B366"/>
  <c r="J366"/>
  <c r="J367"/>
  <c r="L367"/>
  <c r="J368"/>
  <c r="L368"/>
  <c r="E369"/>
  <c r="H369"/>
  <c r="M369"/>
  <c r="E370"/>
  <c r="F370"/>
  <c r="M370"/>
  <c r="N370"/>
  <c r="E371"/>
  <c r="M371"/>
  <c r="C375"/>
  <c r="F375"/>
  <c r="K375"/>
  <c r="N375"/>
  <c r="C376"/>
  <c r="F376"/>
  <c r="K376"/>
  <c r="N376"/>
  <c r="B383"/>
  <c r="D383"/>
  <c r="E383"/>
  <c r="F383"/>
  <c r="G383"/>
  <c r="J383"/>
  <c r="L383"/>
  <c r="M383"/>
  <c r="N383"/>
  <c r="O383"/>
  <c r="B385"/>
  <c r="J385"/>
  <c r="B387"/>
  <c r="F387"/>
  <c r="J387"/>
  <c r="N387"/>
  <c r="B390"/>
  <c r="J390"/>
  <c r="J391"/>
  <c r="L391"/>
  <c r="J392"/>
  <c r="L392"/>
  <c r="B393"/>
  <c r="D393"/>
  <c r="J393"/>
  <c r="L393"/>
  <c r="E394"/>
  <c r="H394"/>
  <c r="M394"/>
  <c r="E395"/>
  <c r="F395"/>
  <c r="M395"/>
  <c r="N395"/>
  <c r="E396"/>
  <c r="M396"/>
  <c r="C400"/>
  <c r="F400"/>
  <c r="K400"/>
  <c r="N400"/>
  <c r="C401"/>
  <c r="F401"/>
  <c r="K401"/>
  <c r="N401"/>
  <c r="B408"/>
  <c r="D408"/>
  <c r="E408"/>
  <c r="F408"/>
  <c r="G408"/>
  <c r="J408"/>
  <c r="L408"/>
  <c r="M408"/>
  <c r="N408"/>
  <c r="O408"/>
  <c r="B410"/>
  <c r="J410"/>
  <c r="B412"/>
  <c r="F412"/>
  <c r="J412"/>
  <c r="N412"/>
  <c r="B416"/>
  <c r="J416"/>
  <c r="J417"/>
  <c r="L417"/>
  <c r="J418"/>
  <c r="L418"/>
  <c r="E419"/>
  <c r="H419"/>
  <c r="M419"/>
  <c r="E420"/>
  <c r="F420"/>
  <c r="M420"/>
  <c r="N420"/>
  <c r="E421"/>
  <c r="M421"/>
  <c r="C425"/>
  <c r="F425"/>
  <c r="K425"/>
  <c r="N425"/>
  <c r="C426"/>
  <c r="F426"/>
  <c r="K426"/>
  <c r="N426"/>
  <c r="B433"/>
  <c r="D433"/>
  <c r="E433"/>
  <c r="F433"/>
  <c r="G433"/>
  <c r="J433"/>
  <c r="L433"/>
  <c r="M433"/>
  <c r="N433"/>
  <c r="O433"/>
  <c r="B435"/>
  <c r="J435"/>
  <c r="B437"/>
  <c r="F437"/>
  <c r="J437"/>
  <c r="N437"/>
  <c r="B440"/>
  <c r="J440"/>
  <c r="D441"/>
  <c r="J441"/>
  <c r="L441"/>
  <c r="J442"/>
  <c r="L442"/>
  <c r="B443"/>
  <c r="D443"/>
  <c r="J443"/>
  <c r="L443"/>
  <c r="E444"/>
  <c r="H444"/>
  <c r="M444"/>
  <c r="E445"/>
  <c r="F445"/>
  <c r="M445"/>
  <c r="N445"/>
  <c r="E446"/>
  <c r="M446"/>
  <c r="C450"/>
  <c r="F450"/>
  <c r="K450"/>
  <c r="N450"/>
  <c r="C451"/>
  <c r="F451"/>
  <c r="K451"/>
  <c r="N451"/>
  <c r="B458"/>
  <c r="D458"/>
  <c r="E458"/>
  <c r="F458"/>
  <c r="G458"/>
  <c r="J458"/>
  <c r="L458"/>
  <c r="M458"/>
  <c r="N458"/>
  <c r="O458"/>
  <c r="B460"/>
  <c r="J460"/>
  <c r="B462"/>
  <c r="F462"/>
  <c r="J462"/>
  <c r="N462"/>
  <c r="B464"/>
  <c r="J464"/>
  <c r="B465"/>
  <c r="D465"/>
  <c r="J465"/>
  <c r="L465"/>
  <c r="E466"/>
  <c r="H466"/>
  <c r="M466"/>
  <c r="E467"/>
  <c r="F467"/>
  <c r="M467"/>
  <c r="N467"/>
  <c r="E468"/>
  <c r="M468"/>
  <c r="C472"/>
  <c r="F472"/>
  <c r="K472"/>
  <c r="N472"/>
  <c r="C473"/>
  <c r="F473"/>
  <c r="K473"/>
  <c r="N473"/>
  <c r="B480"/>
  <c r="D480"/>
  <c r="E480"/>
  <c r="F480"/>
  <c r="G480"/>
  <c r="J480"/>
  <c r="L480"/>
  <c r="M480"/>
  <c r="N480"/>
  <c r="O480"/>
  <c r="B482"/>
  <c r="J482"/>
  <c r="B484"/>
  <c r="F484"/>
  <c r="J484"/>
  <c r="N484"/>
  <c r="B486"/>
  <c r="J486"/>
  <c r="B487"/>
  <c r="D487"/>
  <c r="J487"/>
  <c r="L487"/>
  <c r="E488"/>
  <c r="H488"/>
  <c r="M488"/>
  <c r="E489"/>
  <c r="F489"/>
  <c r="M489"/>
  <c r="N489"/>
  <c r="E490"/>
  <c r="M490"/>
  <c r="C494"/>
  <c r="F494"/>
  <c r="K494"/>
  <c r="N494"/>
  <c r="C495"/>
  <c r="F495"/>
  <c r="K495"/>
  <c r="N495"/>
  <c r="B502"/>
  <c r="D502"/>
  <c r="E502"/>
  <c r="F502"/>
  <c r="G502"/>
  <c r="J502"/>
  <c r="L502"/>
  <c r="M502"/>
  <c r="N502"/>
  <c r="O502"/>
  <c r="B504"/>
  <c r="J504"/>
  <c r="B506"/>
  <c r="F506"/>
  <c r="J506"/>
  <c r="N506"/>
  <c r="B508"/>
  <c r="J508"/>
  <c r="B509"/>
  <c r="D509"/>
  <c r="J509"/>
  <c r="L509"/>
  <c r="E510"/>
  <c r="H510"/>
  <c r="M510"/>
  <c r="E511"/>
  <c r="F511"/>
  <c r="M511"/>
  <c r="N511"/>
  <c r="E512"/>
  <c r="M512"/>
  <c r="C516"/>
  <c r="F516"/>
  <c r="K516"/>
  <c r="N516"/>
  <c r="C517"/>
  <c r="F517"/>
  <c r="K517"/>
  <c r="N517"/>
  <c r="B524"/>
  <c r="D524"/>
  <c r="E524"/>
  <c r="F524"/>
  <c r="G524"/>
  <c r="J524"/>
  <c r="L524"/>
  <c r="M524"/>
  <c r="N524"/>
  <c r="O524"/>
  <c r="B526"/>
  <c r="J526"/>
  <c r="N529"/>
  <c r="E528"/>
  <c r="M528"/>
  <c r="E529"/>
  <c r="F529"/>
  <c r="M529"/>
  <c r="E530"/>
  <c r="M530"/>
  <c r="C534"/>
  <c r="F534"/>
  <c r="K534"/>
  <c r="N534"/>
  <c r="C535"/>
  <c r="F535"/>
  <c r="K535"/>
  <c r="N535"/>
  <c r="B542"/>
  <c r="D542"/>
  <c r="E542"/>
  <c r="F542"/>
  <c r="G542"/>
  <c r="J542"/>
  <c r="L542"/>
  <c r="M542"/>
  <c r="N542"/>
  <c r="O542"/>
  <c r="B544"/>
  <c r="J544"/>
  <c r="N547"/>
  <c r="E546"/>
  <c r="H546"/>
  <c r="M546"/>
  <c r="E547"/>
  <c r="F547"/>
  <c r="M547"/>
  <c r="E548"/>
  <c r="M548"/>
  <c r="C552"/>
  <c r="F552"/>
  <c r="K552"/>
  <c r="N552"/>
  <c r="C553"/>
  <c r="F553"/>
  <c r="K553"/>
  <c r="N553"/>
  <c r="B560"/>
  <c r="D560"/>
  <c r="E560"/>
  <c r="F560"/>
  <c r="G560"/>
  <c r="J560"/>
  <c r="L560"/>
  <c r="M560"/>
  <c r="N560"/>
  <c r="O560"/>
  <c r="B562"/>
  <c r="J562"/>
  <c r="N565"/>
  <c r="E564"/>
  <c r="H564"/>
  <c r="M564"/>
  <c r="E565"/>
  <c r="F565"/>
  <c r="M565"/>
  <c r="E566"/>
  <c r="M566"/>
  <c r="C570"/>
  <c r="F570"/>
  <c r="K570"/>
  <c r="N570"/>
  <c r="C571"/>
  <c r="F571"/>
  <c r="K571"/>
  <c r="N571"/>
  <c r="B578"/>
  <c r="D578"/>
  <c r="E578"/>
  <c r="F578"/>
  <c r="G578"/>
  <c r="J578"/>
  <c r="L578"/>
  <c r="M578"/>
  <c r="N578"/>
  <c r="O578"/>
  <c r="B580"/>
  <c r="J580"/>
  <c r="B582"/>
  <c r="F582"/>
  <c r="J582"/>
  <c r="N582"/>
  <c r="E584"/>
  <c r="H584"/>
  <c r="M584"/>
  <c r="E585"/>
  <c r="F585"/>
  <c r="M585"/>
  <c r="N585"/>
  <c r="E586"/>
  <c r="M586"/>
  <c r="C590"/>
  <c r="F590"/>
  <c r="K590"/>
  <c r="N590"/>
  <c r="C591"/>
  <c r="F591"/>
  <c r="K591"/>
  <c r="N591"/>
  <c r="B598"/>
  <c r="D598"/>
  <c r="E598"/>
  <c r="F598"/>
  <c r="G598"/>
  <c r="J598"/>
  <c r="L598"/>
  <c r="M598"/>
  <c r="N598"/>
  <c r="O598"/>
  <c r="B600"/>
  <c r="J600"/>
  <c r="B602"/>
  <c r="F602"/>
  <c r="J602"/>
  <c r="N602"/>
  <c r="E606"/>
  <c r="H606"/>
  <c r="M606"/>
  <c r="E607"/>
  <c r="F607"/>
  <c r="M607"/>
  <c r="N607"/>
  <c r="E608"/>
  <c r="M608"/>
  <c r="C612"/>
  <c r="F612"/>
  <c r="K612"/>
  <c r="N612"/>
  <c r="C613"/>
  <c r="F613"/>
  <c r="K613"/>
  <c r="N613"/>
  <c r="B620"/>
  <c r="D620"/>
  <c r="E620"/>
  <c r="F620"/>
  <c r="G620"/>
  <c r="J620"/>
  <c r="L620"/>
  <c r="M620"/>
  <c r="N620"/>
  <c r="O620"/>
  <c r="B622"/>
  <c r="J622"/>
  <c r="B624"/>
  <c r="F624"/>
  <c r="J624"/>
  <c r="N624"/>
  <c r="E628"/>
  <c r="H628"/>
  <c r="M628"/>
  <c r="E629"/>
  <c r="F629"/>
  <c r="M629"/>
  <c r="N629"/>
  <c r="E630"/>
  <c r="M630"/>
  <c r="C634"/>
  <c r="F634"/>
  <c r="K634"/>
  <c r="N634"/>
  <c r="C635"/>
  <c r="F635"/>
  <c r="K635"/>
  <c r="N635"/>
  <c r="B642"/>
  <c r="D642"/>
  <c r="E642"/>
  <c r="F642"/>
  <c r="G642"/>
  <c r="J642"/>
  <c r="L642"/>
  <c r="M642"/>
  <c r="N642"/>
  <c r="O642"/>
  <c r="B644"/>
  <c r="J644"/>
  <c r="B646"/>
  <c r="F646"/>
  <c r="J646"/>
  <c r="N646"/>
  <c r="E650"/>
  <c r="H650"/>
  <c r="M650"/>
  <c r="E651"/>
  <c r="F651"/>
  <c r="M651"/>
  <c r="N651"/>
  <c r="E652"/>
  <c r="M652"/>
  <c r="C656"/>
  <c r="F656"/>
  <c r="K656"/>
  <c r="N656"/>
  <c r="C657"/>
  <c r="F657"/>
  <c r="K657"/>
  <c r="N657"/>
  <c r="B664"/>
  <c r="D664"/>
  <c r="E664"/>
  <c r="F664"/>
  <c r="G664"/>
  <c r="J664"/>
  <c r="L664"/>
  <c r="M664"/>
  <c r="N664"/>
  <c r="O664"/>
  <c r="B666"/>
  <c r="J666"/>
  <c r="B668"/>
  <c r="F668"/>
  <c r="J668"/>
  <c r="N668"/>
  <c r="E672"/>
  <c r="H672"/>
  <c r="M672"/>
  <c r="E673"/>
  <c r="F673"/>
  <c r="M673"/>
  <c r="N673"/>
  <c r="E674"/>
  <c r="M674"/>
  <c r="C678"/>
  <c r="F678"/>
  <c r="K678"/>
  <c r="N678"/>
  <c r="C679"/>
  <c r="F679"/>
  <c r="K679"/>
  <c r="N679"/>
  <c r="B686"/>
  <c r="D686"/>
  <c r="E686"/>
  <c r="F686"/>
  <c r="G686"/>
  <c r="J686"/>
  <c r="L686"/>
  <c r="M686"/>
  <c r="N686"/>
  <c r="O686"/>
  <c r="B688"/>
  <c r="J688"/>
  <c r="B690"/>
  <c r="F690"/>
  <c r="J690"/>
  <c r="N690"/>
  <c r="G69" i="46"/>
  <c r="G98"/>
  <c r="G99"/>
  <c r="B959" i="21"/>
  <c r="D959"/>
  <c r="E959"/>
  <c r="F959"/>
  <c r="G959"/>
  <c r="J959"/>
  <c r="L959"/>
  <c r="M959"/>
  <c r="N959"/>
  <c r="O959"/>
  <c r="B961"/>
  <c r="J961"/>
  <c r="B963"/>
  <c r="F963"/>
  <c r="J963"/>
  <c r="N963"/>
  <c r="B970"/>
  <c r="J970"/>
  <c r="B971"/>
  <c r="D971"/>
  <c r="J971"/>
  <c r="L971"/>
  <c r="B972"/>
  <c r="D972"/>
  <c r="J972"/>
  <c r="L972"/>
  <c r="B973"/>
  <c r="D973"/>
  <c r="J973"/>
  <c r="L973"/>
  <c r="E974"/>
  <c r="H974"/>
  <c r="M974"/>
  <c r="E975"/>
  <c r="F975"/>
  <c r="M975"/>
  <c r="N975"/>
  <c r="E976"/>
  <c r="M976"/>
  <c r="C980"/>
  <c r="F980"/>
  <c r="K980"/>
  <c r="N980"/>
  <c r="C981"/>
  <c r="F981"/>
  <c r="K981"/>
  <c r="N981"/>
  <c r="B990"/>
  <c r="D990"/>
  <c r="J990"/>
  <c r="L990"/>
  <c r="M990"/>
  <c r="N990"/>
  <c r="O990"/>
  <c r="B992"/>
  <c r="J992"/>
  <c r="B994"/>
  <c r="J994"/>
  <c r="N994"/>
  <c r="B1001"/>
  <c r="J1001"/>
  <c r="B1002"/>
  <c r="D1002"/>
  <c r="J1002"/>
  <c r="L1002"/>
  <c r="B1003"/>
  <c r="D1003"/>
  <c r="J1003"/>
  <c r="L1003"/>
  <c r="B1004"/>
  <c r="D1004"/>
  <c r="J1004"/>
  <c r="L1004"/>
  <c r="E1005"/>
  <c r="H1005"/>
  <c r="M1005"/>
  <c r="E1006"/>
  <c r="F1006"/>
  <c r="M1006"/>
  <c r="N1006"/>
  <c r="E1007"/>
  <c r="M1007"/>
  <c r="C1011"/>
  <c r="F1011"/>
  <c r="K1011"/>
  <c r="N1011"/>
  <c r="C1012"/>
  <c r="F1012"/>
  <c r="K1012"/>
  <c r="N1012"/>
  <c r="B1021"/>
  <c r="D1021"/>
  <c r="J1021"/>
  <c r="L1021"/>
  <c r="M1021"/>
  <c r="N1021"/>
  <c r="O1021"/>
  <c r="B1023"/>
  <c r="J1023"/>
  <c r="B1025"/>
  <c r="J1025"/>
  <c r="N1025"/>
  <c r="B1032"/>
  <c r="J1032"/>
  <c r="B1033"/>
  <c r="D1033"/>
  <c r="J1033"/>
  <c r="L1033"/>
  <c r="B1034"/>
  <c r="D1034"/>
  <c r="J1034"/>
  <c r="L1034"/>
  <c r="B1035"/>
  <c r="D1035"/>
  <c r="J1035"/>
  <c r="L1035"/>
  <c r="E1036"/>
  <c r="H1036"/>
  <c r="M1036"/>
  <c r="E1037"/>
  <c r="F1037"/>
  <c r="M1037"/>
  <c r="N1037"/>
  <c r="E1038"/>
  <c r="M1038"/>
  <c r="C1042"/>
  <c r="F1042"/>
  <c r="K1042"/>
  <c r="N1042"/>
  <c r="C1043"/>
  <c r="F1043"/>
  <c r="K1043"/>
  <c r="N1043"/>
  <c r="B1052"/>
  <c r="D1052"/>
  <c r="J1052"/>
  <c r="L1052"/>
  <c r="M1052"/>
  <c r="N1052"/>
  <c r="O1052"/>
  <c r="B1054"/>
  <c r="J1054"/>
  <c r="B1056"/>
  <c r="J1056"/>
  <c r="N1056"/>
  <c r="B1063"/>
  <c r="J1063"/>
  <c r="B1064"/>
  <c r="D1064"/>
  <c r="J1064"/>
  <c r="L1064"/>
  <c r="B1065"/>
  <c r="D1065"/>
  <c r="J1065"/>
  <c r="L1065"/>
  <c r="B1066"/>
  <c r="D1066"/>
  <c r="J1066"/>
  <c r="L1066"/>
  <c r="E1067"/>
  <c r="H1067"/>
  <c r="M1067"/>
  <c r="E1068"/>
  <c r="F1068"/>
  <c r="M1068"/>
  <c r="N1068"/>
  <c r="E1069"/>
  <c r="M1069"/>
  <c r="C1073"/>
  <c r="F1073"/>
  <c r="K1073"/>
  <c r="N1073"/>
  <c r="C1074"/>
  <c r="F1074"/>
  <c r="K1074"/>
  <c r="N1074"/>
  <c r="B1083"/>
  <c r="D1083"/>
  <c r="J1083"/>
  <c r="L1083"/>
  <c r="M1083"/>
  <c r="N1083"/>
  <c r="O1083"/>
  <c r="B1085"/>
  <c r="J1085"/>
  <c r="B1087"/>
  <c r="J1087"/>
  <c r="N1087"/>
  <c r="B1092"/>
  <c r="J1092"/>
  <c r="B1093"/>
  <c r="D1093"/>
  <c r="J1093"/>
  <c r="L1093"/>
  <c r="B1094"/>
  <c r="D1094"/>
  <c r="J1094"/>
  <c r="L1094"/>
  <c r="B1095"/>
  <c r="D1095"/>
  <c r="J1095"/>
  <c r="L1095"/>
  <c r="E1096"/>
  <c r="H1096"/>
  <c r="M1096"/>
  <c r="E1097"/>
  <c r="F1097"/>
  <c r="M1097"/>
  <c r="N1097"/>
  <c r="E1098"/>
  <c r="M1098"/>
  <c r="C1102"/>
  <c r="F1102"/>
  <c r="K1102"/>
  <c r="N1102"/>
  <c r="C1103"/>
  <c r="F1103"/>
  <c r="K1103"/>
  <c r="N1103"/>
  <c r="B1112"/>
  <c r="D1112"/>
  <c r="J1112"/>
  <c r="L1112"/>
  <c r="M1112"/>
  <c r="N1112"/>
  <c r="O1112"/>
  <c r="B1114"/>
  <c r="J1114"/>
  <c r="B1116"/>
  <c r="J1116"/>
  <c r="N1116"/>
  <c r="B1121"/>
  <c r="J1121"/>
  <c r="B1122"/>
  <c r="D1122"/>
  <c r="J1122"/>
  <c r="L1122"/>
  <c r="B1123"/>
  <c r="D1123"/>
  <c r="J1123"/>
  <c r="L1123"/>
  <c r="B1124"/>
  <c r="D1124"/>
  <c r="J1124"/>
  <c r="L1124"/>
  <c r="E1125"/>
  <c r="H1125"/>
  <c r="M1125"/>
  <c r="E1126"/>
  <c r="F1126"/>
  <c r="M1126"/>
  <c r="N1126"/>
  <c r="E1127"/>
  <c r="M1127"/>
  <c r="C1131"/>
  <c r="F1131"/>
  <c r="K1131"/>
  <c r="N1131"/>
  <c r="C1132"/>
  <c r="F1132"/>
  <c r="K1132"/>
  <c r="N1132"/>
  <c r="B1141"/>
  <c r="D1141"/>
  <c r="J1141"/>
  <c r="L1141"/>
  <c r="M1141"/>
  <c r="N1141"/>
  <c r="O1141"/>
  <c r="B1143"/>
  <c r="J1143"/>
  <c r="B1145"/>
  <c r="J1145"/>
  <c r="N1145"/>
  <c r="B1150"/>
  <c r="J1150"/>
  <c r="B1151"/>
  <c r="D1151"/>
  <c r="J1151"/>
  <c r="L1151"/>
  <c r="B1152"/>
  <c r="D1152"/>
  <c r="J1152"/>
  <c r="L1152"/>
  <c r="B1153"/>
  <c r="D1153"/>
  <c r="J1153"/>
  <c r="L1153"/>
  <c r="E1154"/>
  <c r="H1154"/>
  <c r="M1154"/>
  <c r="E1155"/>
  <c r="F1155"/>
  <c r="M1155"/>
  <c r="N1155"/>
  <c r="E1156"/>
  <c r="M1156"/>
  <c r="C1160"/>
  <c r="F1160"/>
  <c r="K1160"/>
  <c r="N1160"/>
  <c r="C1161"/>
  <c r="F1161"/>
  <c r="K1161"/>
  <c r="N1161"/>
  <c r="B1170"/>
  <c r="D1170"/>
  <c r="J1170"/>
  <c r="L1170"/>
  <c r="M1170"/>
  <c r="N1170"/>
  <c r="O1170"/>
  <c r="B1172"/>
  <c r="J1172"/>
  <c r="B1174"/>
  <c r="J1174"/>
  <c r="N1174"/>
  <c r="B1179"/>
  <c r="J1179"/>
  <c r="B1180"/>
  <c r="D1180"/>
  <c r="J1180"/>
  <c r="L1180"/>
  <c r="B1181"/>
  <c r="D1181"/>
  <c r="J1181"/>
  <c r="L1181"/>
  <c r="B1182"/>
  <c r="D1182"/>
  <c r="J1182"/>
  <c r="L1182"/>
  <c r="E1183"/>
  <c r="H1183"/>
  <c r="M1183"/>
  <c r="E1184"/>
  <c r="F1184"/>
  <c r="M1184"/>
  <c r="N1184"/>
  <c r="E1185"/>
  <c r="M1185"/>
  <c r="C1189"/>
  <c r="F1189"/>
  <c r="K1189"/>
  <c r="N1189"/>
  <c r="C1190"/>
  <c r="F1190"/>
  <c r="K1190"/>
  <c r="N1190"/>
  <c r="B1199"/>
  <c r="D1199"/>
  <c r="J1199"/>
  <c r="L1199"/>
  <c r="M1199"/>
  <c r="N1199"/>
  <c r="O1199"/>
  <c r="B1201"/>
  <c r="J1201"/>
  <c r="B1203"/>
  <c r="J1203"/>
  <c r="N1203"/>
  <c r="B1210"/>
  <c r="J1210"/>
  <c r="B1211"/>
  <c r="D1211"/>
  <c r="J1211"/>
  <c r="L1211"/>
  <c r="B1212"/>
  <c r="D1212"/>
  <c r="J1212"/>
  <c r="L1212"/>
  <c r="B1213"/>
  <c r="D1213"/>
  <c r="J1213"/>
  <c r="L1213"/>
  <c r="E1214"/>
  <c r="H1214"/>
  <c r="M1214"/>
  <c r="E1215"/>
  <c r="F1215"/>
  <c r="M1215"/>
  <c r="N1215"/>
  <c r="E1216"/>
  <c r="M1216"/>
  <c r="C1220"/>
  <c r="F1220"/>
  <c r="K1220"/>
  <c r="N1220"/>
  <c r="C1221"/>
  <c r="F1221"/>
  <c r="K1221"/>
  <c r="N1221"/>
  <c r="B1230"/>
  <c r="D1230"/>
  <c r="J1230"/>
  <c r="L1230"/>
  <c r="M1230"/>
  <c r="N1230"/>
  <c r="O1230"/>
  <c r="B1232"/>
  <c r="J1232"/>
  <c r="B1234"/>
  <c r="J1234"/>
  <c r="N1234"/>
  <c r="B1241"/>
  <c r="J1241"/>
  <c r="B1242"/>
  <c r="D1242"/>
  <c r="J1242"/>
  <c r="L1242"/>
  <c r="B1243"/>
  <c r="D1243"/>
  <c r="J1243"/>
  <c r="L1243"/>
  <c r="B1244"/>
  <c r="D1244"/>
  <c r="J1244"/>
  <c r="L1244"/>
  <c r="E1245"/>
  <c r="H1245"/>
  <c r="M1245"/>
  <c r="E1246"/>
  <c r="F1246"/>
  <c r="M1246"/>
  <c r="N1246"/>
  <c r="E1247"/>
  <c r="M1247"/>
  <c r="C1251"/>
  <c r="F1251"/>
  <c r="K1251"/>
  <c r="N1251"/>
  <c r="C1252"/>
  <c r="F1252"/>
  <c r="K1252"/>
  <c r="N1252"/>
  <c r="B1261"/>
  <c r="D1261"/>
  <c r="J1261"/>
  <c r="L1261"/>
  <c r="M1261"/>
  <c r="N1261"/>
  <c r="O1261"/>
  <c r="B1263"/>
  <c r="J1263"/>
  <c r="B1265"/>
  <c r="J1265"/>
  <c r="N1265"/>
  <c r="B1272"/>
  <c r="J1272"/>
  <c r="B1273"/>
  <c r="D1273"/>
  <c r="J1273"/>
  <c r="L1273"/>
  <c r="B1274"/>
  <c r="D1274"/>
  <c r="J1274"/>
  <c r="L1274"/>
  <c r="B1275"/>
  <c r="D1275"/>
  <c r="J1275"/>
  <c r="L1275"/>
  <c r="E1276"/>
  <c r="H1276"/>
  <c r="M1276"/>
  <c r="E1277"/>
  <c r="F1277"/>
  <c r="M1277"/>
  <c r="N1277"/>
  <c r="E1278"/>
  <c r="M1278"/>
  <c r="C1282"/>
  <c r="F1282"/>
  <c r="K1282"/>
  <c r="N1282"/>
  <c r="C1283"/>
  <c r="F1283"/>
  <c r="K1283"/>
  <c r="N1283"/>
  <c r="B1291"/>
  <c r="D1291"/>
  <c r="E1291"/>
  <c r="F1291"/>
  <c r="G1291"/>
  <c r="J1291"/>
  <c r="L1291"/>
  <c r="M1291"/>
  <c r="N1291"/>
  <c r="O1291"/>
  <c r="B1293"/>
  <c r="J1293"/>
  <c r="B1295"/>
  <c r="F1295"/>
  <c r="J1295"/>
  <c r="N1295"/>
  <c r="B1298"/>
  <c r="J1298"/>
  <c r="B1299"/>
  <c r="D1299"/>
  <c r="J1299"/>
  <c r="L1299"/>
  <c r="B1300"/>
  <c r="D1300"/>
  <c r="J1300"/>
  <c r="L1300"/>
  <c r="B1301"/>
  <c r="D1301"/>
  <c r="J1301"/>
  <c r="L1301"/>
  <c r="E1302"/>
  <c r="H1302"/>
  <c r="M1302"/>
  <c r="E1303"/>
  <c r="F1303"/>
  <c r="M1303"/>
  <c r="N1303"/>
  <c r="E1304"/>
  <c r="M1304"/>
  <c r="C1308"/>
  <c r="F1308"/>
  <c r="K1308"/>
  <c r="N1308"/>
  <c r="C1309"/>
  <c r="F1309"/>
  <c r="K1309"/>
  <c r="N1309"/>
  <c r="B1317"/>
  <c r="D1317"/>
  <c r="J1317"/>
  <c r="L1317"/>
  <c r="M1317"/>
  <c r="N1317"/>
  <c r="O1317"/>
  <c r="B1319"/>
  <c r="J1319"/>
  <c r="B1321"/>
  <c r="J1321"/>
  <c r="N1321"/>
  <c r="B1324"/>
  <c r="J1324"/>
  <c r="B1325"/>
  <c r="D1325"/>
  <c r="J1325"/>
  <c r="L1325"/>
  <c r="D1326"/>
  <c r="J1326"/>
  <c r="L1326"/>
  <c r="B1327"/>
  <c r="D1327"/>
  <c r="J1327"/>
  <c r="L1327"/>
  <c r="E1328"/>
  <c r="H1328"/>
  <c r="M1328"/>
  <c r="E1329"/>
  <c r="F1329"/>
  <c r="M1329"/>
  <c r="N1329"/>
  <c r="E1330"/>
  <c r="M1330"/>
  <c r="C1334"/>
  <c r="F1334"/>
  <c r="K1334"/>
  <c r="N1334"/>
  <c r="C1335"/>
  <c r="F1335"/>
  <c r="K1335"/>
  <c r="N1335"/>
  <c r="B1343"/>
  <c r="D1343"/>
  <c r="J1343"/>
  <c r="L1343"/>
  <c r="M1343"/>
  <c r="N1343"/>
  <c r="O1343"/>
  <c r="B1345"/>
  <c r="J1345"/>
  <c r="B1347"/>
  <c r="J1347"/>
  <c r="N1347"/>
  <c r="B1350"/>
  <c r="J1350"/>
  <c r="B1351"/>
  <c r="D1351"/>
  <c r="J1351"/>
  <c r="L1351"/>
  <c r="B1352"/>
  <c r="D1352"/>
  <c r="J1352"/>
  <c r="L1352"/>
  <c r="B1353"/>
  <c r="D1353"/>
  <c r="J1353"/>
  <c r="L1353"/>
  <c r="E1354"/>
  <c r="H1354"/>
  <c r="M1354"/>
  <c r="E1355"/>
  <c r="F1355"/>
  <c r="M1355"/>
  <c r="N1355"/>
  <c r="E1356"/>
  <c r="M1356"/>
  <c r="C1360"/>
  <c r="F1360"/>
  <c r="K1360"/>
  <c r="N1360"/>
  <c r="C1361"/>
  <c r="F1361"/>
  <c r="K1361"/>
  <c r="N1361"/>
  <c r="B1369"/>
  <c r="D1369"/>
  <c r="J1369"/>
  <c r="L1369"/>
  <c r="M1369"/>
  <c r="N1369"/>
  <c r="O1369"/>
  <c r="B1371"/>
  <c r="J1371"/>
  <c r="B1373"/>
  <c r="J1373"/>
  <c r="N1373"/>
  <c r="B1376"/>
  <c r="J1376"/>
  <c r="B1377"/>
  <c r="D1377"/>
  <c r="J1377"/>
  <c r="L1377"/>
  <c r="D1378"/>
  <c r="J1378"/>
  <c r="L1378"/>
  <c r="B1379"/>
  <c r="D1379"/>
  <c r="J1379"/>
  <c r="L1379"/>
  <c r="E1380"/>
  <c r="H1380"/>
  <c r="M1380"/>
  <c r="E1381"/>
  <c r="F1381"/>
  <c r="M1381"/>
  <c r="N1381"/>
  <c r="E1382"/>
  <c r="M1382"/>
  <c r="C1386"/>
  <c r="F1386"/>
  <c r="K1386"/>
  <c r="N1386"/>
  <c r="C1387"/>
  <c r="F1387"/>
  <c r="K1387"/>
  <c r="N1387"/>
  <c r="B1395"/>
  <c r="D1395"/>
  <c r="J1395"/>
  <c r="L1395"/>
  <c r="M1395"/>
  <c r="N1395"/>
  <c r="O1395"/>
  <c r="B1397"/>
  <c r="J1397"/>
  <c r="B1399"/>
  <c r="J1399"/>
  <c r="N1399"/>
  <c r="B1402"/>
  <c r="J1402"/>
  <c r="B1403"/>
  <c r="D1403"/>
  <c r="J1403"/>
  <c r="L1403"/>
  <c r="B1404"/>
  <c r="D1404"/>
  <c r="J1404"/>
  <c r="L1404"/>
  <c r="B1405"/>
  <c r="D1405"/>
  <c r="J1405"/>
  <c r="L1405"/>
  <c r="E1406"/>
  <c r="H1406"/>
  <c r="M1406"/>
  <c r="E1407"/>
  <c r="F1407"/>
  <c r="M1407"/>
  <c r="N1407"/>
  <c r="E1408"/>
  <c r="M1408"/>
  <c r="C1412"/>
  <c r="F1412"/>
  <c r="K1412"/>
  <c r="N1412"/>
  <c r="C1413"/>
  <c r="F1413"/>
  <c r="K1413"/>
  <c r="N1413"/>
  <c r="B1421"/>
  <c r="D1421"/>
  <c r="J1421"/>
  <c r="L1421"/>
  <c r="M1421"/>
  <c r="N1421"/>
  <c r="O1421"/>
  <c r="B1423"/>
  <c r="J1423"/>
  <c r="B1425"/>
  <c r="J1425"/>
  <c r="N1425"/>
  <c r="B1428"/>
  <c r="J1428"/>
  <c r="B1429"/>
  <c r="D1429"/>
  <c r="J1429"/>
  <c r="L1429"/>
  <c r="D1430"/>
  <c r="J1430"/>
  <c r="L1430"/>
  <c r="B1431"/>
  <c r="D1431"/>
  <c r="J1431"/>
  <c r="L1431"/>
  <c r="E1432"/>
  <c r="H1432"/>
  <c r="M1432"/>
  <c r="E1433"/>
  <c r="F1433"/>
  <c r="M1433"/>
  <c r="N1433"/>
  <c r="E1434"/>
  <c r="M1434"/>
  <c r="C1438"/>
  <c r="F1438"/>
  <c r="K1438"/>
  <c r="N1438"/>
  <c r="C1439"/>
  <c r="F1439"/>
  <c r="K1439"/>
  <c r="N1439"/>
  <c r="B1447"/>
  <c r="D1447"/>
  <c r="J1447"/>
  <c r="L1447"/>
  <c r="M1447"/>
  <c r="N1447"/>
  <c r="O1447"/>
  <c r="B1449"/>
  <c r="J1449"/>
  <c r="B1451"/>
  <c r="J1451"/>
  <c r="N1451"/>
  <c r="B1454"/>
  <c r="J1454"/>
  <c r="B1455"/>
  <c r="D1455"/>
  <c r="J1455"/>
  <c r="L1455"/>
  <c r="B1456"/>
  <c r="D1456"/>
  <c r="J1456"/>
  <c r="L1456"/>
  <c r="B1457"/>
  <c r="D1457"/>
  <c r="J1457"/>
  <c r="L1457"/>
  <c r="E1458"/>
  <c r="H1458"/>
  <c r="M1458"/>
  <c r="E1459"/>
  <c r="F1459"/>
  <c r="M1459"/>
  <c r="N1459"/>
  <c r="E1460"/>
  <c r="M1460"/>
  <c r="C1464"/>
  <c r="F1464"/>
  <c r="K1464"/>
  <c r="N1464"/>
  <c r="C1465"/>
  <c r="F1465"/>
  <c r="K1465"/>
  <c r="N1465"/>
  <c r="B1473"/>
  <c r="D1473"/>
  <c r="J1473"/>
  <c r="L1473"/>
  <c r="M1473"/>
  <c r="N1473"/>
  <c r="O1473"/>
  <c r="B1475"/>
  <c r="J1475"/>
  <c r="B1477"/>
  <c r="J1477"/>
  <c r="N1477"/>
  <c r="B1480"/>
  <c r="J1480"/>
  <c r="B1481"/>
  <c r="D1481"/>
  <c r="J1481"/>
  <c r="L1481"/>
  <c r="B1482"/>
  <c r="D1482"/>
  <c r="J1482"/>
  <c r="L1482"/>
  <c r="B1483"/>
  <c r="D1483"/>
  <c r="J1483"/>
  <c r="L1483"/>
  <c r="E1484"/>
  <c r="H1484"/>
  <c r="M1484"/>
  <c r="E1485"/>
  <c r="F1485"/>
  <c r="M1485"/>
  <c r="N1485"/>
  <c r="E1486"/>
  <c r="M1486"/>
  <c r="C1490"/>
  <c r="F1490"/>
  <c r="K1490"/>
  <c r="N1490"/>
  <c r="C1491"/>
  <c r="F1491"/>
  <c r="K1491"/>
  <c r="N1491"/>
  <c r="B1499"/>
  <c r="D1499"/>
  <c r="J1499"/>
  <c r="L1499"/>
  <c r="M1499"/>
  <c r="N1499"/>
  <c r="O1499"/>
  <c r="B1501"/>
  <c r="J1501"/>
  <c r="B1503"/>
  <c r="J1503"/>
  <c r="N1503"/>
  <c r="B1506"/>
  <c r="J1506"/>
  <c r="B1507"/>
  <c r="D1507"/>
  <c r="J1507"/>
  <c r="L1507"/>
  <c r="B1508"/>
  <c r="D1508"/>
  <c r="J1508"/>
  <c r="L1508"/>
  <c r="B1509"/>
  <c r="D1509"/>
  <c r="J1509"/>
  <c r="L1509"/>
  <c r="E1510"/>
  <c r="H1510"/>
  <c r="M1510"/>
  <c r="E1511"/>
  <c r="F1511"/>
  <c r="M1511"/>
  <c r="N1511"/>
  <c r="E1512"/>
  <c r="M1512"/>
  <c r="C1516"/>
  <c r="F1516"/>
  <c r="K1516"/>
  <c r="N1516"/>
  <c r="C1517"/>
  <c r="F1517"/>
  <c r="K1517"/>
  <c r="N1517"/>
  <c r="B1525"/>
  <c r="D1525"/>
  <c r="J1525"/>
  <c r="L1525"/>
  <c r="M1525"/>
  <c r="N1525"/>
  <c r="O1525"/>
  <c r="B1527"/>
  <c r="J1527"/>
  <c r="B1529"/>
  <c r="J1529"/>
  <c r="N1529"/>
  <c r="B1532"/>
  <c r="J1532"/>
  <c r="B1533"/>
  <c r="D1533"/>
  <c r="J1533"/>
  <c r="L1533"/>
  <c r="B1534"/>
  <c r="D1534"/>
  <c r="J1534"/>
  <c r="L1534"/>
  <c r="B1535"/>
  <c r="D1535"/>
  <c r="J1535"/>
  <c r="L1535"/>
  <c r="E1536"/>
  <c r="H1536"/>
  <c r="M1536"/>
  <c r="E1537"/>
  <c r="F1537"/>
  <c r="M1537"/>
  <c r="N1537"/>
  <c r="E1538"/>
  <c r="M1538"/>
  <c r="C1542"/>
  <c r="F1542"/>
  <c r="K1542"/>
  <c r="N1542"/>
  <c r="C1543"/>
  <c r="F1543"/>
  <c r="K1543"/>
  <c r="N1543"/>
  <c r="B1551"/>
  <c r="D1551"/>
  <c r="J1551"/>
  <c r="L1551"/>
  <c r="M1551"/>
  <c r="N1551"/>
  <c r="O1551"/>
  <c r="B1553"/>
  <c r="J1553"/>
  <c r="B1555"/>
  <c r="J1555"/>
  <c r="N1555"/>
  <c r="B1558"/>
  <c r="J1558"/>
  <c r="B1559"/>
  <c r="D1559"/>
  <c r="J1559"/>
  <c r="L1559"/>
  <c r="B1560"/>
  <c r="D1560"/>
  <c r="J1560"/>
  <c r="L1560"/>
  <c r="B1561"/>
  <c r="D1561"/>
  <c r="J1561"/>
  <c r="L1561"/>
  <c r="E1562"/>
  <c r="H1562"/>
  <c r="M1562"/>
  <c r="E1563"/>
  <c r="F1563"/>
  <c r="M1563"/>
  <c r="N1563"/>
  <c r="E1564"/>
  <c r="M1564"/>
  <c r="C1568"/>
  <c r="F1568"/>
  <c r="K1568"/>
  <c r="N1568"/>
  <c r="C1569"/>
  <c r="F1569"/>
  <c r="K1569"/>
  <c r="N1569"/>
  <c r="B1577"/>
  <c r="D1577"/>
  <c r="J1577"/>
  <c r="L1577"/>
  <c r="M1577"/>
  <c r="N1577"/>
  <c r="O1577"/>
  <c r="B1579"/>
  <c r="J1579"/>
  <c r="B1581"/>
  <c r="J1581"/>
  <c r="N1581"/>
  <c r="B1584"/>
  <c r="J1584"/>
  <c r="B1585"/>
  <c r="D1585"/>
  <c r="J1585"/>
  <c r="L1585"/>
  <c r="B1586"/>
  <c r="D1586"/>
  <c r="J1586"/>
  <c r="L1586"/>
  <c r="B1587"/>
  <c r="D1587"/>
  <c r="J1587"/>
  <c r="L1587"/>
  <c r="E1588"/>
  <c r="H1588"/>
  <c r="M1588"/>
  <c r="E1589"/>
  <c r="F1589"/>
  <c r="M1589"/>
  <c r="N1589"/>
  <c r="E1590"/>
  <c r="M1590"/>
  <c r="C1594"/>
  <c r="F1594"/>
  <c r="K1594"/>
  <c r="N1594"/>
  <c r="C1595"/>
  <c r="F1595"/>
  <c r="K1595"/>
  <c r="N1595"/>
  <c r="B1603"/>
  <c r="D1603"/>
  <c r="J1603"/>
  <c r="L1603"/>
  <c r="M1603"/>
  <c r="N1603"/>
  <c r="O1603"/>
  <c r="B1605"/>
  <c r="J1605"/>
  <c r="B1607"/>
  <c r="J1607"/>
  <c r="N1607"/>
  <c r="B1610"/>
  <c r="J1610"/>
  <c r="B1611"/>
  <c r="D1611"/>
  <c r="J1611"/>
  <c r="L1611"/>
  <c r="B1612"/>
  <c r="D1612"/>
  <c r="J1612"/>
  <c r="L1612"/>
  <c r="B1613"/>
  <c r="D1613"/>
  <c r="J1613"/>
  <c r="L1613"/>
  <c r="E1614"/>
  <c r="H1614"/>
  <c r="M1614"/>
  <c r="E1615"/>
  <c r="F1615"/>
  <c r="M1615"/>
  <c r="N1615"/>
  <c r="E1616"/>
  <c r="M1616"/>
  <c r="C1620"/>
  <c r="F1620"/>
  <c r="K1620"/>
  <c r="N1620"/>
  <c r="C1621"/>
  <c r="F1621"/>
  <c r="K1621"/>
  <c r="N1621"/>
  <c r="B1629"/>
  <c r="D1629"/>
  <c r="E1629"/>
  <c r="F1629"/>
  <c r="G1629"/>
  <c r="J1629"/>
  <c r="L1629"/>
  <c r="M1629"/>
  <c r="N1629"/>
  <c r="O1629"/>
  <c r="B1631"/>
  <c r="J1631"/>
  <c r="E1633"/>
  <c r="H1633"/>
  <c r="M1633"/>
  <c r="E1634"/>
  <c r="F1634"/>
  <c r="M1634"/>
  <c r="N1634"/>
  <c r="E1635"/>
  <c r="M1635"/>
  <c r="C1639"/>
  <c r="F1639"/>
  <c r="K1639"/>
  <c r="N1639"/>
  <c r="C1640"/>
  <c r="F1640"/>
  <c r="K1640"/>
  <c r="N1640"/>
  <c r="B1648"/>
  <c r="D1648"/>
  <c r="E1648"/>
  <c r="F1648"/>
  <c r="G1648"/>
  <c r="J1648"/>
  <c r="L1648"/>
  <c r="M1648"/>
  <c r="N1648"/>
  <c r="O1648"/>
  <c r="B1650"/>
  <c r="J1650"/>
  <c r="B1652"/>
  <c r="F1652"/>
  <c r="J1652"/>
  <c r="N1652"/>
  <c r="E1655"/>
  <c r="H1655"/>
  <c r="M1655"/>
  <c r="E1656"/>
  <c r="F1656"/>
  <c r="M1656"/>
  <c r="N1656"/>
  <c r="E1657"/>
  <c r="M1657"/>
  <c r="C1661"/>
  <c r="F1661"/>
  <c r="K1661"/>
  <c r="N1661"/>
  <c r="C1662"/>
  <c r="F1662"/>
  <c r="K1662"/>
  <c r="N1662"/>
  <c r="B6" i="20"/>
  <c r="D6"/>
  <c r="E6"/>
  <c r="F6"/>
  <c r="G6"/>
  <c r="J6"/>
  <c r="L6"/>
  <c r="M6"/>
  <c r="N6"/>
  <c r="O6"/>
  <c r="B8"/>
  <c r="J8"/>
  <c r="E10"/>
  <c r="H10"/>
  <c r="M10"/>
  <c r="E11"/>
  <c r="F11"/>
  <c r="M11"/>
  <c r="N11"/>
  <c r="E12"/>
  <c r="M12"/>
  <c r="C16"/>
  <c r="F16"/>
  <c r="K16"/>
  <c r="N16"/>
  <c r="C17"/>
  <c r="F17"/>
  <c r="K17"/>
  <c r="N17"/>
  <c r="B24"/>
  <c r="D24"/>
  <c r="E24"/>
  <c r="F24"/>
  <c r="G24"/>
  <c r="J24"/>
  <c r="L24"/>
  <c r="M24"/>
  <c r="N24"/>
  <c r="O24"/>
  <c r="B26"/>
  <c r="J26"/>
  <c r="B28"/>
  <c r="J28"/>
  <c r="E30"/>
  <c r="H30"/>
  <c r="M30"/>
  <c r="E31"/>
  <c r="F31"/>
  <c r="M31"/>
  <c r="N31"/>
  <c r="E32"/>
  <c r="M32"/>
  <c r="C36"/>
  <c r="F36"/>
  <c r="K36"/>
  <c r="N36"/>
  <c r="C37"/>
  <c r="F37"/>
  <c r="K37"/>
  <c r="N37"/>
  <c r="B44"/>
  <c r="D44"/>
  <c r="E44"/>
  <c r="F44"/>
  <c r="G44"/>
  <c r="J44"/>
  <c r="L44"/>
  <c r="M44"/>
  <c r="N44"/>
  <c r="O44"/>
  <c r="B46"/>
  <c r="J46"/>
  <c r="B48"/>
  <c r="J48"/>
  <c r="E51"/>
  <c r="H51"/>
  <c r="M51"/>
  <c r="E52"/>
  <c r="F52"/>
  <c r="M52"/>
  <c r="N52"/>
  <c r="E53"/>
  <c r="M53"/>
  <c r="C57"/>
  <c r="F57"/>
  <c r="K57"/>
  <c r="N57"/>
  <c r="C58"/>
  <c r="F58"/>
  <c r="K58"/>
  <c r="N58"/>
  <c r="B65"/>
  <c r="D65"/>
  <c r="E65"/>
  <c r="F65"/>
  <c r="G65"/>
  <c r="J65"/>
  <c r="L65"/>
  <c r="M65"/>
  <c r="N65"/>
  <c r="O65"/>
  <c r="B67"/>
  <c r="J67"/>
  <c r="B69"/>
  <c r="J69"/>
  <c r="E72"/>
  <c r="H72"/>
  <c r="M72"/>
  <c r="E73"/>
  <c r="F73"/>
  <c r="M73"/>
  <c r="N73"/>
  <c r="E74"/>
  <c r="M74"/>
  <c r="C78"/>
  <c r="F78"/>
  <c r="K78"/>
  <c r="N78"/>
  <c r="C79"/>
  <c r="F79"/>
  <c r="K79"/>
  <c r="N79"/>
  <c r="B86"/>
  <c r="D86"/>
  <c r="E86"/>
  <c r="F86"/>
  <c r="G86"/>
  <c r="J86"/>
  <c r="L86"/>
  <c r="M86"/>
  <c r="N86"/>
  <c r="O86"/>
  <c r="B88"/>
  <c r="J88"/>
  <c r="B90"/>
  <c r="J90"/>
  <c r="E92"/>
  <c r="H92"/>
  <c r="M92"/>
  <c r="E93"/>
  <c r="F93"/>
  <c r="M93"/>
  <c r="N93"/>
  <c r="E94"/>
  <c r="M94"/>
  <c r="C98"/>
  <c r="F98"/>
  <c r="K98"/>
  <c r="N98"/>
  <c r="C99"/>
  <c r="F99"/>
  <c r="K99"/>
  <c r="N99"/>
  <c r="B106"/>
  <c r="D106"/>
  <c r="E106"/>
  <c r="F106"/>
  <c r="G106"/>
  <c r="J106"/>
  <c r="L106"/>
  <c r="M106"/>
  <c r="N106"/>
  <c r="O106"/>
  <c r="B108"/>
  <c r="J108"/>
  <c r="B110"/>
  <c r="J110"/>
  <c r="B112"/>
  <c r="J112"/>
  <c r="B113"/>
  <c r="D113"/>
  <c r="J113"/>
  <c r="L113"/>
  <c r="E114"/>
  <c r="H114"/>
  <c r="M114"/>
  <c r="E115"/>
  <c r="F115"/>
  <c r="M115"/>
  <c r="N115"/>
  <c r="E116"/>
  <c r="M116"/>
  <c r="C120"/>
  <c r="F120"/>
  <c r="K120"/>
  <c r="N120"/>
  <c r="C121"/>
  <c r="F121"/>
  <c r="K121"/>
  <c r="N121"/>
  <c r="B128"/>
  <c r="D128"/>
  <c r="E128"/>
  <c r="F128"/>
  <c r="G128"/>
  <c r="J128"/>
  <c r="L128"/>
  <c r="M128"/>
  <c r="N128"/>
  <c r="O128"/>
  <c r="B130"/>
  <c r="J130"/>
  <c r="B132"/>
  <c r="J132"/>
  <c r="E134"/>
  <c r="H134"/>
  <c r="M134"/>
  <c r="E135"/>
  <c r="F135"/>
  <c r="M135"/>
  <c r="N135"/>
  <c r="E136"/>
  <c r="M136"/>
  <c r="C140"/>
  <c r="F140"/>
  <c r="K140"/>
  <c r="N140"/>
  <c r="C141"/>
  <c r="F141"/>
  <c r="K141"/>
  <c r="N141"/>
  <c r="B148"/>
  <c r="D148"/>
  <c r="E148"/>
  <c r="F148"/>
  <c r="G148"/>
  <c r="J148"/>
  <c r="L148"/>
  <c r="M148"/>
  <c r="N148"/>
  <c r="O148"/>
  <c r="B150"/>
  <c r="J150"/>
  <c r="B152"/>
  <c r="J152"/>
  <c r="E154"/>
  <c r="H154"/>
  <c r="M154"/>
  <c r="E155"/>
  <c r="F155"/>
  <c r="M155"/>
  <c r="N155"/>
  <c r="E156"/>
  <c r="M156"/>
  <c r="C160"/>
  <c r="F160"/>
  <c r="K160"/>
  <c r="N160"/>
  <c r="C161"/>
  <c r="F161"/>
  <c r="K161"/>
  <c r="N161"/>
  <c r="C180"/>
  <c r="F180"/>
  <c r="K180"/>
  <c r="N180"/>
  <c r="C181"/>
  <c r="F181"/>
  <c r="K181"/>
  <c r="N181"/>
  <c r="C200"/>
  <c r="F200"/>
  <c r="K200"/>
  <c r="N200"/>
  <c r="C201"/>
  <c r="F201"/>
  <c r="K201"/>
  <c r="N201"/>
  <c r="B208"/>
  <c r="D208"/>
  <c r="E208"/>
  <c r="F208"/>
  <c r="G208"/>
  <c r="J208"/>
  <c r="L208"/>
  <c r="M208"/>
  <c r="N208"/>
  <c r="O208"/>
  <c r="B210"/>
  <c r="J210"/>
  <c r="B212"/>
  <c r="J212"/>
  <c r="B216"/>
  <c r="J216"/>
  <c r="B217"/>
  <c r="D217"/>
  <c r="J217"/>
  <c r="L217"/>
  <c r="B218"/>
  <c r="D218"/>
  <c r="J218"/>
  <c r="L218"/>
  <c r="E219"/>
  <c r="H219"/>
  <c r="M219"/>
  <c r="E220"/>
  <c r="F220"/>
  <c r="M220"/>
  <c r="N220"/>
  <c r="E221"/>
  <c r="M221"/>
  <c r="C225"/>
  <c r="F225"/>
  <c r="K225"/>
  <c r="N225"/>
  <c r="C226"/>
  <c r="F226"/>
  <c r="K226"/>
  <c r="N226"/>
  <c r="B233"/>
  <c r="D233"/>
  <c r="E233"/>
  <c r="F233"/>
  <c r="G233"/>
  <c r="J233"/>
  <c r="L233"/>
  <c r="M233"/>
  <c r="N233"/>
  <c r="O233"/>
  <c r="B235"/>
  <c r="J235"/>
  <c r="B237"/>
  <c r="J237"/>
  <c r="B241"/>
  <c r="J241"/>
  <c r="B242"/>
  <c r="D242"/>
  <c r="J242"/>
  <c r="L242"/>
  <c r="B243"/>
  <c r="D243"/>
  <c r="J243"/>
  <c r="L243"/>
  <c r="E244"/>
  <c r="H244"/>
  <c r="M244"/>
  <c r="E245"/>
  <c r="F245"/>
  <c r="M245"/>
  <c r="N245"/>
  <c r="E246"/>
  <c r="M246"/>
  <c r="C250"/>
  <c r="F250"/>
  <c r="K250"/>
  <c r="N250"/>
  <c r="C251"/>
  <c r="F251"/>
  <c r="K251"/>
  <c r="N251"/>
  <c r="B258"/>
  <c r="D258"/>
  <c r="E258"/>
  <c r="F258"/>
  <c r="G258"/>
  <c r="J258"/>
  <c r="L258"/>
  <c r="M258"/>
  <c r="N258"/>
  <c r="O258"/>
  <c r="B260"/>
  <c r="J260"/>
  <c r="B262"/>
  <c r="J262"/>
  <c r="B266"/>
  <c r="J266"/>
  <c r="B267"/>
  <c r="D267"/>
  <c r="J267"/>
  <c r="L267"/>
  <c r="B268"/>
  <c r="D268"/>
  <c r="J268"/>
  <c r="L268"/>
  <c r="E269"/>
  <c r="H269"/>
  <c r="M269"/>
  <c r="E270"/>
  <c r="F270"/>
  <c r="M270"/>
  <c r="N270"/>
  <c r="E271"/>
  <c r="M271"/>
  <c r="C275"/>
  <c r="F275"/>
  <c r="K275"/>
  <c r="N275"/>
  <c r="C276"/>
  <c r="F276"/>
  <c r="K276"/>
  <c r="N276"/>
  <c r="B283"/>
  <c r="D283"/>
  <c r="E283"/>
  <c r="F283"/>
  <c r="G283"/>
  <c r="J283"/>
  <c r="L283"/>
  <c r="M283"/>
  <c r="N283"/>
  <c r="O283"/>
  <c r="B285"/>
  <c r="J285"/>
  <c r="B287"/>
  <c r="J287"/>
  <c r="B291"/>
  <c r="J291"/>
  <c r="B292"/>
  <c r="D292"/>
  <c r="J292"/>
  <c r="L292"/>
  <c r="B293"/>
  <c r="D293"/>
  <c r="J293"/>
  <c r="L293"/>
  <c r="E294"/>
  <c r="H294"/>
  <c r="M294"/>
  <c r="E295"/>
  <c r="F295"/>
  <c r="M295"/>
  <c r="N295"/>
  <c r="E296"/>
  <c r="M296"/>
  <c r="C300"/>
  <c r="F300"/>
  <c r="K300"/>
  <c r="N300"/>
  <c r="C301"/>
  <c r="F301"/>
  <c r="K301"/>
  <c r="N301"/>
  <c r="B308"/>
  <c r="D308"/>
  <c r="E308"/>
  <c r="F308"/>
  <c r="G308"/>
  <c r="J308"/>
  <c r="L308"/>
  <c r="M308"/>
  <c r="N308"/>
  <c r="O308"/>
  <c r="B310"/>
  <c r="J310"/>
  <c r="B312"/>
  <c r="J312"/>
  <c r="B316"/>
  <c r="J316"/>
  <c r="B317"/>
  <c r="D317"/>
  <c r="J317"/>
  <c r="L317"/>
  <c r="B318"/>
  <c r="D318"/>
  <c r="J318"/>
  <c r="L318"/>
  <c r="E319"/>
  <c r="H319"/>
  <c r="M319"/>
  <c r="E320"/>
  <c r="F320"/>
  <c r="M320"/>
  <c r="N320"/>
  <c r="E321"/>
  <c r="M321"/>
  <c r="C325"/>
  <c r="F325"/>
  <c r="K325"/>
  <c r="N325"/>
  <c r="C326"/>
  <c r="F326"/>
  <c r="K326"/>
  <c r="N326"/>
  <c r="B333"/>
  <c r="D333"/>
  <c r="E333"/>
  <c r="F333"/>
  <c r="G333"/>
  <c r="J333"/>
  <c r="L333"/>
  <c r="M333"/>
  <c r="N333"/>
  <c r="O333"/>
  <c r="B335"/>
  <c r="J335"/>
  <c r="B337"/>
  <c r="J337"/>
  <c r="B341"/>
  <c r="J341"/>
  <c r="B342"/>
  <c r="D342"/>
  <c r="J342"/>
  <c r="L342"/>
  <c r="B343"/>
  <c r="D343"/>
  <c r="J343"/>
  <c r="L343"/>
  <c r="E344"/>
  <c r="H344"/>
  <c r="M344"/>
  <c r="E345"/>
  <c r="F345"/>
  <c r="M345"/>
  <c r="N345"/>
  <c r="E346"/>
  <c r="M346"/>
  <c r="C350"/>
  <c r="F350"/>
  <c r="K350"/>
  <c r="N350"/>
  <c r="C351"/>
  <c r="F351"/>
  <c r="K351"/>
  <c r="N351"/>
  <c r="B358"/>
  <c r="D358"/>
  <c r="E358"/>
  <c r="F358"/>
  <c r="G358"/>
  <c r="J358"/>
  <c r="L358"/>
  <c r="M358"/>
  <c r="N358"/>
  <c r="O358"/>
  <c r="B360"/>
  <c r="J360"/>
  <c r="B362"/>
  <c r="J362"/>
  <c r="B366"/>
  <c r="J366"/>
  <c r="B367"/>
  <c r="D367"/>
  <c r="J367"/>
  <c r="L367"/>
  <c r="B368"/>
  <c r="D368"/>
  <c r="J368"/>
  <c r="L368"/>
  <c r="E369"/>
  <c r="H369"/>
  <c r="M369"/>
  <c r="E370"/>
  <c r="F370"/>
  <c r="M370"/>
  <c r="N370"/>
  <c r="E371"/>
  <c r="M371"/>
  <c r="C375"/>
  <c r="F375"/>
  <c r="K375"/>
  <c r="N375"/>
  <c r="C376"/>
  <c r="F376"/>
  <c r="K376"/>
  <c r="N376"/>
  <c r="B383"/>
  <c r="D383"/>
  <c r="E383"/>
  <c r="F383"/>
  <c r="G383"/>
  <c r="J383"/>
  <c r="L383"/>
  <c r="M383"/>
  <c r="N383"/>
  <c r="O383"/>
  <c r="B385"/>
  <c r="J385"/>
  <c r="B387"/>
  <c r="J387"/>
  <c r="B392"/>
  <c r="J392"/>
  <c r="B393"/>
  <c r="D393"/>
  <c r="J393"/>
  <c r="L393"/>
  <c r="B394"/>
  <c r="D394"/>
  <c r="J394"/>
  <c r="L394"/>
  <c r="E395"/>
  <c r="H395"/>
  <c r="M395"/>
  <c r="E396"/>
  <c r="F396"/>
  <c r="M396"/>
  <c r="N396"/>
  <c r="E397"/>
  <c r="M397"/>
  <c r="C401"/>
  <c r="F401"/>
  <c r="K401"/>
  <c r="N401"/>
  <c r="C402"/>
  <c r="F402"/>
  <c r="K402"/>
  <c r="N402"/>
  <c r="B409"/>
  <c r="D409"/>
  <c r="E409"/>
  <c r="F409"/>
  <c r="G409"/>
  <c r="J409"/>
  <c r="L409"/>
  <c r="M409"/>
  <c r="N409"/>
  <c r="O409"/>
  <c r="B411"/>
  <c r="J411"/>
  <c r="B413"/>
  <c r="J413"/>
  <c r="B418"/>
  <c r="J418"/>
  <c r="B419"/>
  <c r="D419"/>
  <c r="J419"/>
  <c r="L419"/>
  <c r="B420"/>
  <c r="D420"/>
  <c r="J420"/>
  <c r="L420"/>
  <c r="E421"/>
  <c r="H421"/>
  <c r="M421"/>
  <c r="E422"/>
  <c r="F422"/>
  <c r="M422"/>
  <c r="N422"/>
  <c r="E423"/>
  <c r="M423"/>
  <c r="C427"/>
  <c r="F427"/>
  <c r="K427"/>
  <c r="N427"/>
  <c r="C428"/>
  <c r="F428"/>
  <c r="K428"/>
  <c r="N428"/>
  <c r="B435"/>
  <c r="D435"/>
  <c r="E435"/>
  <c r="F435"/>
  <c r="G435"/>
  <c r="J435"/>
  <c r="L435"/>
  <c r="M435"/>
  <c r="N435"/>
  <c r="O435"/>
  <c r="B437"/>
  <c r="J437"/>
  <c r="B439"/>
  <c r="J439"/>
  <c r="B443"/>
  <c r="J443"/>
  <c r="B444"/>
  <c r="D444"/>
  <c r="J444"/>
  <c r="L444"/>
  <c r="B445"/>
  <c r="D445"/>
  <c r="J445"/>
  <c r="L445"/>
  <c r="B446"/>
  <c r="D446"/>
  <c r="J446"/>
  <c r="L446"/>
  <c r="E447"/>
  <c r="H447"/>
  <c r="M447"/>
  <c r="E448"/>
  <c r="F448"/>
  <c r="M448"/>
  <c r="N448"/>
  <c r="E449"/>
  <c r="M449"/>
  <c r="C453"/>
  <c r="F453"/>
  <c r="K453"/>
  <c r="N453"/>
  <c r="C454"/>
  <c r="F454"/>
  <c r="K454"/>
  <c r="N454"/>
  <c r="B461"/>
  <c r="D461"/>
  <c r="E461"/>
  <c r="F461"/>
  <c r="G461"/>
  <c r="J461"/>
  <c r="L461"/>
  <c r="M461"/>
  <c r="N461"/>
  <c r="O461"/>
  <c r="B463"/>
  <c r="J463"/>
  <c r="B465"/>
  <c r="J465"/>
  <c r="B469"/>
  <c r="J469"/>
  <c r="B470"/>
  <c r="D470"/>
  <c r="J470"/>
  <c r="L470"/>
  <c r="B471"/>
  <c r="D471"/>
  <c r="J471"/>
  <c r="L471"/>
  <c r="B472"/>
  <c r="D472"/>
  <c r="J472"/>
  <c r="L472"/>
  <c r="E473"/>
  <c r="H473"/>
  <c r="M473"/>
  <c r="E474"/>
  <c r="F474"/>
  <c r="M474"/>
  <c r="N474"/>
  <c r="E475"/>
  <c r="M475"/>
  <c r="C479"/>
  <c r="F479"/>
  <c r="K479"/>
  <c r="N479"/>
  <c r="C480"/>
  <c r="F480"/>
  <c r="K480"/>
  <c r="N480"/>
  <c r="B487"/>
  <c r="D487"/>
  <c r="E487"/>
  <c r="F487"/>
  <c r="G487"/>
  <c r="J487"/>
  <c r="L487"/>
  <c r="M487"/>
  <c r="N487"/>
  <c r="O487"/>
  <c r="B489"/>
  <c r="J489"/>
  <c r="B491"/>
  <c r="J491"/>
  <c r="B494"/>
  <c r="J494"/>
  <c r="B495"/>
  <c r="D495"/>
  <c r="J495"/>
  <c r="L495"/>
  <c r="B496"/>
  <c r="D496"/>
  <c r="J496"/>
  <c r="L496"/>
  <c r="B497"/>
  <c r="D497"/>
  <c r="J497"/>
  <c r="L497"/>
  <c r="B498"/>
  <c r="D498"/>
  <c r="J498"/>
  <c r="L498"/>
  <c r="B499"/>
  <c r="D499"/>
  <c r="J499"/>
  <c r="L499"/>
  <c r="E500"/>
  <c r="H500"/>
  <c r="M500"/>
  <c r="E501"/>
  <c r="F501"/>
  <c r="M501"/>
  <c r="N501"/>
  <c r="E502"/>
  <c r="M502"/>
  <c r="C506"/>
  <c r="F506"/>
  <c r="K506"/>
  <c r="N506"/>
  <c r="C507"/>
  <c r="F507"/>
  <c r="K507"/>
  <c r="N507"/>
  <c r="B514"/>
  <c r="D514"/>
  <c r="E514"/>
  <c r="F514"/>
  <c r="G514"/>
  <c r="J514"/>
  <c r="L514"/>
  <c r="M514"/>
  <c r="N514"/>
  <c r="O514"/>
  <c r="B516"/>
  <c r="J516"/>
  <c r="B518"/>
  <c r="J518"/>
  <c r="B522"/>
  <c r="J522"/>
  <c r="B523"/>
  <c r="D523"/>
  <c r="J523"/>
  <c r="L523"/>
  <c r="B524"/>
  <c r="D524"/>
  <c r="J524"/>
  <c r="L524"/>
  <c r="B525"/>
  <c r="D525"/>
  <c r="J525"/>
  <c r="L525"/>
  <c r="E526"/>
  <c r="H526"/>
  <c r="M526"/>
  <c r="E527"/>
  <c r="F527"/>
  <c r="M527"/>
  <c r="N527"/>
  <c r="E528"/>
  <c r="M528"/>
  <c r="C532"/>
  <c r="F532"/>
  <c r="K532"/>
  <c r="N532"/>
  <c r="C533"/>
  <c r="F533"/>
  <c r="K533"/>
  <c r="N533"/>
  <c r="B540"/>
  <c r="D540"/>
  <c r="E540"/>
  <c r="F540"/>
  <c r="G540"/>
  <c r="J540"/>
  <c r="L540"/>
  <c r="M540"/>
  <c r="N540"/>
  <c r="O540"/>
  <c r="B542"/>
  <c r="J542"/>
  <c r="B544"/>
  <c r="J544"/>
  <c r="B549"/>
  <c r="J549"/>
  <c r="B550"/>
  <c r="D550"/>
  <c r="J550"/>
  <c r="L550"/>
  <c r="J552"/>
  <c r="L552"/>
  <c r="E553"/>
  <c r="H553"/>
  <c r="M553"/>
  <c r="E554"/>
  <c r="F554"/>
  <c r="M554"/>
  <c r="N554"/>
  <c r="E555"/>
  <c r="M555"/>
  <c r="C559"/>
  <c r="F559"/>
  <c r="K559"/>
  <c r="N559"/>
  <c r="C560"/>
  <c r="F560"/>
  <c r="K560"/>
  <c r="N560"/>
  <c r="B567"/>
  <c r="D567"/>
  <c r="E567"/>
  <c r="F567"/>
  <c r="G567"/>
  <c r="J567"/>
  <c r="L567"/>
  <c r="M567"/>
  <c r="N567"/>
  <c r="O567"/>
  <c r="B569"/>
  <c r="J569"/>
  <c r="B571"/>
  <c r="J571"/>
  <c r="B575"/>
  <c r="J575"/>
  <c r="B576"/>
  <c r="D576"/>
  <c r="J576"/>
  <c r="L576"/>
  <c r="B577"/>
  <c r="D577"/>
  <c r="J577"/>
  <c r="L577"/>
  <c r="B578"/>
  <c r="D578"/>
  <c r="J578"/>
  <c r="L578"/>
  <c r="B580"/>
  <c r="D580"/>
  <c r="J580"/>
  <c r="L580"/>
  <c r="E581"/>
  <c r="H581"/>
  <c r="M581"/>
  <c r="E582"/>
  <c r="F582"/>
  <c r="M582"/>
  <c r="N582"/>
  <c r="E583"/>
  <c r="M583"/>
  <c r="C587"/>
  <c r="F587"/>
  <c r="K587"/>
  <c r="N587"/>
  <c r="C588"/>
  <c r="F588"/>
  <c r="K588"/>
  <c r="N588"/>
  <c r="B595"/>
  <c r="D595"/>
  <c r="E595"/>
  <c r="F595"/>
  <c r="G595"/>
  <c r="J595"/>
  <c r="L595"/>
  <c r="M595"/>
  <c r="N595"/>
  <c r="O595"/>
  <c r="B597"/>
  <c r="J597"/>
  <c r="B599"/>
  <c r="J599"/>
  <c r="B603"/>
  <c r="J603"/>
  <c r="B604"/>
  <c r="D604"/>
  <c r="J604"/>
  <c r="L604"/>
  <c r="B605"/>
  <c r="D605"/>
  <c r="J605"/>
  <c r="L605"/>
  <c r="E606"/>
  <c r="H606"/>
  <c r="M606"/>
  <c r="E607"/>
  <c r="F607"/>
  <c r="M607"/>
  <c r="N607"/>
  <c r="E608"/>
  <c r="M608"/>
  <c r="C612"/>
  <c r="F612"/>
  <c r="K612"/>
  <c r="N612"/>
  <c r="C613"/>
  <c r="F613"/>
  <c r="K613"/>
  <c r="N613"/>
  <c r="B620"/>
  <c r="D620"/>
  <c r="E620"/>
  <c r="F620"/>
  <c r="G620"/>
  <c r="J620"/>
  <c r="L620"/>
  <c r="M620"/>
  <c r="N620"/>
  <c r="O620"/>
  <c r="B622"/>
  <c r="J622"/>
  <c r="B624"/>
  <c r="J624"/>
  <c r="B626"/>
  <c r="J626"/>
  <c r="B627"/>
  <c r="D627"/>
  <c r="J627"/>
  <c r="L627"/>
  <c r="B628"/>
  <c r="D628"/>
  <c r="J628"/>
  <c r="L628"/>
  <c r="B629"/>
  <c r="D629"/>
  <c r="J629"/>
  <c r="L629"/>
  <c r="E630"/>
  <c r="H630"/>
  <c r="M630"/>
  <c r="E631"/>
  <c r="F631"/>
  <c r="M631"/>
  <c r="N631"/>
  <c r="E632"/>
  <c r="M632"/>
  <c r="C636"/>
  <c r="F636"/>
  <c r="K636"/>
  <c r="N636"/>
  <c r="C637"/>
  <c r="F637"/>
  <c r="K637"/>
  <c r="N637"/>
  <c r="B644"/>
  <c r="D644"/>
  <c r="E644"/>
  <c r="F644"/>
  <c r="G644"/>
  <c r="J644"/>
  <c r="L644"/>
  <c r="M644"/>
  <c r="N644"/>
  <c r="O644"/>
  <c r="B646"/>
  <c r="J646"/>
  <c r="B648"/>
  <c r="J648"/>
  <c r="B650"/>
  <c r="J650"/>
  <c r="B651"/>
  <c r="D651"/>
  <c r="J651"/>
  <c r="L651"/>
  <c r="B652"/>
  <c r="D652"/>
  <c r="J652"/>
  <c r="L652"/>
  <c r="B653"/>
  <c r="D653"/>
  <c r="J653"/>
  <c r="L653"/>
  <c r="E654"/>
  <c r="H654"/>
  <c r="M654"/>
  <c r="E655"/>
  <c r="F655"/>
  <c r="M655"/>
  <c r="N655"/>
  <c r="E656"/>
  <c r="M656"/>
  <c r="C660"/>
  <c r="F660"/>
  <c r="K660"/>
  <c r="N660"/>
  <c r="C661"/>
  <c r="F661"/>
  <c r="K661"/>
  <c r="N661"/>
  <c r="B668"/>
  <c r="D668"/>
  <c r="E668"/>
  <c r="F668"/>
  <c r="G668"/>
  <c r="J668"/>
  <c r="L668"/>
  <c r="M668"/>
  <c r="N668"/>
  <c r="O668"/>
  <c r="B670"/>
  <c r="J670"/>
  <c r="B672"/>
  <c r="J672"/>
  <c r="B675"/>
  <c r="J675"/>
  <c r="B676"/>
  <c r="D676"/>
  <c r="J676"/>
  <c r="L676"/>
  <c r="B677"/>
  <c r="D677"/>
  <c r="J677"/>
  <c r="L677"/>
  <c r="B678"/>
  <c r="D678"/>
  <c r="J678"/>
  <c r="L678"/>
  <c r="B679"/>
  <c r="D679"/>
  <c r="J679"/>
  <c r="L679"/>
  <c r="E680"/>
  <c r="H680"/>
  <c r="M680"/>
  <c r="E681"/>
  <c r="F681"/>
  <c r="M681"/>
  <c r="N681"/>
  <c r="E682"/>
  <c r="M682"/>
  <c r="C686"/>
  <c r="F686"/>
  <c r="K686"/>
  <c r="N686"/>
  <c r="C687"/>
  <c r="F687"/>
  <c r="K687"/>
  <c r="N687"/>
  <c r="B694"/>
  <c r="D694"/>
  <c r="E694"/>
  <c r="F694"/>
  <c r="G694"/>
  <c r="J694"/>
  <c r="L694"/>
  <c r="M694"/>
  <c r="N694"/>
  <c r="O694"/>
  <c r="B696"/>
  <c r="J696"/>
  <c r="B698"/>
  <c r="J698"/>
  <c r="B700"/>
  <c r="J700"/>
  <c r="B701"/>
  <c r="D701"/>
  <c r="J701"/>
  <c r="L701"/>
  <c r="B702"/>
  <c r="D702"/>
  <c r="J702"/>
  <c r="L702"/>
  <c r="B703"/>
  <c r="D703"/>
  <c r="J703"/>
  <c r="L703"/>
  <c r="B704"/>
  <c r="D704"/>
  <c r="J704"/>
  <c r="L704"/>
  <c r="E705"/>
  <c r="H705"/>
  <c r="M705"/>
  <c r="E706"/>
  <c r="F706"/>
  <c r="M706"/>
  <c r="N706"/>
  <c r="E707"/>
  <c r="M707"/>
  <c r="C711"/>
  <c r="F711"/>
  <c r="K711"/>
  <c r="N711"/>
  <c r="C712"/>
  <c r="F712"/>
  <c r="K712"/>
  <c r="N712"/>
  <c r="B719"/>
  <c r="D719"/>
  <c r="E719"/>
  <c r="F719"/>
  <c r="G719"/>
  <c r="J719"/>
  <c r="L719"/>
  <c r="M719"/>
  <c r="N719"/>
  <c r="O719"/>
  <c r="B721"/>
  <c r="J721"/>
  <c r="B723"/>
  <c r="J723"/>
  <c r="B725"/>
  <c r="J725"/>
  <c r="B726"/>
  <c r="D726"/>
  <c r="J726"/>
  <c r="L726"/>
  <c r="B727"/>
  <c r="D727"/>
  <c r="J727"/>
  <c r="L727"/>
  <c r="B728"/>
  <c r="D728"/>
  <c r="J728"/>
  <c r="L728"/>
  <c r="B729"/>
  <c r="D729"/>
  <c r="J729"/>
  <c r="L729"/>
  <c r="E730"/>
  <c r="H730"/>
  <c r="M730"/>
  <c r="E731"/>
  <c r="F731"/>
  <c r="M731"/>
  <c r="N731"/>
  <c r="E732"/>
  <c r="M732"/>
  <c r="C736"/>
  <c r="F736"/>
  <c r="K736"/>
  <c r="N736"/>
  <c r="C737"/>
  <c r="F737"/>
  <c r="K737"/>
  <c r="N737"/>
  <c r="B744"/>
  <c r="D744"/>
  <c r="E744"/>
  <c r="F744"/>
  <c r="G744"/>
  <c r="J744"/>
  <c r="L744"/>
  <c r="M744"/>
  <c r="N744"/>
  <c r="O744"/>
  <c r="B746"/>
  <c r="J746"/>
  <c r="B748"/>
  <c r="J748"/>
  <c r="B752"/>
  <c r="J752"/>
  <c r="B753"/>
  <c r="D753"/>
  <c r="J753"/>
  <c r="L753"/>
  <c r="B754"/>
  <c r="D754"/>
  <c r="J754"/>
  <c r="L754"/>
  <c r="B755"/>
  <c r="D755"/>
  <c r="J755"/>
  <c r="L755"/>
  <c r="B756"/>
  <c r="D756"/>
  <c r="J756"/>
  <c r="L756"/>
  <c r="B757"/>
  <c r="D757"/>
  <c r="J757"/>
  <c r="L757"/>
  <c r="E758"/>
  <c r="H758"/>
  <c r="M758"/>
  <c r="E759"/>
  <c r="F759"/>
  <c r="M759"/>
  <c r="N759"/>
  <c r="E760"/>
  <c r="M760"/>
  <c r="C764"/>
  <c r="F764"/>
  <c r="K764"/>
  <c r="N764"/>
  <c r="C765"/>
  <c r="F765"/>
  <c r="K765"/>
  <c r="N765"/>
  <c r="B772"/>
  <c r="D772"/>
  <c r="E772"/>
  <c r="F772"/>
  <c r="G772"/>
  <c r="J772"/>
  <c r="L772"/>
  <c r="M772"/>
  <c r="N772"/>
  <c r="O772"/>
  <c r="B774"/>
  <c r="J774"/>
  <c r="B776"/>
  <c r="J776"/>
  <c r="B780"/>
  <c r="J780"/>
  <c r="B781"/>
  <c r="D781"/>
  <c r="J781"/>
  <c r="L781"/>
  <c r="B782"/>
  <c r="D782"/>
  <c r="J782"/>
  <c r="L782"/>
  <c r="B783"/>
  <c r="D783"/>
  <c r="J783"/>
  <c r="L783"/>
  <c r="E784"/>
  <c r="H784"/>
  <c r="M784"/>
  <c r="E785"/>
  <c r="F785"/>
  <c r="M785"/>
  <c r="N785"/>
  <c r="E786"/>
  <c r="M786"/>
  <c r="C790"/>
  <c r="F790"/>
  <c r="K790"/>
  <c r="N790"/>
  <c r="C791"/>
  <c r="F791"/>
  <c r="K791"/>
  <c r="N791"/>
  <c r="B798"/>
  <c r="D798"/>
  <c r="E798"/>
  <c r="F798"/>
  <c r="G798"/>
  <c r="J798"/>
  <c r="L798"/>
  <c r="M798"/>
  <c r="N798"/>
  <c r="O798"/>
  <c r="B800"/>
  <c r="J800"/>
  <c r="B802"/>
  <c r="J802"/>
  <c r="B805"/>
  <c r="J805"/>
  <c r="B806"/>
  <c r="D806"/>
  <c r="J806"/>
  <c r="L806"/>
  <c r="B807"/>
  <c r="D807"/>
  <c r="J807"/>
  <c r="L807"/>
  <c r="B808"/>
  <c r="D808"/>
  <c r="J808"/>
  <c r="L808"/>
  <c r="E809"/>
  <c r="H809"/>
  <c r="M809"/>
  <c r="E810"/>
  <c r="F810"/>
  <c r="M810"/>
  <c r="N810"/>
  <c r="E811"/>
  <c r="M811"/>
  <c r="C815"/>
  <c r="F815"/>
  <c r="K815"/>
  <c r="N815"/>
  <c r="C816"/>
  <c r="F816"/>
  <c r="K816"/>
  <c r="N816"/>
  <c r="B5" i="18"/>
  <c r="D5"/>
  <c r="E5"/>
  <c r="F5"/>
  <c r="G5"/>
  <c r="J5"/>
  <c r="L5"/>
  <c r="M5"/>
  <c r="N5"/>
  <c r="O5"/>
  <c r="B7"/>
  <c r="J7"/>
  <c r="B9"/>
  <c r="J9"/>
  <c r="E11"/>
  <c r="H11"/>
  <c r="M11"/>
  <c r="E12"/>
  <c r="F12"/>
  <c r="M12"/>
  <c r="N12"/>
  <c r="E13"/>
  <c r="M13"/>
  <c r="C17"/>
  <c r="F17"/>
  <c r="K17"/>
  <c r="N17"/>
  <c r="C18"/>
  <c r="F18"/>
  <c r="K18"/>
  <c r="N18"/>
  <c r="C39"/>
  <c r="F39"/>
  <c r="K39"/>
  <c r="N39"/>
  <c r="C40"/>
  <c r="F40"/>
  <c r="K40"/>
  <c r="N40"/>
  <c r="B46"/>
  <c r="D46"/>
  <c r="E46"/>
  <c r="F46"/>
  <c r="G46"/>
  <c r="J46"/>
  <c r="L46"/>
  <c r="M46"/>
  <c r="N46"/>
  <c r="O46"/>
  <c r="B48"/>
  <c r="J48"/>
  <c r="N49"/>
  <c r="O49" s="1"/>
  <c r="O48" s="1"/>
  <c r="B50"/>
  <c r="J50"/>
  <c r="B53"/>
  <c r="J53"/>
  <c r="B54"/>
  <c r="D54"/>
  <c r="J54"/>
  <c r="L54"/>
  <c r="E55"/>
  <c r="H55"/>
  <c r="M55"/>
  <c r="E56"/>
  <c r="F56"/>
  <c r="M56"/>
  <c r="N56"/>
  <c r="E57"/>
  <c r="M57"/>
  <c r="C61"/>
  <c r="F61"/>
  <c r="K61"/>
  <c r="N61"/>
  <c r="C62"/>
  <c r="F62"/>
  <c r="K62"/>
  <c r="N62"/>
  <c r="B68"/>
  <c r="D68"/>
  <c r="E68"/>
  <c r="F68"/>
  <c r="G68"/>
  <c r="J68"/>
  <c r="L68"/>
  <c r="M68"/>
  <c r="N68"/>
  <c r="O68"/>
  <c r="B70"/>
  <c r="J70"/>
  <c r="N71"/>
  <c r="O71" s="1"/>
  <c r="B73"/>
  <c r="J73"/>
  <c r="B75"/>
  <c r="J75"/>
  <c r="B76"/>
  <c r="D76"/>
  <c r="J76"/>
  <c r="L76"/>
  <c r="B77"/>
  <c r="D77"/>
  <c r="J77"/>
  <c r="L77"/>
  <c r="E78"/>
  <c r="H78"/>
  <c r="M78"/>
  <c r="E79"/>
  <c r="F79"/>
  <c r="M79"/>
  <c r="N79"/>
  <c r="E80"/>
  <c r="M80"/>
  <c r="C84"/>
  <c r="F84"/>
  <c r="K84"/>
  <c r="N84"/>
  <c r="C85"/>
  <c r="F85"/>
  <c r="K85"/>
  <c r="N85"/>
  <c r="B91"/>
  <c r="D91"/>
  <c r="E91"/>
  <c r="F91"/>
  <c r="G91"/>
  <c r="J91"/>
  <c r="L91"/>
  <c r="M91"/>
  <c r="N91"/>
  <c r="O91"/>
  <c r="B93"/>
  <c r="J93"/>
  <c r="B95"/>
  <c r="J95"/>
  <c r="B97"/>
  <c r="J97"/>
  <c r="B98"/>
  <c r="D98"/>
  <c r="J98"/>
  <c r="L98"/>
  <c r="E99"/>
  <c r="H99"/>
  <c r="M99"/>
  <c r="E100"/>
  <c r="F100"/>
  <c r="M100"/>
  <c r="N100"/>
  <c r="E101"/>
  <c r="M101"/>
  <c r="C105"/>
  <c r="F105"/>
  <c r="K105"/>
  <c r="N105"/>
  <c r="C106"/>
  <c r="F106"/>
  <c r="K106"/>
  <c r="N106"/>
  <c r="B112"/>
  <c r="D112"/>
  <c r="E112"/>
  <c r="F112"/>
  <c r="G112"/>
  <c r="J112"/>
  <c r="L112"/>
  <c r="M112"/>
  <c r="N112"/>
  <c r="O112"/>
  <c r="B114"/>
  <c r="J114"/>
  <c r="B116"/>
  <c r="J116"/>
  <c r="B120"/>
  <c r="J120"/>
  <c r="B121"/>
  <c r="D121"/>
  <c r="J121"/>
  <c r="L121"/>
  <c r="E122"/>
  <c r="H122"/>
  <c r="M122"/>
  <c r="E123"/>
  <c r="F123"/>
  <c r="M123"/>
  <c r="N123"/>
  <c r="E124"/>
  <c r="M124"/>
  <c r="C128"/>
  <c r="F128"/>
  <c r="K128"/>
  <c r="N128"/>
  <c r="C129"/>
  <c r="F129"/>
  <c r="K129"/>
  <c r="N129"/>
  <c r="B135"/>
  <c r="D135"/>
  <c r="E135"/>
  <c r="F135"/>
  <c r="G135"/>
  <c r="J135"/>
  <c r="L135"/>
  <c r="M135"/>
  <c r="N135"/>
  <c r="O135"/>
  <c r="B137"/>
  <c r="J137"/>
  <c r="B139"/>
  <c r="J139"/>
  <c r="B144"/>
  <c r="J144"/>
  <c r="B145"/>
  <c r="D145"/>
  <c r="J145"/>
  <c r="L145"/>
  <c r="E146"/>
  <c r="H146"/>
  <c r="M146"/>
  <c r="E147"/>
  <c r="F147"/>
  <c r="M147"/>
  <c r="N147"/>
  <c r="E148"/>
  <c r="M148"/>
  <c r="C152"/>
  <c r="F152"/>
  <c r="K152"/>
  <c r="N152"/>
  <c r="C153"/>
  <c r="F153"/>
  <c r="K153"/>
  <c r="N153"/>
  <c r="B159"/>
  <c r="D159"/>
  <c r="E159"/>
  <c r="F159"/>
  <c r="G159"/>
  <c r="J159"/>
  <c r="L159"/>
  <c r="M159"/>
  <c r="N159"/>
  <c r="O159"/>
  <c r="B161"/>
  <c r="J161"/>
  <c r="B164"/>
  <c r="J164"/>
  <c r="B166"/>
  <c r="J166"/>
  <c r="B167"/>
  <c r="D167"/>
  <c r="J167"/>
  <c r="L167"/>
  <c r="B168"/>
  <c r="D168"/>
  <c r="J168"/>
  <c r="L168"/>
  <c r="E169"/>
  <c r="H169"/>
  <c r="M169"/>
  <c r="E170"/>
  <c r="F170"/>
  <c r="M170"/>
  <c r="N170"/>
  <c r="E171"/>
  <c r="M171"/>
  <c r="C175"/>
  <c r="F175"/>
  <c r="K175"/>
  <c r="N175"/>
  <c r="C176"/>
  <c r="F176"/>
  <c r="K176"/>
  <c r="N176"/>
  <c r="B182"/>
  <c r="D182"/>
  <c r="E182"/>
  <c r="F182"/>
  <c r="G182"/>
  <c r="J182"/>
  <c r="L182"/>
  <c r="M182"/>
  <c r="N182"/>
  <c r="O182"/>
  <c r="B184"/>
  <c r="J184"/>
  <c r="B186"/>
  <c r="J186"/>
  <c r="B188"/>
  <c r="J188"/>
  <c r="B189"/>
  <c r="D189"/>
  <c r="J189"/>
  <c r="L189"/>
  <c r="B190"/>
  <c r="D190"/>
  <c r="J190"/>
  <c r="L190"/>
  <c r="B191"/>
  <c r="D191"/>
  <c r="J191"/>
  <c r="L191"/>
  <c r="E192"/>
  <c r="H192"/>
  <c r="M192"/>
  <c r="E193"/>
  <c r="F193"/>
  <c r="M193"/>
  <c r="N193"/>
  <c r="E194"/>
  <c r="M194"/>
  <c r="C198"/>
  <c r="F198"/>
  <c r="K198"/>
  <c r="N198"/>
  <c r="C199"/>
  <c r="F199"/>
  <c r="K199"/>
  <c r="N199"/>
  <c r="B205"/>
  <c r="D205"/>
  <c r="E205"/>
  <c r="F205"/>
  <c r="G205"/>
  <c r="J205"/>
  <c r="L205"/>
  <c r="M205"/>
  <c r="N205"/>
  <c r="O205"/>
  <c r="B207"/>
  <c r="J207"/>
  <c r="B209"/>
  <c r="J209"/>
  <c r="B214"/>
  <c r="J214"/>
  <c r="B215"/>
  <c r="D215"/>
  <c r="J215"/>
  <c r="L215"/>
  <c r="E216"/>
  <c r="H216"/>
  <c r="M216"/>
  <c r="E217"/>
  <c r="F217"/>
  <c r="M217"/>
  <c r="N217"/>
  <c r="E218"/>
  <c r="M218"/>
  <c r="C222"/>
  <c r="F222"/>
  <c r="K222"/>
  <c r="N222"/>
  <c r="C223"/>
  <c r="F223"/>
  <c r="K223"/>
  <c r="N223"/>
  <c r="B229"/>
  <c r="D229"/>
  <c r="E229"/>
  <c r="F229"/>
  <c r="G229"/>
  <c r="J229"/>
  <c r="L229"/>
  <c r="M229"/>
  <c r="N229"/>
  <c r="O229"/>
  <c r="B231"/>
  <c r="J231"/>
  <c r="B233"/>
  <c r="J233"/>
  <c r="B238"/>
  <c r="J238"/>
  <c r="N239"/>
  <c r="O239" s="1"/>
  <c r="O238" s="1"/>
  <c r="B239"/>
  <c r="D239"/>
  <c r="J239"/>
  <c r="L239"/>
  <c r="E240"/>
  <c r="H240"/>
  <c r="M240"/>
  <c r="E241"/>
  <c r="F241"/>
  <c r="M241"/>
  <c r="N241"/>
  <c r="E242"/>
  <c r="M242"/>
  <c r="C246"/>
  <c r="F246"/>
  <c r="K246"/>
  <c r="N246"/>
  <c r="C247"/>
  <c r="F247"/>
  <c r="K247"/>
  <c r="N247"/>
  <c r="B253"/>
  <c r="D253"/>
  <c r="E253"/>
  <c r="F253"/>
  <c r="G253"/>
  <c r="J253"/>
  <c r="L253"/>
  <c r="M253"/>
  <c r="N253"/>
  <c r="O253"/>
  <c r="B255"/>
  <c r="J255"/>
  <c r="B257"/>
  <c r="J257"/>
  <c r="B263"/>
  <c r="J263"/>
  <c r="B264"/>
  <c r="D264"/>
  <c r="J264"/>
  <c r="L264"/>
  <c r="E265"/>
  <c r="H265"/>
  <c r="M265"/>
  <c r="E266"/>
  <c r="F266"/>
  <c r="M266"/>
  <c r="N266"/>
  <c r="E267"/>
  <c r="M267"/>
  <c r="C271"/>
  <c r="F271"/>
  <c r="K271"/>
  <c r="N271"/>
  <c r="C272"/>
  <c r="F272"/>
  <c r="K272"/>
  <c r="N272"/>
  <c r="B5" i="17"/>
  <c r="D5"/>
  <c r="E5"/>
  <c r="F5"/>
  <c r="G5"/>
  <c r="J5"/>
  <c r="L5"/>
  <c r="M5"/>
  <c r="N5"/>
  <c r="O5"/>
  <c r="B7"/>
  <c r="J7"/>
  <c r="B9"/>
  <c r="E9"/>
  <c r="J9"/>
  <c r="M9"/>
  <c r="E11"/>
  <c r="H11"/>
  <c r="M11"/>
  <c r="E12"/>
  <c r="F12"/>
  <c r="M12"/>
  <c r="N12"/>
  <c r="E13"/>
  <c r="M13"/>
  <c r="C17"/>
  <c r="F17"/>
  <c r="K17"/>
  <c r="N17"/>
  <c r="C18"/>
  <c r="F18"/>
  <c r="K18"/>
  <c r="N18"/>
  <c r="B24"/>
  <c r="D24"/>
  <c r="E24"/>
  <c r="F24"/>
  <c r="G24"/>
  <c r="J24"/>
  <c r="L24"/>
  <c r="M24"/>
  <c r="N24"/>
  <c r="O24"/>
  <c r="B26"/>
  <c r="J26"/>
  <c r="B28"/>
  <c r="E28"/>
  <c r="J28"/>
  <c r="M28"/>
  <c r="B32"/>
  <c r="J32"/>
  <c r="B33"/>
  <c r="D33"/>
  <c r="J33"/>
  <c r="L33"/>
  <c r="E34"/>
  <c r="H34"/>
  <c r="M34"/>
  <c r="E35"/>
  <c r="F35"/>
  <c r="M35"/>
  <c r="N35"/>
  <c r="E36"/>
  <c r="M36"/>
  <c r="C40"/>
  <c r="F40"/>
  <c r="K40"/>
  <c r="N40"/>
  <c r="C41"/>
  <c r="F41"/>
  <c r="K41"/>
  <c r="N41"/>
  <c r="B47"/>
  <c r="D47"/>
  <c r="E47"/>
  <c r="F47"/>
  <c r="G47"/>
  <c r="J47"/>
  <c r="L47"/>
  <c r="M47"/>
  <c r="N47"/>
  <c r="O47"/>
  <c r="B49"/>
  <c r="J49"/>
  <c r="B51"/>
  <c r="E51"/>
  <c r="J51"/>
  <c r="M51"/>
  <c r="E53"/>
  <c r="H53"/>
  <c r="M53"/>
  <c r="E54"/>
  <c r="F54"/>
  <c r="M54"/>
  <c r="N54"/>
  <c r="E55"/>
  <c r="M55"/>
  <c r="C59"/>
  <c r="F59"/>
  <c r="K59"/>
  <c r="N59"/>
  <c r="C60"/>
  <c r="F60"/>
  <c r="K60"/>
  <c r="N60"/>
  <c r="B66"/>
  <c r="D66"/>
  <c r="E66"/>
  <c r="F66"/>
  <c r="G66"/>
  <c r="J66"/>
  <c r="L66"/>
  <c r="M66"/>
  <c r="N66"/>
  <c r="O66"/>
  <c r="B68"/>
  <c r="J68"/>
  <c r="B70"/>
  <c r="J70"/>
  <c r="M70"/>
  <c r="E73"/>
  <c r="H73"/>
  <c r="M73"/>
  <c r="E74"/>
  <c r="F74"/>
  <c r="M74"/>
  <c r="N74"/>
  <c r="E75"/>
  <c r="M75"/>
  <c r="C79"/>
  <c r="F79"/>
  <c r="K79"/>
  <c r="N79"/>
  <c r="C80"/>
  <c r="F80"/>
  <c r="K80"/>
  <c r="N80"/>
  <c r="B86"/>
  <c r="D86"/>
  <c r="E86"/>
  <c r="F86"/>
  <c r="G86"/>
  <c r="J86"/>
  <c r="L86"/>
  <c r="M86"/>
  <c r="N86"/>
  <c r="O86"/>
  <c r="B88"/>
  <c r="J88"/>
  <c r="B90"/>
  <c r="E90"/>
  <c r="J90"/>
  <c r="M90"/>
  <c r="E93"/>
  <c r="H93"/>
  <c r="M93"/>
  <c r="E94"/>
  <c r="F94"/>
  <c r="M94"/>
  <c r="N94"/>
  <c r="E95"/>
  <c r="M95"/>
  <c r="C99"/>
  <c r="F99"/>
  <c r="K99"/>
  <c r="N99"/>
  <c r="C100"/>
  <c r="F100"/>
  <c r="K100"/>
  <c r="N100"/>
  <c r="B106"/>
  <c r="D106"/>
  <c r="E106"/>
  <c r="F106"/>
  <c r="G106"/>
  <c r="J106"/>
  <c r="L106"/>
  <c r="M106"/>
  <c r="N106"/>
  <c r="O106"/>
  <c r="B108"/>
  <c r="J108"/>
  <c r="B110"/>
  <c r="E110"/>
  <c r="J110"/>
  <c r="M110"/>
  <c r="E112"/>
  <c r="H112"/>
  <c r="M112"/>
  <c r="E113"/>
  <c r="F113"/>
  <c r="M113"/>
  <c r="N113"/>
  <c r="E114"/>
  <c r="M114"/>
  <c r="C118"/>
  <c r="F118"/>
  <c r="K118"/>
  <c r="N118"/>
  <c r="C119"/>
  <c r="F119"/>
  <c r="K119"/>
  <c r="N119"/>
  <c r="B125"/>
  <c r="D125"/>
  <c r="E125"/>
  <c r="F125"/>
  <c r="G125"/>
  <c r="J125"/>
  <c r="L125"/>
  <c r="M125"/>
  <c r="N125"/>
  <c r="O125"/>
  <c r="B127"/>
  <c r="J127"/>
  <c r="B129"/>
  <c r="E129"/>
  <c r="J129"/>
  <c r="M129"/>
  <c r="E132"/>
  <c r="H132"/>
  <c r="M132"/>
  <c r="E133"/>
  <c r="F133"/>
  <c r="M133"/>
  <c r="N133"/>
  <c r="E134"/>
  <c r="M134"/>
  <c r="C138"/>
  <c r="F138"/>
  <c r="K138"/>
  <c r="N138"/>
  <c r="C139"/>
  <c r="F139"/>
  <c r="K139"/>
  <c r="N139"/>
  <c r="B145"/>
  <c r="D145"/>
  <c r="E145"/>
  <c r="F145"/>
  <c r="G145"/>
  <c r="J145"/>
  <c r="L145"/>
  <c r="M145"/>
  <c r="N145"/>
  <c r="O145"/>
  <c r="B147"/>
  <c r="J147"/>
  <c r="B149"/>
  <c r="E149"/>
  <c r="J149"/>
  <c r="M149"/>
  <c r="B154"/>
  <c r="J154"/>
  <c r="B155"/>
  <c r="D155"/>
  <c r="J155"/>
  <c r="L155"/>
  <c r="B156"/>
  <c r="D156"/>
  <c r="J156"/>
  <c r="L156"/>
  <c r="B157"/>
  <c r="D157"/>
  <c r="J157"/>
  <c r="L157"/>
  <c r="E158"/>
  <c r="H158"/>
  <c r="M158"/>
  <c r="E159"/>
  <c r="F159"/>
  <c r="M159"/>
  <c r="N159"/>
  <c r="E160"/>
  <c r="M160"/>
  <c r="C164"/>
  <c r="F164"/>
  <c r="K164"/>
  <c r="N164"/>
  <c r="C165"/>
  <c r="F165"/>
  <c r="K165"/>
  <c r="N165"/>
  <c r="B171"/>
  <c r="D171"/>
  <c r="E171"/>
  <c r="F171"/>
  <c r="G171"/>
  <c r="J171"/>
  <c r="L171"/>
  <c r="M171"/>
  <c r="N171"/>
  <c r="O171"/>
  <c r="B173"/>
  <c r="J173"/>
  <c r="B175"/>
  <c r="E175"/>
  <c r="J175"/>
  <c r="M175"/>
  <c r="B180"/>
  <c r="J180"/>
  <c r="B181"/>
  <c r="D181"/>
  <c r="J181"/>
  <c r="L181"/>
  <c r="B182"/>
  <c r="D182"/>
  <c r="J182"/>
  <c r="L182"/>
  <c r="B183"/>
  <c r="D183"/>
  <c r="J183"/>
  <c r="L183"/>
  <c r="E184"/>
  <c r="H184"/>
  <c r="M184"/>
  <c r="E185"/>
  <c r="F185"/>
  <c r="M185"/>
  <c r="N185"/>
  <c r="E186"/>
  <c r="M186"/>
  <c r="C190"/>
  <c r="F190"/>
  <c r="K190"/>
  <c r="N190"/>
  <c r="C191"/>
  <c r="F191"/>
  <c r="K191"/>
  <c r="N191"/>
  <c r="B197"/>
  <c r="D197"/>
  <c r="E197"/>
  <c r="F197"/>
  <c r="G197"/>
  <c r="J197"/>
  <c r="L197"/>
  <c r="M197"/>
  <c r="N197"/>
  <c r="O197"/>
  <c r="B199"/>
  <c r="J199"/>
  <c r="B201"/>
  <c r="J201"/>
  <c r="M201"/>
  <c r="E207"/>
  <c r="H207"/>
  <c r="M207"/>
  <c r="E208"/>
  <c r="F208"/>
  <c r="M208"/>
  <c r="N208"/>
  <c r="E209"/>
  <c r="M209"/>
  <c r="C213"/>
  <c r="F213"/>
  <c r="K213"/>
  <c r="N213"/>
  <c r="C214"/>
  <c r="F214"/>
  <c r="K214"/>
  <c r="N214"/>
  <c r="B220"/>
  <c r="D220"/>
  <c r="E220"/>
  <c r="F220"/>
  <c r="G220"/>
  <c r="J220"/>
  <c r="L220"/>
  <c r="M220"/>
  <c r="N220"/>
  <c r="O220"/>
  <c r="B222"/>
  <c r="J222"/>
  <c r="B224"/>
  <c r="E224"/>
  <c r="J224"/>
  <c r="M224"/>
  <c r="B231"/>
  <c r="J231"/>
  <c r="B232"/>
  <c r="D232"/>
  <c r="J232"/>
  <c r="L232"/>
  <c r="E233"/>
  <c r="H233"/>
  <c r="M233"/>
  <c r="E234"/>
  <c r="F234"/>
  <c r="M234"/>
  <c r="N234"/>
  <c r="E235"/>
  <c r="M235"/>
  <c r="C239"/>
  <c r="F239"/>
  <c r="K239"/>
  <c r="N239"/>
  <c r="C240"/>
  <c r="F240"/>
  <c r="K240"/>
  <c r="N240"/>
  <c r="B246"/>
  <c r="D246"/>
  <c r="E246"/>
  <c r="F246"/>
  <c r="G246"/>
  <c r="J246"/>
  <c r="L246"/>
  <c r="M246"/>
  <c r="N246"/>
  <c r="O246"/>
  <c r="B248"/>
  <c r="J248"/>
  <c r="B250"/>
  <c r="E250"/>
  <c r="J250"/>
  <c r="M250"/>
  <c r="B256"/>
  <c r="J256"/>
  <c r="B257"/>
  <c r="D257"/>
  <c r="J257"/>
  <c r="L257"/>
  <c r="E258"/>
  <c r="H258"/>
  <c r="M258"/>
  <c r="E259"/>
  <c r="F259"/>
  <c r="M259"/>
  <c r="N259"/>
  <c r="E260"/>
  <c r="M260"/>
  <c r="C264"/>
  <c r="F264"/>
  <c r="K264"/>
  <c r="N264"/>
  <c r="C265"/>
  <c r="F265"/>
  <c r="K265"/>
  <c r="N265"/>
  <c r="B271"/>
  <c r="D271"/>
  <c r="E271"/>
  <c r="F271"/>
  <c r="G271"/>
  <c r="J271"/>
  <c r="L271"/>
  <c r="M271"/>
  <c r="N271"/>
  <c r="O271"/>
  <c r="B273"/>
  <c r="J273"/>
  <c r="B275"/>
  <c r="E275"/>
  <c r="J275"/>
  <c r="M275"/>
  <c r="E279"/>
  <c r="H279"/>
  <c r="M279"/>
  <c r="E280"/>
  <c r="F280"/>
  <c r="M280"/>
  <c r="N280"/>
  <c r="E281"/>
  <c r="M281"/>
  <c r="C285"/>
  <c r="F285"/>
  <c r="K285"/>
  <c r="N285"/>
  <c r="C286"/>
  <c r="F286"/>
  <c r="K286"/>
  <c r="N286"/>
  <c r="B292"/>
  <c r="D292"/>
  <c r="E292"/>
  <c r="F292"/>
  <c r="G292"/>
  <c r="J292"/>
  <c r="L292"/>
  <c r="M292"/>
  <c r="N292"/>
  <c r="O292"/>
  <c r="B294"/>
  <c r="J294"/>
  <c r="B296"/>
  <c r="E296"/>
  <c r="J296"/>
  <c r="M296"/>
  <c r="E300"/>
  <c r="H300"/>
  <c r="M300"/>
  <c r="E301"/>
  <c r="F301"/>
  <c r="M301"/>
  <c r="N301"/>
  <c r="E302"/>
  <c r="M302"/>
  <c r="C306"/>
  <c r="F306"/>
  <c r="K306"/>
  <c r="N306"/>
  <c r="C307"/>
  <c r="F307"/>
  <c r="K307"/>
  <c r="N307"/>
  <c r="B313"/>
  <c r="D313"/>
  <c r="E313"/>
  <c r="F313"/>
  <c r="G313"/>
  <c r="J313"/>
  <c r="L313"/>
  <c r="M313"/>
  <c r="N313"/>
  <c r="O313"/>
  <c r="B315"/>
  <c r="J315"/>
  <c r="B317"/>
  <c r="E317"/>
  <c r="J317"/>
  <c r="M317"/>
  <c r="B320"/>
  <c r="J320"/>
  <c r="B321"/>
  <c r="D321"/>
  <c r="J321"/>
  <c r="L321"/>
  <c r="B322"/>
  <c r="D322"/>
  <c r="J322"/>
  <c r="L322"/>
  <c r="B323"/>
  <c r="D323"/>
  <c r="J323"/>
  <c r="L323"/>
  <c r="E324"/>
  <c r="H324"/>
  <c r="M324"/>
  <c r="E325"/>
  <c r="F325"/>
  <c r="M325"/>
  <c r="N325"/>
  <c r="E326"/>
  <c r="M326"/>
  <c r="C330"/>
  <c r="F330"/>
  <c r="K330"/>
  <c r="N330"/>
  <c r="C331"/>
  <c r="F331"/>
  <c r="K331"/>
  <c r="N331"/>
  <c r="B6" i="16"/>
  <c r="D6"/>
  <c r="E6"/>
  <c r="F6"/>
  <c r="G6"/>
  <c r="J6"/>
  <c r="K6"/>
  <c r="L6"/>
  <c r="M6"/>
  <c r="B8"/>
  <c r="B10"/>
  <c r="B14"/>
  <c r="B17"/>
  <c r="D17"/>
  <c r="J17"/>
  <c r="E18"/>
  <c r="K18"/>
  <c r="E19"/>
  <c r="F19"/>
  <c r="K19"/>
  <c r="L19"/>
  <c r="E20"/>
  <c r="K20"/>
  <c r="C24"/>
  <c r="F24"/>
  <c r="I24"/>
  <c r="L24"/>
  <c r="C25"/>
  <c r="F25"/>
  <c r="I25"/>
  <c r="L25"/>
  <c r="B33"/>
  <c r="D33"/>
  <c r="E33"/>
  <c r="F33"/>
  <c r="G33"/>
  <c r="J33"/>
  <c r="K33"/>
  <c r="L33"/>
  <c r="M33"/>
  <c r="B35"/>
  <c r="B37"/>
  <c r="B48"/>
  <c r="B49"/>
  <c r="J49"/>
  <c r="B50"/>
  <c r="J50"/>
  <c r="B51"/>
  <c r="J51"/>
  <c r="E52"/>
  <c r="K52"/>
  <c r="E53"/>
  <c r="F53"/>
  <c r="K53"/>
  <c r="L53"/>
  <c r="E54"/>
  <c r="K54"/>
  <c r="C58"/>
  <c r="F58"/>
  <c r="I58"/>
  <c r="L58"/>
  <c r="C59"/>
  <c r="F59"/>
  <c r="I59"/>
  <c r="L59"/>
  <c r="B67"/>
  <c r="D67"/>
  <c r="E67"/>
  <c r="F67"/>
  <c r="G67"/>
  <c r="J67"/>
  <c r="K67"/>
  <c r="L67"/>
  <c r="M67"/>
  <c r="B69"/>
  <c r="B72"/>
  <c r="B84"/>
  <c r="J85"/>
  <c r="J86"/>
  <c r="E87"/>
  <c r="K87"/>
  <c r="E88"/>
  <c r="F88"/>
  <c r="K88"/>
  <c r="L88"/>
  <c r="E89"/>
  <c r="K89"/>
  <c r="C92"/>
  <c r="F92"/>
  <c r="I92"/>
  <c r="L92"/>
  <c r="C93"/>
  <c r="F93"/>
  <c r="I93"/>
  <c r="L93"/>
  <c r="B101"/>
  <c r="D101"/>
  <c r="E101"/>
  <c r="F101"/>
  <c r="G101"/>
  <c r="J101"/>
  <c r="K101"/>
  <c r="L101"/>
  <c r="M101"/>
  <c r="B103"/>
  <c r="B105"/>
  <c r="B117"/>
  <c r="J118"/>
  <c r="J119"/>
  <c r="O119"/>
  <c r="J120"/>
  <c r="E121"/>
  <c r="K121"/>
  <c r="E122"/>
  <c r="F122"/>
  <c r="K122"/>
  <c r="L122"/>
  <c r="E123"/>
  <c r="K123"/>
  <c r="C127"/>
  <c r="F127"/>
  <c r="I127"/>
  <c r="L127"/>
  <c r="C128"/>
  <c r="F128"/>
  <c r="I128"/>
  <c r="L128"/>
  <c r="B136"/>
  <c r="D136"/>
  <c r="E136"/>
  <c r="F136"/>
  <c r="G136"/>
  <c r="J136"/>
  <c r="K136"/>
  <c r="L136"/>
  <c r="M136"/>
  <c r="B138"/>
  <c r="B140"/>
  <c r="B153"/>
  <c r="J154"/>
  <c r="J155"/>
  <c r="J156"/>
  <c r="E157"/>
  <c r="K157"/>
  <c r="E158"/>
  <c r="F158"/>
  <c r="K158"/>
  <c r="L158"/>
  <c r="E159"/>
  <c r="K159"/>
  <c r="C163"/>
  <c r="F163"/>
  <c r="I163"/>
  <c r="L163"/>
  <c r="C164"/>
  <c r="F164"/>
  <c r="I164"/>
  <c r="L164"/>
  <c r="B172"/>
  <c r="D172"/>
  <c r="E172"/>
  <c r="F172"/>
  <c r="G172"/>
  <c r="J172"/>
  <c r="K172"/>
  <c r="L172"/>
  <c r="M172"/>
  <c r="J179"/>
  <c r="K180"/>
  <c r="K181"/>
  <c r="L181"/>
  <c r="K182"/>
  <c r="I186"/>
  <c r="L186"/>
  <c r="I187"/>
  <c r="L187"/>
  <c r="B195"/>
  <c r="D195"/>
  <c r="E195"/>
  <c r="F195"/>
  <c r="G195"/>
  <c r="J195"/>
  <c r="K195"/>
  <c r="L195"/>
  <c r="M195"/>
  <c r="B197"/>
  <c r="B199"/>
  <c r="E207"/>
  <c r="K207"/>
  <c r="E208"/>
  <c r="F208"/>
  <c r="K208"/>
  <c r="L208"/>
  <c r="E209"/>
  <c r="K209"/>
  <c r="C213"/>
  <c r="F213"/>
  <c r="I213"/>
  <c r="L213"/>
  <c r="C214"/>
  <c r="F214"/>
  <c r="I214"/>
  <c r="L214"/>
  <c r="B222"/>
  <c r="D222"/>
  <c r="E222"/>
  <c r="F222"/>
  <c r="G222"/>
  <c r="J222"/>
  <c r="K222"/>
  <c r="L222"/>
  <c r="M222"/>
  <c r="B224"/>
  <c r="B226"/>
  <c r="B230"/>
  <c r="D233"/>
  <c r="J233"/>
  <c r="E234"/>
  <c r="K234"/>
  <c r="E235"/>
  <c r="F235"/>
  <c r="K235"/>
  <c r="L235"/>
  <c r="E236"/>
  <c r="K236"/>
  <c r="C240"/>
  <c r="F240"/>
  <c r="I240"/>
  <c r="L240"/>
  <c r="C241"/>
  <c r="F241"/>
  <c r="I241"/>
  <c r="L241"/>
  <c r="B249"/>
  <c r="D249"/>
  <c r="E249"/>
  <c r="F249"/>
  <c r="G249"/>
  <c r="J249"/>
  <c r="K249"/>
  <c r="L249"/>
  <c r="M249"/>
  <c r="B251"/>
  <c r="B253"/>
  <c r="B261"/>
  <c r="B262"/>
  <c r="D262"/>
  <c r="J262"/>
  <c r="J263"/>
  <c r="B264"/>
  <c r="D264"/>
  <c r="J264"/>
  <c r="E265"/>
  <c r="K265"/>
  <c r="E266"/>
  <c r="F266"/>
  <c r="K266"/>
  <c r="L266"/>
  <c r="E267"/>
  <c r="K267"/>
  <c r="C271"/>
  <c r="F271"/>
  <c r="I271"/>
  <c r="L271"/>
  <c r="C272"/>
  <c r="F272"/>
  <c r="I272"/>
  <c r="L272"/>
  <c r="B280"/>
  <c r="D280"/>
  <c r="E280"/>
  <c r="F280"/>
  <c r="G280"/>
  <c r="J280"/>
  <c r="K280"/>
  <c r="L280"/>
  <c r="M280"/>
  <c r="B282"/>
  <c r="B284"/>
  <c r="B296"/>
  <c r="B297"/>
  <c r="D297"/>
  <c r="J297"/>
  <c r="B298"/>
  <c r="D298"/>
  <c r="J298"/>
  <c r="E299"/>
  <c r="K299"/>
  <c r="E300"/>
  <c r="F300"/>
  <c r="K300"/>
  <c r="L300"/>
  <c r="E301"/>
  <c r="K301"/>
  <c r="C305"/>
  <c r="F305"/>
  <c r="I305"/>
  <c r="L305"/>
  <c r="C306"/>
  <c r="F306"/>
  <c r="I306"/>
  <c r="L306"/>
  <c r="B314"/>
  <c r="D314"/>
  <c r="E314"/>
  <c r="F314"/>
  <c r="G314"/>
  <c r="J314"/>
  <c r="K314"/>
  <c r="L314"/>
  <c r="M314"/>
  <c r="B316"/>
  <c r="B318"/>
  <c r="B330"/>
  <c r="D331"/>
  <c r="J331"/>
  <c r="B332"/>
  <c r="D332"/>
  <c r="J332"/>
  <c r="E333"/>
  <c r="K333"/>
  <c r="E334"/>
  <c r="F334"/>
  <c r="K334"/>
  <c r="L334"/>
  <c r="E335"/>
  <c r="K335"/>
  <c r="C339"/>
  <c r="F339"/>
  <c r="I339"/>
  <c r="L339"/>
  <c r="C340"/>
  <c r="F340"/>
  <c r="I340"/>
  <c r="L340"/>
  <c r="B348"/>
  <c r="D348"/>
  <c r="E348"/>
  <c r="F348"/>
  <c r="G348"/>
  <c r="J348"/>
  <c r="K348"/>
  <c r="L348"/>
  <c r="M348"/>
  <c r="B350"/>
  <c r="B352"/>
  <c r="B364"/>
  <c r="B365"/>
  <c r="D365"/>
  <c r="J365"/>
  <c r="B366"/>
  <c r="D366"/>
  <c r="J366"/>
  <c r="E367"/>
  <c r="K367"/>
  <c r="E368"/>
  <c r="F368"/>
  <c r="K368"/>
  <c r="L368"/>
  <c r="E369"/>
  <c r="K369"/>
  <c r="C373"/>
  <c r="F373"/>
  <c r="I373"/>
  <c r="L373"/>
  <c r="C374"/>
  <c r="F374"/>
  <c r="I374"/>
  <c r="L374"/>
  <c r="B382"/>
  <c r="D382"/>
  <c r="E382"/>
  <c r="F382"/>
  <c r="G382"/>
  <c r="J382"/>
  <c r="K382"/>
  <c r="L382"/>
  <c r="M382"/>
  <c r="B384"/>
  <c r="B386"/>
  <c r="B398"/>
  <c r="B399"/>
  <c r="D399"/>
  <c r="J399"/>
  <c r="B400"/>
  <c r="D400"/>
  <c r="J400"/>
  <c r="E401"/>
  <c r="K401"/>
  <c r="E402"/>
  <c r="F402"/>
  <c r="K402"/>
  <c r="L402"/>
  <c r="E403"/>
  <c r="K403"/>
  <c r="C407"/>
  <c r="F407"/>
  <c r="I407"/>
  <c r="L407"/>
  <c r="C408"/>
  <c r="F408"/>
  <c r="I408"/>
  <c r="L408"/>
  <c r="F409"/>
  <c r="L409"/>
  <c r="B416"/>
  <c r="D416"/>
  <c r="E416"/>
  <c r="F416"/>
  <c r="G416"/>
  <c r="J416"/>
  <c r="K416"/>
  <c r="L416"/>
  <c r="M416"/>
  <c r="B418"/>
  <c r="B420"/>
  <c r="B432"/>
  <c r="D433"/>
  <c r="J433"/>
  <c r="B434"/>
  <c r="D434"/>
  <c r="J434"/>
  <c r="E435"/>
  <c r="K435"/>
  <c r="E437"/>
  <c r="F437"/>
  <c r="K437"/>
  <c r="L437"/>
  <c r="E438"/>
  <c r="K438"/>
  <c r="C442"/>
  <c r="F442"/>
  <c r="I442"/>
  <c r="L442"/>
  <c r="C443"/>
  <c r="F443"/>
  <c r="I443"/>
  <c r="L443"/>
  <c r="B451"/>
  <c r="D451"/>
  <c r="E451"/>
  <c r="F451"/>
  <c r="G451"/>
  <c r="J451"/>
  <c r="K451"/>
  <c r="L451"/>
  <c r="M451"/>
  <c r="B453"/>
  <c r="B455"/>
  <c r="B467"/>
  <c r="B468"/>
  <c r="D468"/>
  <c r="J468"/>
  <c r="B469"/>
  <c r="D469"/>
  <c r="J469"/>
  <c r="E470"/>
  <c r="K470"/>
  <c r="E471"/>
  <c r="F471"/>
  <c r="K471"/>
  <c r="L471"/>
  <c r="E472"/>
  <c r="K472"/>
  <c r="C476"/>
  <c r="F476"/>
  <c r="I476"/>
  <c r="L476"/>
  <c r="C477"/>
  <c r="F477"/>
  <c r="I477"/>
  <c r="L477"/>
  <c r="B485"/>
  <c r="D485"/>
  <c r="E485"/>
  <c r="F485"/>
  <c r="G485"/>
  <c r="J485"/>
  <c r="K485"/>
  <c r="L485"/>
  <c r="M485"/>
  <c r="B487"/>
  <c r="B489"/>
  <c r="B501"/>
  <c r="B502"/>
  <c r="D502"/>
  <c r="J502"/>
  <c r="B503"/>
  <c r="D503"/>
  <c r="J503"/>
  <c r="E504"/>
  <c r="K504"/>
  <c r="E505"/>
  <c r="F505"/>
  <c r="K505"/>
  <c r="L505"/>
  <c r="E506"/>
  <c r="K506"/>
  <c r="C510"/>
  <c r="F510"/>
  <c r="I510"/>
  <c r="L510"/>
  <c r="C511"/>
  <c r="F511"/>
  <c r="I511"/>
  <c r="L511"/>
  <c r="B519"/>
  <c r="D519"/>
  <c r="E519"/>
  <c r="F519"/>
  <c r="G519"/>
  <c r="J519"/>
  <c r="K519"/>
  <c r="L519"/>
  <c r="M519"/>
  <c r="B521"/>
  <c r="B523"/>
  <c r="B535"/>
  <c r="B536"/>
  <c r="D536"/>
  <c r="J536"/>
  <c r="B537"/>
  <c r="D537"/>
  <c r="J537"/>
  <c r="E538"/>
  <c r="K538"/>
  <c r="E539"/>
  <c r="F539"/>
  <c r="K539"/>
  <c r="L539"/>
  <c r="E540"/>
  <c r="K540"/>
  <c r="C544"/>
  <c r="F544"/>
  <c r="I544"/>
  <c r="L544"/>
  <c r="C545"/>
  <c r="F545"/>
  <c r="I545"/>
  <c r="L545"/>
  <c r="B553"/>
  <c r="D553"/>
  <c r="E553"/>
  <c r="F553"/>
  <c r="G553"/>
  <c r="J553"/>
  <c r="K553"/>
  <c r="L553"/>
  <c r="M553"/>
  <c r="B555"/>
  <c r="B557"/>
  <c r="B569"/>
  <c r="B570"/>
  <c r="D570"/>
  <c r="J570"/>
  <c r="B571"/>
  <c r="D571"/>
  <c r="J571"/>
  <c r="E572"/>
  <c r="K572"/>
  <c r="E573"/>
  <c r="F573"/>
  <c r="K573"/>
  <c r="L573"/>
  <c r="E574"/>
  <c r="K574"/>
  <c r="C578"/>
  <c r="F578"/>
  <c r="I578"/>
  <c r="L578"/>
  <c r="C579"/>
  <c r="F579"/>
  <c r="I579"/>
  <c r="L579"/>
  <c r="B587"/>
  <c r="D587"/>
  <c r="E587"/>
  <c r="F587"/>
  <c r="G587"/>
  <c r="J587"/>
  <c r="K587"/>
  <c r="L587"/>
  <c r="M587"/>
  <c r="B589"/>
  <c r="B591"/>
  <c r="B603"/>
  <c r="B604"/>
  <c r="D604"/>
  <c r="J604"/>
  <c r="B605"/>
  <c r="D605"/>
  <c r="J605"/>
  <c r="E606"/>
  <c r="K606"/>
  <c r="E607"/>
  <c r="F607"/>
  <c r="K607"/>
  <c r="L607"/>
  <c r="E608"/>
  <c r="K608"/>
  <c r="C612"/>
  <c r="F612"/>
  <c r="I612"/>
  <c r="L612"/>
  <c r="C613"/>
  <c r="F613"/>
  <c r="I613"/>
  <c r="L613"/>
  <c r="B621"/>
  <c r="D621"/>
  <c r="E621"/>
  <c r="F621"/>
  <c r="G621"/>
  <c r="J621"/>
  <c r="K621"/>
  <c r="L621"/>
  <c r="M621"/>
  <c r="B623"/>
  <c r="B625"/>
  <c r="B637"/>
  <c r="B638"/>
  <c r="D638"/>
  <c r="J638"/>
  <c r="B639"/>
  <c r="D639"/>
  <c r="J639"/>
  <c r="E640"/>
  <c r="K640"/>
  <c r="E641"/>
  <c r="F641"/>
  <c r="K641"/>
  <c r="L641"/>
  <c r="E642"/>
  <c r="K642"/>
  <c r="C646"/>
  <c r="F646"/>
  <c r="I646"/>
  <c r="L646"/>
  <c r="C647"/>
  <c r="F647"/>
  <c r="I647"/>
  <c r="L647"/>
  <c r="B655"/>
  <c r="D655"/>
  <c r="E655"/>
  <c r="F655"/>
  <c r="G655"/>
  <c r="J655"/>
  <c r="K655"/>
  <c r="L655"/>
  <c r="M655"/>
  <c r="B657"/>
  <c r="B659"/>
  <c r="B671"/>
  <c r="B672"/>
  <c r="D672"/>
  <c r="J672"/>
  <c r="B673"/>
  <c r="D673"/>
  <c r="J673"/>
  <c r="E674"/>
  <c r="K674"/>
  <c r="E675"/>
  <c r="F675"/>
  <c r="K675"/>
  <c r="L675"/>
  <c r="E676"/>
  <c r="K676"/>
  <c r="C680"/>
  <c r="F680"/>
  <c r="I680"/>
  <c r="L680"/>
  <c r="C681"/>
  <c r="F681"/>
  <c r="I681"/>
  <c r="L681"/>
  <c r="B689"/>
  <c r="D689"/>
  <c r="E689"/>
  <c r="F689"/>
  <c r="G689"/>
  <c r="J689"/>
  <c r="K689"/>
  <c r="L689"/>
  <c r="M689"/>
  <c r="B691"/>
  <c r="B693"/>
  <c r="B705"/>
  <c r="D706"/>
  <c r="J706"/>
  <c r="B707"/>
  <c r="D707"/>
  <c r="J707"/>
  <c r="E708"/>
  <c r="K708"/>
  <c r="E709"/>
  <c r="F709"/>
  <c r="K709"/>
  <c r="L709"/>
  <c r="E710"/>
  <c r="K710"/>
  <c r="C714"/>
  <c r="F714"/>
  <c r="I714"/>
  <c r="L714"/>
  <c r="C715"/>
  <c r="F715"/>
  <c r="I715"/>
  <c r="L715"/>
  <c r="B723"/>
  <c r="D723"/>
  <c r="E723"/>
  <c r="F723"/>
  <c r="G723"/>
  <c r="J723"/>
  <c r="K723"/>
  <c r="L723"/>
  <c r="M723"/>
  <c r="B725"/>
  <c r="B727"/>
  <c r="B739"/>
  <c r="B740"/>
  <c r="D740"/>
  <c r="J740"/>
  <c r="B741"/>
  <c r="D741"/>
  <c r="J741"/>
  <c r="E742"/>
  <c r="K742"/>
  <c r="E743"/>
  <c r="F743"/>
  <c r="K743"/>
  <c r="L743"/>
  <c r="E744"/>
  <c r="K744"/>
  <c r="C748"/>
  <c r="F748"/>
  <c r="I748"/>
  <c r="L748"/>
  <c r="C749"/>
  <c r="F749"/>
  <c r="I749"/>
  <c r="L749"/>
  <c r="B757"/>
  <c r="D757"/>
  <c r="E757"/>
  <c r="F757"/>
  <c r="G757"/>
  <c r="J757"/>
  <c r="K757"/>
  <c r="L757"/>
  <c r="M757"/>
  <c r="B759"/>
  <c r="B761"/>
  <c r="B773"/>
  <c r="B774"/>
  <c r="D774"/>
  <c r="J774"/>
  <c r="B775"/>
  <c r="D775"/>
  <c r="J775"/>
  <c r="E776"/>
  <c r="K776"/>
  <c r="E777"/>
  <c r="F777"/>
  <c r="K777"/>
  <c r="L777"/>
  <c r="E778"/>
  <c r="K778"/>
  <c r="C782"/>
  <c r="F782"/>
  <c r="I782"/>
  <c r="L782"/>
  <c r="C783"/>
  <c r="F783"/>
  <c r="I783"/>
  <c r="L783"/>
  <c r="B791"/>
  <c r="D791"/>
  <c r="E791"/>
  <c r="F791"/>
  <c r="G791"/>
  <c r="J791"/>
  <c r="K791"/>
  <c r="L791"/>
  <c r="M791"/>
  <c r="B793"/>
  <c r="B795"/>
  <c r="B807"/>
  <c r="B808"/>
  <c r="D808"/>
  <c r="J808"/>
  <c r="B809"/>
  <c r="D809"/>
  <c r="J809"/>
  <c r="E810"/>
  <c r="K810"/>
  <c r="E811"/>
  <c r="F811"/>
  <c r="K811"/>
  <c r="L811"/>
  <c r="E812"/>
  <c r="K812"/>
  <c r="C816"/>
  <c r="F816"/>
  <c r="I816"/>
  <c r="L816"/>
  <c r="C817"/>
  <c r="F817"/>
  <c r="I817"/>
  <c r="L817"/>
  <c r="B825"/>
  <c r="D825"/>
  <c r="E825"/>
  <c r="F825"/>
  <c r="G825"/>
  <c r="J825"/>
  <c r="K825"/>
  <c r="L825"/>
  <c r="M825"/>
  <c r="B827"/>
  <c r="B829"/>
  <c r="E836"/>
  <c r="K836"/>
  <c r="E837"/>
  <c r="F837"/>
  <c r="K837"/>
  <c r="L837"/>
  <c r="E838"/>
  <c r="K838"/>
  <c r="C842"/>
  <c r="F842"/>
  <c r="I842"/>
  <c r="L842"/>
  <c r="C843"/>
  <c r="F843"/>
  <c r="I843"/>
  <c r="L843"/>
  <c r="B851"/>
  <c r="D851"/>
  <c r="E851"/>
  <c r="F851"/>
  <c r="G851"/>
  <c r="J851"/>
  <c r="K851"/>
  <c r="L851"/>
  <c r="M851"/>
  <c r="B853"/>
  <c r="B855"/>
  <c r="E862"/>
  <c r="K862"/>
  <c r="E863"/>
  <c r="F863"/>
  <c r="K863"/>
  <c r="L863"/>
  <c r="E864"/>
  <c r="K864"/>
  <c r="C868"/>
  <c r="F868"/>
  <c r="I868"/>
  <c r="L868"/>
  <c r="C869"/>
  <c r="F869"/>
  <c r="I869"/>
  <c r="L869"/>
  <c r="B877"/>
  <c r="D877"/>
  <c r="E877"/>
  <c r="F877"/>
  <c r="G877"/>
  <c r="J877"/>
  <c r="K877"/>
  <c r="L877"/>
  <c r="M877"/>
  <c r="B879"/>
  <c r="B881"/>
  <c r="E888"/>
  <c r="K888"/>
  <c r="E889"/>
  <c r="F889"/>
  <c r="K889"/>
  <c r="L889"/>
  <c r="E890"/>
  <c r="K890"/>
  <c r="C894"/>
  <c r="F894"/>
  <c r="I894"/>
  <c r="L894"/>
  <c r="C895"/>
  <c r="F895"/>
  <c r="I895"/>
  <c r="L895"/>
  <c r="B903"/>
  <c r="D903"/>
  <c r="J903"/>
  <c r="K903"/>
  <c r="L903"/>
  <c r="M903"/>
  <c r="B905"/>
  <c r="B907"/>
  <c r="E914"/>
  <c r="K914"/>
  <c r="E915"/>
  <c r="F915"/>
  <c r="K915"/>
  <c r="L915"/>
  <c r="E916"/>
  <c r="K916"/>
  <c r="C920"/>
  <c r="F920"/>
  <c r="I920"/>
  <c r="L920"/>
  <c r="C921"/>
  <c r="F921"/>
  <c r="I921"/>
  <c r="L921"/>
  <c r="B928"/>
  <c r="D928"/>
  <c r="E928"/>
  <c r="F928"/>
  <c r="G928"/>
  <c r="J928"/>
  <c r="K928"/>
  <c r="L928"/>
  <c r="M928"/>
  <c r="B930"/>
  <c r="L933"/>
  <c r="M933" s="1"/>
  <c r="M932" s="1"/>
  <c r="L935"/>
  <c r="B932"/>
  <c r="B933"/>
  <c r="D933"/>
  <c r="J933"/>
  <c r="E934"/>
  <c r="K934"/>
  <c r="E935"/>
  <c r="F935"/>
  <c r="K935"/>
  <c r="E936"/>
  <c r="K936"/>
  <c r="C940"/>
  <c r="F940"/>
  <c r="I940"/>
  <c r="L940"/>
  <c r="C941"/>
  <c r="F941"/>
  <c r="I941"/>
  <c r="L941"/>
  <c r="B948"/>
  <c r="D948"/>
  <c r="E948"/>
  <c r="F948"/>
  <c r="G948"/>
  <c r="J948"/>
  <c r="K948"/>
  <c r="L948"/>
  <c r="M948"/>
  <c r="B950"/>
  <c r="E952"/>
  <c r="K952"/>
  <c r="E953"/>
  <c r="F953"/>
  <c r="K953"/>
  <c r="L953"/>
  <c r="E954"/>
  <c r="K954"/>
  <c r="C958"/>
  <c r="F958"/>
  <c r="I958"/>
  <c r="L958"/>
  <c r="C959"/>
  <c r="F959"/>
  <c r="I959"/>
  <c r="L959"/>
  <c r="B966"/>
  <c r="D966"/>
  <c r="E966"/>
  <c r="F966"/>
  <c r="G966"/>
  <c r="J966"/>
  <c r="K966"/>
  <c r="L966"/>
  <c r="M966"/>
  <c r="B968"/>
  <c r="L971"/>
  <c r="M971" s="1"/>
  <c r="M970" s="1"/>
  <c r="B970"/>
  <c r="E972"/>
  <c r="K972"/>
  <c r="E973"/>
  <c r="F973"/>
  <c r="K973"/>
  <c r="L973"/>
  <c r="E974"/>
  <c r="K974"/>
  <c r="C978"/>
  <c r="F978"/>
  <c r="I978"/>
  <c r="L978"/>
  <c r="C979"/>
  <c r="F979"/>
  <c r="I979"/>
  <c r="L979"/>
  <c r="B986"/>
  <c r="D986"/>
  <c r="E986"/>
  <c r="F986"/>
  <c r="G986"/>
  <c r="J986"/>
  <c r="K986"/>
  <c r="L986"/>
  <c r="M986"/>
  <c r="B988"/>
  <c r="B990"/>
  <c r="E992"/>
  <c r="K992"/>
  <c r="E993"/>
  <c r="F993"/>
  <c r="K993"/>
  <c r="L993"/>
  <c r="E994"/>
  <c r="K994"/>
  <c r="C998"/>
  <c r="F998"/>
  <c r="I998"/>
  <c r="L998"/>
  <c r="C999"/>
  <c r="F999"/>
  <c r="I999"/>
  <c r="L999"/>
  <c r="B1006"/>
  <c r="D1006"/>
  <c r="E1006"/>
  <c r="F1006"/>
  <c r="G1006"/>
  <c r="J1006"/>
  <c r="K1006"/>
  <c r="L1006"/>
  <c r="M1006"/>
  <c r="B1008"/>
  <c r="B1010"/>
  <c r="B1014"/>
  <c r="B1015"/>
  <c r="D1015"/>
  <c r="J1015"/>
  <c r="E1016"/>
  <c r="K1016"/>
  <c r="E1017"/>
  <c r="F1017"/>
  <c r="K1017"/>
  <c r="L1017"/>
  <c r="E1018"/>
  <c r="K1018"/>
  <c r="C1022"/>
  <c r="F1022"/>
  <c r="I1022"/>
  <c r="L1022"/>
  <c r="C1023"/>
  <c r="F1023"/>
  <c r="I1023"/>
  <c r="L1023"/>
  <c r="G9" i="8"/>
  <c r="G10"/>
  <c r="G12"/>
  <c r="G13"/>
  <c r="G14"/>
  <c r="G16"/>
  <c r="G17"/>
  <c r="H12" i="45"/>
  <c r="I12" s="1"/>
  <c r="H14"/>
  <c r="I14" s="1"/>
  <c r="H16"/>
  <c r="I16"/>
  <c r="H18"/>
  <c r="I18" s="1"/>
  <c r="H20"/>
  <c r="I20"/>
  <c r="H22"/>
  <c r="I22" s="1"/>
  <c r="H24"/>
  <c r="I24"/>
  <c r="H26"/>
  <c r="I26" s="1"/>
  <c r="H28"/>
  <c r="I28"/>
  <c r="H32"/>
  <c r="I32" s="1"/>
  <c r="H34"/>
  <c r="I34"/>
  <c r="H36"/>
  <c r="I36" s="1"/>
  <c r="H38"/>
  <c r="I38"/>
  <c r="H40"/>
  <c r="I40" s="1"/>
  <c r="H42"/>
  <c r="I42"/>
  <c r="H46"/>
  <c r="I46" s="1"/>
  <c r="H50"/>
  <c r="I50"/>
  <c r="H52"/>
  <c r="I52" s="1"/>
  <c r="H54"/>
  <c r="I54"/>
  <c r="H56"/>
  <c r="I56" s="1"/>
  <c r="H58"/>
  <c r="I58"/>
  <c r="H60"/>
  <c r="I60" s="1"/>
  <c r="H64"/>
  <c r="I64"/>
  <c r="H66"/>
  <c r="I66" s="1"/>
  <c r="H68"/>
  <c r="I68"/>
  <c r="H70"/>
  <c r="I70" s="1"/>
  <c r="H72"/>
  <c r="I72"/>
  <c r="H74"/>
  <c r="I74" s="1"/>
  <c r="H76"/>
  <c r="I76"/>
  <c r="H78"/>
  <c r="I78" s="1"/>
  <c r="H80"/>
  <c r="I80"/>
  <c r="H82"/>
  <c r="I82" s="1"/>
  <c r="H84"/>
  <c r="I84"/>
  <c r="H86"/>
  <c r="I86" s="1"/>
  <c r="H88"/>
  <c r="I88"/>
  <c r="H90"/>
  <c r="I90" s="1"/>
  <c r="G19" i="46"/>
  <c r="G20"/>
  <c r="F477" i="23" s="1"/>
  <c r="G477" s="1"/>
  <c r="G29" i="46"/>
  <c r="E102"/>
  <c r="G39"/>
  <c r="G41"/>
  <c r="F579" i="20"/>
  <c r="G579" s="1"/>
  <c r="G42" i="46"/>
  <c r="F552" i="20" s="1"/>
  <c r="G552" s="1"/>
  <c r="G43" i="46"/>
  <c r="G45"/>
  <c r="F627" i="21"/>
  <c r="G627" s="1"/>
  <c r="G626" s="1"/>
  <c r="G46" i="46"/>
  <c r="F649" i="21"/>
  <c r="G649" s="1"/>
  <c r="G648" s="1"/>
  <c r="G47" i="46"/>
  <c r="F671" i="21"/>
  <c r="G671" s="1"/>
  <c r="G670" s="1"/>
  <c r="G48" i="46"/>
  <c r="G51"/>
  <c r="G61"/>
  <c r="G70"/>
  <c r="G73"/>
  <c r="G77"/>
  <c r="G82"/>
  <c r="F212" i="23" s="1"/>
  <c r="G212" s="1"/>
  <c r="G211" s="1"/>
  <c r="G85" i="46"/>
  <c r="F349" i="28"/>
  <c r="G349" s="1"/>
  <c r="G348" s="1"/>
  <c r="G350" s="1"/>
  <c r="G89" i="46"/>
  <c r="G94"/>
  <c r="G96"/>
  <c r="E101"/>
  <c r="G104"/>
  <c r="D11" i="30"/>
  <c r="E12"/>
  <c r="F12" s="1"/>
  <c r="D13"/>
  <c r="E13" s="1"/>
  <c r="F13" s="1"/>
  <c r="D14"/>
  <c r="D15"/>
  <c r="D16"/>
  <c r="BF6" i="43" s="1"/>
  <c r="BF12" s="1"/>
  <c r="BF39" s="1"/>
  <c r="D17" i="30"/>
  <c r="W6" i="43" s="1"/>
  <c r="D22" i="30"/>
  <c r="F546" i="23" s="1"/>
  <c r="G546" s="1"/>
  <c r="G545" s="1"/>
  <c r="D23" i="30"/>
  <c r="E23" s="1"/>
  <c r="F23" s="1"/>
  <c r="D24"/>
  <c r="A1" i="48"/>
  <c r="C5"/>
  <c r="D5"/>
  <c r="E5"/>
  <c r="F5"/>
  <c r="G5"/>
  <c r="A6"/>
  <c r="B6"/>
  <c r="C6"/>
  <c r="D6"/>
  <c r="E6"/>
  <c r="F6"/>
  <c r="G6"/>
  <c r="A7"/>
  <c r="B7"/>
  <c r="A8"/>
  <c r="B8"/>
  <c r="A9"/>
  <c r="B9"/>
  <c r="A10"/>
  <c r="B10"/>
  <c r="A11"/>
  <c r="B11"/>
  <c r="A12"/>
  <c r="E54" i="45"/>
  <c r="D49" i="43"/>
  <c r="BX6"/>
  <c r="BX12" s="1"/>
  <c r="BX39" s="1"/>
  <c r="N281" i="18"/>
  <c r="O281" s="1"/>
  <c r="O280" s="1"/>
  <c r="V283" i="16"/>
  <c r="G452" i="23"/>
  <c r="G136"/>
  <c r="N1065" i="21"/>
  <c r="O1065"/>
  <c r="N1586"/>
  <c r="O1586"/>
  <c r="B442"/>
  <c r="B418"/>
  <c r="N729" i="20"/>
  <c r="O729"/>
  <c r="N162" i="23"/>
  <c r="O162"/>
  <c r="N429"/>
  <c r="O429"/>
  <c r="N145" i="18"/>
  <c r="O145"/>
  <c r="O144" s="1"/>
  <c r="N264"/>
  <c r="O264" s="1"/>
  <c r="O263" s="1"/>
  <c r="N289"/>
  <c r="O289" s="1"/>
  <c r="O288" s="1"/>
  <c r="N370" i="28"/>
  <c r="O370" s="1"/>
  <c r="B368" i="21"/>
  <c r="B293"/>
  <c r="B319"/>
  <c r="N392"/>
  <c r="O392" s="1"/>
  <c r="N269"/>
  <c r="O269" s="1"/>
  <c r="N418"/>
  <c r="O418" s="1"/>
  <c r="N319"/>
  <c r="O319" s="1"/>
  <c r="O878"/>
  <c r="N1326"/>
  <c r="O1326" s="1"/>
  <c r="N1378"/>
  <c r="O1378" s="1"/>
  <c r="N1094"/>
  <c r="O1094" s="1"/>
  <c r="N167" i="18"/>
  <c r="O167" s="1"/>
  <c r="G102" i="46"/>
  <c r="N441" i="21"/>
  <c r="O441" s="1"/>
  <c r="N342"/>
  <c r="O342" s="1"/>
  <c r="E46" i="45"/>
  <c r="F46" s="1"/>
  <c r="N782" i="21"/>
  <c r="O782" s="1"/>
  <c r="O781" s="1"/>
  <c r="F1695"/>
  <c r="G1695" s="1"/>
  <c r="G1694" s="1"/>
  <c r="F171" i="20"/>
  <c r="G171" s="1"/>
  <c r="G170" s="1"/>
  <c r="F1673" i="21"/>
  <c r="G1673" s="1"/>
  <c r="G1672" s="1"/>
  <c r="N182" i="28"/>
  <c r="O182" s="1"/>
  <c r="L149" i="16"/>
  <c r="M149" s="1"/>
  <c r="L114"/>
  <c r="M114" s="1"/>
  <c r="L497"/>
  <c r="M497" s="1"/>
  <c r="L428"/>
  <c r="M428" s="1"/>
  <c r="L565"/>
  <c r="M565" s="1"/>
  <c r="L803"/>
  <c r="M803" s="1"/>
  <c r="L701"/>
  <c r="M701" s="1"/>
  <c r="W292"/>
  <c r="X292" s="1"/>
  <c r="N212" i="18"/>
  <c r="O212" s="1"/>
  <c r="L599" i="16"/>
  <c r="M599" s="1"/>
  <c r="L633"/>
  <c r="M633" s="1"/>
  <c r="L326"/>
  <c r="M326" s="1"/>
  <c r="L360"/>
  <c r="M360" s="1"/>
  <c r="L531"/>
  <c r="M531" s="1"/>
  <c r="L292"/>
  <c r="M292" s="1"/>
  <c r="L463"/>
  <c r="M463" s="1"/>
  <c r="L259"/>
  <c r="M259" s="1"/>
  <c r="L735"/>
  <c r="M735" s="1"/>
  <c r="L394"/>
  <c r="M394" s="1"/>
  <c r="L81"/>
  <c r="M81" s="1"/>
  <c r="L667"/>
  <c r="M667" s="1"/>
  <c r="L769"/>
  <c r="M769" s="1"/>
  <c r="N1057" i="21"/>
  <c r="O1057" s="1"/>
  <c r="N120" i="22"/>
  <c r="O120" s="1"/>
  <c r="N48" i="21"/>
  <c r="O48" s="1"/>
  <c r="N1271"/>
  <c r="O1271" s="1"/>
  <c r="L146" i="16"/>
  <c r="M146" s="1"/>
  <c r="L355"/>
  <c r="M355" s="1"/>
  <c r="N160" i="23"/>
  <c r="O160" s="1"/>
  <c r="L730" i="16"/>
  <c r="M730" s="1"/>
  <c r="L628"/>
  <c r="M628" s="1"/>
  <c r="L696"/>
  <c r="M696" s="1"/>
  <c r="N1062" i="21"/>
  <c r="O1062" s="1"/>
  <c r="N969"/>
  <c r="O969" s="1"/>
  <c r="N1000"/>
  <c r="O1000" s="1"/>
  <c r="L287" i="16"/>
  <c r="M287" s="1"/>
  <c r="L423"/>
  <c r="M423" s="1"/>
  <c r="L911"/>
  <c r="M911" s="1"/>
  <c r="L764"/>
  <c r="M764" s="1"/>
  <c r="L885"/>
  <c r="M885" s="1"/>
  <c r="L389"/>
  <c r="M389" s="1"/>
  <c r="L662"/>
  <c r="M662" s="1"/>
  <c r="N1209" i="21"/>
  <c r="O1209" s="1"/>
  <c r="L321" i="16"/>
  <c r="M321" s="1"/>
  <c r="L111"/>
  <c r="M111" s="1"/>
  <c r="L526"/>
  <c r="M526" s="1"/>
  <c r="L560"/>
  <c r="M560" s="1"/>
  <c r="W287"/>
  <c r="X287" s="1"/>
  <c r="L833"/>
  <c r="M833" s="1"/>
  <c r="L859"/>
  <c r="M859" s="1"/>
  <c r="N1240" i="21"/>
  <c r="O1240" s="1"/>
  <c r="L458" i="16"/>
  <c r="M458" s="1"/>
  <c r="L492"/>
  <c r="M492" s="1"/>
  <c r="L798"/>
  <c r="M798" s="1"/>
  <c r="L594"/>
  <c r="M594" s="1"/>
  <c r="N1031" i="21"/>
  <c r="O1031" s="1"/>
  <c r="L204" i="16"/>
  <c r="M204" s="1"/>
  <c r="L78"/>
  <c r="M78" s="1"/>
  <c r="G31" i="23"/>
  <c r="N185" i="22"/>
  <c r="O185" s="1"/>
  <c r="N118" i="18"/>
  <c r="O118" s="1"/>
  <c r="N700" i="23"/>
  <c r="O700" s="1"/>
  <c r="N547" i="20"/>
  <c r="O547" s="1"/>
  <c r="L258" i="16"/>
  <c r="M258" s="1"/>
  <c r="L1013"/>
  <c r="M1013" s="1"/>
  <c r="N493" i="20"/>
  <c r="O493" s="1"/>
  <c r="N751"/>
  <c r="O751" s="1"/>
  <c r="N390"/>
  <c r="O390" s="1"/>
  <c r="N367" i="28"/>
  <c r="O367" s="1"/>
  <c r="O366" s="1"/>
  <c r="L666" i="16"/>
  <c r="M666" s="1"/>
  <c r="L496"/>
  <c r="M496" s="1"/>
  <c r="L564"/>
  <c r="M564" s="1"/>
  <c r="L147"/>
  <c r="M147" s="1"/>
  <c r="L427"/>
  <c r="M427" s="1"/>
  <c r="N995" i="21"/>
  <c r="O995" s="1"/>
  <c r="N877"/>
  <c r="O877" s="1"/>
  <c r="N1026"/>
  <c r="O1026" s="1"/>
  <c r="N935"/>
  <c r="O935" s="1"/>
  <c r="N937"/>
  <c r="O937" s="1"/>
  <c r="N938"/>
  <c r="O938" s="1"/>
  <c r="N848"/>
  <c r="O848" s="1"/>
  <c r="N1204"/>
  <c r="O1204" s="1"/>
  <c r="N1146"/>
  <c r="O1146" s="1"/>
  <c r="N1088"/>
  <c r="O1088" s="1"/>
  <c r="N1090"/>
  <c r="O1090" s="1"/>
  <c r="N1091"/>
  <c r="O1091" s="1"/>
  <c r="N1235"/>
  <c r="O1235" s="1"/>
  <c r="N1266"/>
  <c r="O1266" s="1"/>
  <c r="N1117"/>
  <c r="O1117" s="1"/>
  <c r="N1175"/>
  <c r="O1175" s="1"/>
  <c r="N906"/>
  <c r="O906" s="1"/>
  <c r="N964"/>
  <c r="O964" s="1"/>
  <c r="N692"/>
  <c r="O692" s="1"/>
  <c r="N161" i="28"/>
  <c r="O161" s="1"/>
  <c r="N30" i="22"/>
  <c r="O30" s="1"/>
  <c r="N248"/>
  <c r="O248" s="1"/>
  <c r="N227"/>
  <c r="O227" s="1"/>
  <c r="N206"/>
  <c r="O206" s="1"/>
  <c r="N144"/>
  <c r="O144" s="1"/>
  <c r="N31"/>
  <c r="O31" s="1"/>
  <c r="N208"/>
  <c r="O208" s="1"/>
  <c r="N271"/>
  <c r="O271" s="1"/>
  <c r="N229"/>
  <c r="O229" s="1"/>
  <c r="N317"/>
  <c r="O317" s="1"/>
  <c r="N250"/>
  <c r="O250" s="1"/>
  <c r="N294"/>
  <c r="O294" s="1"/>
  <c r="N850" i="21"/>
  <c r="O850" s="1"/>
  <c r="N1177"/>
  <c r="O1177" s="1"/>
  <c r="N1119"/>
  <c r="O1119" s="1"/>
  <c r="N1120"/>
  <c r="O1120" s="1"/>
  <c r="N119" i="18"/>
  <c r="O119" s="1"/>
  <c r="N255" i="17"/>
  <c r="O255" s="1"/>
  <c r="N1205" i="21"/>
  <c r="O1205" s="1"/>
  <c r="N261" i="18"/>
  <c r="O261" s="1"/>
  <c r="N1236" i="21"/>
  <c r="O1236" s="1"/>
  <c r="N230" i="17"/>
  <c r="O230" s="1"/>
  <c r="N879" i="21"/>
  <c r="O879" s="1"/>
  <c r="N996"/>
  <c r="O996" s="1"/>
  <c r="N1027"/>
  <c r="O1027" s="1"/>
  <c r="N1058"/>
  <c r="O1058" s="1"/>
  <c r="N1267"/>
  <c r="O1267"/>
  <c r="N965"/>
  <c r="O965" s="1"/>
  <c r="N286" i="18"/>
  <c r="O286" s="1"/>
  <c r="N1148" i="21"/>
  <c r="O1148" s="1"/>
  <c r="N31" i="17"/>
  <c r="O31" s="1"/>
  <c r="N143" i="18"/>
  <c r="O143" s="1"/>
  <c r="N908" i="21"/>
  <c r="O908" s="1"/>
  <c r="L83" i="16"/>
  <c r="M83" s="1"/>
  <c r="L568"/>
  <c r="M568" s="1"/>
  <c r="L397"/>
  <c r="M397" s="1"/>
  <c r="N296" i="22"/>
  <c r="O296" s="1"/>
  <c r="N299" i="17"/>
  <c r="O299" s="1"/>
  <c r="L602" i="16"/>
  <c r="M602" s="1"/>
  <c r="L636"/>
  <c r="M636" s="1"/>
  <c r="L670"/>
  <c r="M670" s="1"/>
  <c r="N187" i="22"/>
  <c r="O187" s="1"/>
  <c r="N206" i="17"/>
  <c r="O206" s="1"/>
  <c r="L738" i="16"/>
  <c r="M738" s="1"/>
  <c r="L772"/>
  <c r="M772" s="1"/>
  <c r="L806"/>
  <c r="M806" s="1"/>
  <c r="L206"/>
  <c r="M206" s="1"/>
  <c r="L860"/>
  <c r="M860" s="1"/>
  <c r="L886"/>
  <c r="M886" s="1"/>
  <c r="N262" i="18"/>
  <c r="O262" s="1"/>
  <c r="L431" i="16"/>
  <c r="M431" s="1"/>
  <c r="L704"/>
  <c r="M704" s="1"/>
  <c r="L295"/>
  <c r="M295" s="1"/>
  <c r="L500"/>
  <c r="M500" s="1"/>
  <c r="L534"/>
  <c r="M534" s="1"/>
  <c r="L466"/>
  <c r="M466" s="1"/>
  <c r="N319" i="22"/>
  <c r="O319" s="1"/>
  <c r="N278" i="17"/>
  <c r="O278" s="1"/>
  <c r="L152" i="16"/>
  <c r="M152" s="1"/>
  <c r="N273" i="22"/>
  <c r="O273" s="1"/>
  <c r="L834" i="16"/>
  <c r="M834" s="1"/>
  <c r="L363"/>
  <c r="M363" s="1"/>
  <c r="L116"/>
  <c r="M116" s="1"/>
  <c r="W295"/>
  <c r="X295" s="1"/>
  <c r="L912"/>
  <c r="M912" s="1"/>
  <c r="L329"/>
  <c r="M329" s="1"/>
  <c r="N119" i="22"/>
  <c r="O119" s="1"/>
  <c r="N142"/>
  <c r="O142" s="1"/>
  <c r="N164"/>
  <c r="O164" s="1"/>
  <c r="L151" i="16"/>
  <c r="M151" s="1"/>
  <c r="N213" i="18"/>
  <c r="O213" s="1"/>
  <c r="L260" i="16"/>
  <c r="M260" s="1"/>
  <c r="L669"/>
  <c r="M669" s="1"/>
  <c r="L294"/>
  <c r="M294" s="1"/>
  <c r="L737"/>
  <c r="M737" s="1"/>
  <c r="L635"/>
  <c r="M635" s="1"/>
  <c r="W294"/>
  <c r="X294" s="1"/>
  <c r="L396"/>
  <c r="M396" s="1"/>
  <c r="N237" i="18"/>
  <c r="O237" s="1"/>
  <c r="L533" i="16"/>
  <c r="M533" s="1"/>
  <c r="L805"/>
  <c r="M805" s="1"/>
  <c r="L465"/>
  <c r="M465" s="1"/>
  <c r="L771"/>
  <c r="M771" s="1"/>
  <c r="L362"/>
  <c r="M362" s="1"/>
  <c r="L601"/>
  <c r="M601" s="1"/>
  <c r="L499"/>
  <c r="M499" s="1"/>
  <c r="L82"/>
  <c r="M82" s="1"/>
  <c r="L703"/>
  <c r="M703" s="1"/>
  <c r="L567"/>
  <c r="M567" s="1"/>
  <c r="L430"/>
  <c r="M430" s="1"/>
  <c r="L115"/>
  <c r="M115" s="1"/>
  <c r="L328"/>
  <c r="M328" s="1"/>
  <c r="N220" i="28"/>
  <c r="O220" s="1"/>
  <c r="N180"/>
  <c r="O180" s="1"/>
  <c r="N165" i="22"/>
  <c r="O165" s="1"/>
  <c r="L598" i="16"/>
  <c r="M598" s="1"/>
  <c r="L768"/>
  <c r="M768" s="1"/>
  <c r="W291"/>
  <c r="X291" s="1"/>
  <c r="N1653" i="21"/>
  <c r="O1653" s="1"/>
  <c r="L462" i="16"/>
  <c r="M462" s="1"/>
  <c r="L632"/>
  <c r="M632" s="1"/>
  <c r="L734"/>
  <c r="M734" s="1"/>
  <c r="L913"/>
  <c r="M913" s="1"/>
  <c r="L861"/>
  <c r="M861" s="1"/>
  <c r="N184" i="22"/>
  <c r="O184" s="1"/>
  <c r="N276" i="17"/>
  <c r="O276" s="1"/>
  <c r="N297"/>
  <c r="O297" s="1"/>
  <c r="N298"/>
  <c r="O298" s="1"/>
  <c r="O296" s="1"/>
  <c r="N292" i="22"/>
  <c r="O292" s="1"/>
  <c r="N295"/>
  <c r="O295" s="1"/>
  <c r="N269"/>
  <c r="O269" s="1"/>
  <c r="N315"/>
  <c r="O315" s="1"/>
  <c r="N824" i="21"/>
  <c r="O824" s="1"/>
  <c r="O823" s="1"/>
  <c r="N11" i="23"/>
  <c r="O11" s="1"/>
  <c r="O10" s="1"/>
  <c r="N583" i="21"/>
  <c r="O583"/>
  <c r="O582" s="1"/>
  <c r="N187" i="18"/>
  <c r="O187" s="1"/>
  <c r="O186"/>
  <c r="N1059" i="21"/>
  <c r="O1059"/>
  <c r="N150" i="17"/>
  <c r="O150"/>
  <c r="N74" i="18"/>
  <c r="O74"/>
  <c r="O73" s="1"/>
  <c r="N265" i="21"/>
  <c r="O265" s="1"/>
  <c r="N1297"/>
  <c r="O1297" s="1"/>
  <c r="N1427"/>
  <c r="O1427" s="1"/>
  <c r="N1426"/>
  <c r="O1426" s="1"/>
  <c r="N591" i="23"/>
  <c r="O591" s="1"/>
  <c r="N134" i="21"/>
  <c r="O134" s="1"/>
  <c r="O133" s="1"/>
  <c r="N1453"/>
  <c r="O1453" s="1"/>
  <c r="N91" i="20"/>
  <c r="O91" s="1"/>
  <c r="O90" s="1"/>
  <c r="N338"/>
  <c r="O338" s="1"/>
  <c r="N160" i="28"/>
  <c r="O160" s="1"/>
  <c r="O159" s="1"/>
  <c r="N74" i="23"/>
  <c r="O74" s="1"/>
  <c r="N75"/>
  <c r="O75" s="1"/>
  <c r="N1505" i="21"/>
  <c r="O1505" s="1"/>
  <c r="N1504"/>
  <c r="O1504" s="1"/>
  <c r="O1503" s="1"/>
  <c r="L141" i="16"/>
  <c r="M141" s="1"/>
  <c r="N474" i="23"/>
  <c r="O474" s="1"/>
  <c r="N1479" i="21"/>
  <c r="O1479" s="1"/>
  <c r="N251" i="17"/>
  <c r="O251" s="1"/>
  <c r="N201" i="21"/>
  <c r="O201" s="1"/>
  <c r="O200" s="1"/>
  <c r="L254" i="16"/>
  <c r="M254" s="1"/>
  <c r="N1401" i="21"/>
  <c r="O1401" s="1"/>
  <c r="N880"/>
  <c r="O880" s="1"/>
  <c r="N851"/>
  <c r="O851" s="1"/>
  <c r="N57" i="28"/>
  <c r="O57" s="1"/>
  <c r="O56" s="1"/>
  <c r="N260" i="23"/>
  <c r="O260" s="1"/>
  <c r="N1349" i="21"/>
  <c r="O1349" s="1"/>
  <c r="N10" i="17"/>
  <c r="O10" s="1"/>
  <c r="O9" s="1"/>
  <c r="N1237" i="21"/>
  <c r="O1237" s="1"/>
  <c r="N734"/>
  <c r="O734" s="1"/>
  <c r="N284" i="18"/>
  <c r="O284" s="1"/>
  <c r="N751" i="23"/>
  <c r="O751" s="1"/>
  <c r="N1028" i="21"/>
  <c r="O1028" s="1"/>
  <c r="N1557"/>
  <c r="O1557" s="1"/>
  <c r="N133" i="20"/>
  <c r="O133" s="1"/>
  <c r="O132" s="1"/>
  <c r="N625" i="21"/>
  <c r="O625" s="1"/>
  <c r="O624" s="1"/>
  <c r="N1323"/>
  <c r="O1323" s="1"/>
  <c r="N289"/>
  <c r="O289" s="1"/>
  <c r="N802"/>
  <c r="O802" s="1"/>
  <c r="O801" s="1"/>
  <c r="N103" i="28"/>
  <c r="O103" s="1"/>
  <c r="O102" s="1"/>
  <c r="N603" i="21"/>
  <c r="O603" s="1"/>
  <c r="O602" s="1"/>
  <c r="N165" i="18"/>
  <c r="O165" s="1"/>
  <c r="O164" s="1"/>
  <c r="N997" i="21"/>
  <c r="O997" s="1"/>
  <c r="N1268"/>
  <c r="O1268" s="1"/>
  <c r="N288" i="20"/>
  <c r="O288" s="1"/>
  <c r="N966" i="21"/>
  <c r="O966" s="1"/>
  <c r="N153" i="20"/>
  <c r="O153" s="1"/>
  <c r="O152" s="1"/>
  <c r="N600"/>
  <c r="O600" s="1"/>
  <c r="N29"/>
  <c r="O29" s="1"/>
  <c r="O28" s="1"/>
  <c r="N1654" i="21"/>
  <c r="O1654" s="1"/>
  <c r="O1652" s="1"/>
  <c r="N1178"/>
  <c r="O1178" s="1"/>
  <c r="N141" i="18"/>
  <c r="O141" s="1"/>
  <c r="N178" i="21"/>
  <c r="O178" s="1"/>
  <c r="O177" s="1"/>
  <c r="L227" i="16"/>
  <c r="M227" s="1"/>
  <c r="N35" i="28"/>
  <c r="O35" s="1"/>
  <c r="O34" s="1"/>
  <c r="N1609" i="21"/>
  <c r="O1609" s="1"/>
  <c r="N1608"/>
  <c r="O1608" s="1"/>
  <c r="N313" i="20"/>
  <c r="O313" s="1"/>
  <c r="N156" i="21"/>
  <c r="O156" s="1"/>
  <c r="O155" s="1"/>
  <c r="N245"/>
  <c r="O245" s="1"/>
  <c r="O244" s="1"/>
  <c r="N363" i="20"/>
  <c r="O363" s="1"/>
  <c r="N726" i="23"/>
  <c r="O726" s="1"/>
  <c r="N1206" i="21"/>
  <c r="O1206" s="1"/>
  <c r="N284" i="23"/>
  <c r="O284" s="1"/>
  <c r="N285"/>
  <c r="O285" s="1"/>
  <c r="N352"/>
  <c r="O352" s="1"/>
  <c r="N339" i="21"/>
  <c r="O339" s="1"/>
  <c r="N224"/>
  <c r="O224" s="1"/>
  <c r="N96" i="18"/>
  <c r="O96" s="1"/>
  <c r="O95" s="1"/>
  <c r="N499" i="23"/>
  <c r="O499" s="1"/>
  <c r="N29" i="17"/>
  <c r="O29" s="1"/>
  <c r="N238" i="20"/>
  <c r="O238" s="1"/>
  <c r="N113" i="21"/>
  <c r="O113" s="1"/>
  <c r="N263" i="20"/>
  <c r="O263" s="1"/>
  <c r="N52" i="17"/>
  <c r="O52" s="1"/>
  <c r="O51" s="1"/>
  <c r="L177" i="16"/>
  <c r="M177" s="1"/>
  <c r="M176" s="1"/>
  <c r="N70" i="21"/>
  <c r="O70" s="1"/>
  <c r="N327" i="23"/>
  <c r="O327" s="1"/>
  <c r="O326" s="1"/>
  <c r="N376"/>
  <c r="O376" s="1"/>
  <c r="O375" s="1"/>
  <c r="N314" i="21"/>
  <c r="O314" s="1"/>
  <c r="N1583"/>
  <c r="O1583" s="1"/>
  <c r="N758"/>
  <c r="O758" s="1"/>
  <c r="N399" i="23"/>
  <c r="O399" s="1"/>
  <c r="N79" i="28"/>
  <c r="O79" s="1"/>
  <c r="O78" s="1"/>
  <c r="N10" i="18"/>
  <c r="O10"/>
  <c r="O9" s="1"/>
  <c r="N422" i="23"/>
  <c r="O422" s="1"/>
  <c r="N619"/>
  <c r="O619" s="1"/>
  <c r="N909" i="21"/>
  <c r="O909" s="1"/>
  <c r="N139" i="28"/>
  <c r="O139" s="1"/>
  <c r="N117" i="18"/>
  <c r="O117" s="1"/>
  <c r="N11" i="28"/>
  <c r="O11" s="1"/>
  <c r="O10" s="1"/>
  <c r="N1149" i="21"/>
  <c r="O1149" s="1"/>
  <c r="N213" i="20"/>
  <c r="O213" s="1"/>
  <c r="N519"/>
  <c r="O519" s="1"/>
  <c r="L106" i="16"/>
  <c r="M106" s="1"/>
  <c r="N1531" i="21"/>
  <c r="O1531" s="1"/>
  <c r="L73" i="16"/>
  <c r="M73" s="1"/>
  <c r="N111" i="20"/>
  <c r="O111" s="1"/>
  <c r="O110" s="1"/>
  <c r="N1375" i="21"/>
  <c r="O1375" s="1"/>
  <c r="L530" i="16"/>
  <c r="M530" s="1"/>
  <c r="L359"/>
  <c r="M359" s="1"/>
  <c r="L802"/>
  <c r="M802" s="1"/>
  <c r="L700"/>
  <c r="M700" s="1"/>
  <c r="L393"/>
  <c r="M393" s="1"/>
  <c r="L291"/>
  <c r="M291" s="1"/>
  <c r="L325"/>
  <c r="M325" s="1"/>
  <c r="N1296" i="21"/>
  <c r="O1296" s="1"/>
  <c r="O1295" s="1"/>
  <c r="N1452"/>
  <c r="O1452" s="1"/>
  <c r="O1451" s="1"/>
  <c r="N1348"/>
  <c r="O1348" s="1"/>
  <c r="N1582"/>
  <c r="O1582" s="1"/>
  <c r="N1374"/>
  <c r="O1374" s="1"/>
  <c r="N1322"/>
  <c r="O1322" s="1"/>
  <c r="N1478"/>
  <c r="O1478" s="1"/>
  <c r="N1556"/>
  <c r="O1556" s="1"/>
  <c r="O1555" s="1"/>
  <c r="N1400"/>
  <c r="O1400" s="1"/>
  <c r="O1399" s="1"/>
  <c r="N1530"/>
  <c r="O1530" s="1"/>
  <c r="O1529" s="1"/>
  <c r="L112" i="16"/>
  <c r="M112" s="1"/>
  <c r="L79"/>
  <c r="M79" s="1"/>
  <c r="L80"/>
  <c r="M80" s="1"/>
  <c r="N285" i="18"/>
  <c r="O285" s="1"/>
  <c r="N30" i="17"/>
  <c r="O30" s="1"/>
  <c r="O28" s="1"/>
  <c r="N254"/>
  <c r="O254" s="1"/>
  <c r="N142" i="18"/>
  <c r="O142" s="1"/>
  <c r="N260"/>
  <c r="O260" s="1"/>
  <c r="N205" i="17"/>
  <c r="O205" s="1"/>
  <c r="N229"/>
  <c r="O229" s="1"/>
  <c r="N290" i="21"/>
  <c r="O290" s="1"/>
  <c r="O288" s="1"/>
  <c r="N525" i="23"/>
  <c r="O525" s="1"/>
  <c r="N290" i="20"/>
  <c r="O290" s="1"/>
  <c r="O287" s="1"/>
  <c r="N727" i="23"/>
  <c r="O727" s="1"/>
  <c r="N215" i="20"/>
  <c r="O215" s="1"/>
  <c r="N315"/>
  <c r="O315" s="1"/>
  <c r="N520"/>
  <c r="O520" s="1"/>
  <c r="N261" i="23"/>
  <c r="O261" s="1"/>
  <c r="N500"/>
  <c r="O500" s="1"/>
  <c r="N114" i="21"/>
  <c r="O114" s="1"/>
  <c r="N340"/>
  <c r="O340" s="1"/>
  <c r="N439"/>
  <c r="O439" s="1"/>
  <c r="N400" i="23"/>
  <c r="O400" s="1"/>
  <c r="N389" i="21"/>
  <c r="O389" s="1"/>
  <c r="N475" i="23"/>
  <c r="O475" s="1"/>
  <c r="N340" i="20"/>
  <c r="O340" s="1"/>
  <c r="N265"/>
  <c r="O265" s="1"/>
  <c r="N365" i="21"/>
  <c r="O365" s="1"/>
  <c r="N315"/>
  <c r="O315" s="1"/>
  <c r="N266"/>
  <c r="O266" s="1"/>
  <c r="N414"/>
  <c r="O414" s="1"/>
  <c r="N240" i="20"/>
  <c r="O240" s="1"/>
  <c r="N71" i="21"/>
  <c r="O71" s="1"/>
  <c r="N353" i="23"/>
  <c r="O353" s="1"/>
  <c r="N365" i="20"/>
  <c r="O365" s="1"/>
  <c r="W285" i="16"/>
  <c r="X285" s="1"/>
  <c r="L285"/>
  <c r="M285" s="1"/>
  <c r="L319"/>
  <c r="M319" s="1"/>
  <c r="L421"/>
  <c r="M421" s="1"/>
  <c r="L592"/>
  <c r="M592" s="1"/>
  <c r="L109"/>
  <c r="M109" s="1"/>
  <c r="L909"/>
  <c r="M909" s="1"/>
  <c r="L524"/>
  <c r="M524" s="1"/>
  <c r="L762"/>
  <c r="M762" s="1"/>
  <c r="L660"/>
  <c r="M660" s="1"/>
  <c r="L857"/>
  <c r="M857" s="1"/>
  <c r="L558"/>
  <c r="M558" s="1"/>
  <c r="L201"/>
  <c r="M201" s="1"/>
  <c r="L353"/>
  <c r="M353" s="1"/>
  <c r="L626"/>
  <c r="M626" s="1"/>
  <c r="L490"/>
  <c r="M490" s="1"/>
  <c r="L144"/>
  <c r="M144" s="1"/>
  <c r="L728"/>
  <c r="M728" s="1"/>
  <c r="L831"/>
  <c r="M831" s="1"/>
  <c r="L694"/>
  <c r="M694" s="1"/>
  <c r="L76"/>
  <c r="M76" s="1"/>
  <c r="L456"/>
  <c r="M456" s="1"/>
  <c r="L883"/>
  <c r="M883" s="1"/>
  <c r="L387"/>
  <c r="M387" s="1"/>
  <c r="L796"/>
  <c r="M796" s="1"/>
  <c r="W290"/>
  <c r="X290" s="1"/>
  <c r="L495"/>
  <c r="M495" s="1"/>
  <c r="L529"/>
  <c r="M529" s="1"/>
  <c r="L324"/>
  <c r="M324" s="1"/>
  <c r="L665"/>
  <c r="M665" s="1"/>
  <c r="L563"/>
  <c r="M563" s="1"/>
  <c r="L426"/>
  <c r="M426" s="1"/>
  <c r="L290"/>
  <c r="M290" s="1"/>
  <c r="L631"/>
  <c r="M631" s="1"/>
  <c r="L767"/>
  <c r="M767" s="1"/>
  <c r="L358"/>
  <c r="M358" s="1"/>
  <c r="L699"/>
  <c r="M699" s="1"/>
  <c r="L597"/>
  <c r="M597" s="1"/>
  <c r="L461"/>
  <c r="M461" s="1"/>
  <c r="L392"/>
  <c r="M392" s="1"/>
  <c r="L801"/>
  <c r="M801" s="1"/>
  <c r="L733"/>
  <c r="M733" s="1"/>
  <c r="N669" i="21"/>
  <c r="O669" s="1"/>
  <c r="O668" s="1"/>
  <c r="N702" i="23"/>
  <c r="O702" s="1"/>
  <c r="N463" i="21"/>
  <c r="O463" s="1"/>
  <c r="O462" s="1"/>
  <c r="N647"/>
  <c r="O647" s="1"/>
  <c r="O646" s="1"/>
  <c r="L293" i="16"/>
  <c r="M293" s="1"/>
  <c r="L429"/>
  <c r="M429" s="1"/>
  <c r="L736"/>
  <c r="M736" s="1"/>
  <c r="L770"/>
  <c r="M770" s="1"/>
  <c r="L566"/>
  <c r="M566" s="1"/>
  <c r="W293"/>
  <c r="X293" s="1"/>
  <c r="L327"/>
  <c r="M327" s="1"/>
  <c r="L395"/>
  <c r="M395" s="1"/>
  <c r="L532"/>
  <c r="M532" s="1"/>
  <c r="L150"/>
  <c r="M150" s="1"/>
  <c r="L804"/>
  <c r="M804" s="1"/>
  <c r="L464"/>
  <c r="M464" s="1"/>
  <c r="N236" i="18"/>
  <c r="O236" s="1"/>
  <c r="L634" i="16"/>
  <c r="M634" s="1"/>
  <c r="L668"/>
  <c r="M668" s="1"/>
  <c r="L702"/>
  <c r="M702" s="1"/>
  <c r="L361"/>
  <c r="M361" s="1"/>
  <c r="L498"/>
  <c r="M498" s="1"/>
  <c r="L600"/>
  <c r="M600" s="1"/>
  <c r="N122" i="22"/>
  <c r="O122" s="1"/>
  <c r="L229" i="16"/>
  <c r="M229" s="1"/>
  <c r="N75" i="22"/>
  <c r="O75"/>
  <c r="N52"/>
  <c r="O52"/>
  <c r="N98"/>
  <c r="O98"/>
  <c r="N92" i="17"/>
  <c r="O92"/>
  <c r="L148" i="16"/>
  <c r="M148" s="1"/>
  <c r="N227" i="17"/>
  <c r="O227" s="1"/>
  <c r="N204"/>
  <c r="O204" s="1"/>
  <c r="N235" i="18"/>
  <c r="O235" s="1"/>
  <c r="N295" i="28"/>
  <c r="O295"/>
  <c r="O293" s="1"/>
  <c r="O296" s="1"/>
  <c r="N111" i="17"/>
  <c r="O111" s="1"/>
  <c r="O110" s="1"/>
  <c r="N252"/>
  <c r="O252" s="1"/>
  <c r="L991" i="16"/>
  <c r="M991" s="1"/>
  <c r="M990" s="1"/>
  <c r="N211" i="18"/>
  <c r="O211" s="1"/>
  <c r="N53" i="22"/>
  <c r="O53" s="1"/>
  <c r="N99"/>
  <c r="O99" s="1"/>
  <c r="N76"/>
  <c r="O76" s="1"/>
  <c r="N72" i="17"/>
  <c r="O72" s="1"/>
  <c r="N647" i="23"/>
  <c r="O647" s="1"/>
  <c r="L527" i="16"/>
  <c r="M527" s="1"/>
  <c r="L424"/>
  <c r="M424" s="1"/>
  <c r="L288"/>
  <c r="M288" s="1"/>
  <c r="N388" i="20"/>
  <c r="O388" s="1"/>
  <c r="L663" i="16"/>
  <c r="M663" s="1"/>
  <c r="N749" i="20"/>
  <c r="O749" s="1"/>
  <c r="N713" i="21"/>
  <c r="O713" s="1"/>
  <c r="N691"/>
  <c r="O691" s="1"/>
  <c r="L107" i="16"/>
  <c r="M107" s="1"/>
  <c r="N438" i="21"/>
  <c r="O438" s="1"/>
  <c r="N803" i="20"/>
  <c r="O803" s="1"/>
  <c r="L493" i="16"/>
  <c r="M493" s="1"/>
  <c r="N414" i="20"/>
  <c r="O414" s="1"/>
  <c r="N70"/>
  <c r="O70" s="1"/>
  <c r="L595" i="16"/>
  <c r="M595" s="1"/>
  <c r="N234" i="18"/>
  <c r="O234" s="1"/>
  <c r="N777" i="20"/>
  <c r="O777" s="1"/>
  <c r="N71" i="17"/>
  <c r="O71" s="1"/>
  <c r="O70" s="1"/>
  <c r="N625" i="20"/>
  <c r="O625" s="1"/>
  <c r="O624" s="1"/>
  <c r="N50"/>
  <c r="O50" s="1"/>
  <c r="L765" i="16"/>
  <c r="M765" s="1"/>
  <c r="N210" i="18"/>
  <c r="O210" s="1"/>
  <c r="N140" i="28"/>
  <c r="O140" s="1"/>
  <c r="N440" i="20"/>
  <c r="O440" s="1"/>
  <c r="N388" i="21"/>
  <c r="O388" s="1"/>
  <c r="N492" i="20"/>
  <c r="O492" s="1"/>
  <c r="L799" i="16"/>
  <c r="M799" s="1"/>
  <c r="L731"/>
  <c r="M731" s="1"/>
  <c r="L459"/>
  <c r="M459" s="1"/>
  <c r="L629"/>
  <c r="M629" s="1"/>
  <c r="L74"/>
  <c r="M74" s="1"/>
  <c r="N673" i="20"/>
  <c r="O673" s="1"/>
  <c r="W288" i="16"/>
  <c r="X288" s="1"/>
  <c r="N699" i="20"/>
  <c r="O699" s="1"/>
  <c r="O698" s="1"/>
  <c r="L257" i="16"/>
  <c r="M257" s="1"/>
  <c r="N545" i="20"/>
  <c r="O545" s="1"/>
  <c r="N51" i="18"/>
  <c r="O51" s="1"/>
  <c r="N649" i="20"/>
  <c r="O649" s="1"/>
  <c r="O648" s="1"/>
  <c r="N698" i="23"/>
  <c r="O698" s="1"/>
  <c r="N701"/>
  <c r="O701" s="1"/>
  <c r="N572" i="20"/>
  <c r="O572" s="1"/>
  <c r="N724"/>
  <c r="O724" s="1"/>
  <c r="O723" s="1"/>
  <c r="N364" i="21"/>
  <c r="O364" s="1"/>
  <c r="O363" s="1"/>
  <c r="L356" i="16"/>
  <c r="M356" s="1"/>
  <c r="L697"/>
  <c r="M697" s="1"/>
  <c r="N176" i="17"/>
  <c r="O176" s="1"/>
  <c r="N177"/>
  <c r="O177" s="1"/>
  <c r="N179"/>
  <c r="O179" s="1"/>
  <c r="N413" i="21"/>
  <c r="O413" s="1"/>
  <c r="L322" i="16"/>
  <c r="M322" s="1"/>
  <c r="L1011"/>
  <c r="M1011" s="1"/>
  <c r="L390"/>
  <c r="M390" s="1"/>
  <c r="N466" i="20"/>
  <c r="O466" s="1"/>
  <c r="L142" i="16"/>
  <c r="M142" s="1"/>
  <c r="N318" i="17"/>
  <c r="O318" s="1"/>
  <c r="O317" s="1"/>
  <c r="N130"/>
  <c r="O130" s="1"/>
  <c r="L561" i="16"/>
  <c r="M561" s="1"/>
  <c r="N524" i="23"/>
  <c r="O524" s="1"/>
  <c r="L202" i="16"/>
  <c r="M202" s="1"/>
  <c r="N141" i="22"/>
  <c r="O141" s="1"/>
  <c r="L286" i="16"/>
  <c r="M286" s="1"/>
  <c r="N1270" i="21"/>
  <c r="O1270" s="1"/>
  <c r="L661" i="16"/>
  <c r="M661" s="1"/>
  <c r="N218" i="28"/>
  <c r="O218" s="1"/>
  <c r="L320" i="16"/>
  <c r="M320" s="1"/>
  <c r="N163" i="22"/>
  <c r="O163" s="1"/>
  <c r="O162" s="1"/>
  <c r="N1061" i="21"/>
  <c r="O1061" s="1"/>
  <c r="O1056" s="1"/>
  <c r="L884" i="16"/>
  <c r="M884" s="1"/>
  <c r="L354"/>
  <c r="M354" s="1"/>
  <c r="N73" i="22"/>
  <c r="O73"/>
  <c r="L422" i="16"/>
  <c r="M422" s="1"/>
  <c r="L388"/>
  <c r="M388" s="1"/>
  <c r="N999" i="21"/>
  <c r="O999" s="1"/>
  <c r="L110" i="16"/>
  <c r="M110" s="1"/>
  <c r="L145"/>
  <c r="M145" s="1"/>
  <c r="L559"/>
  <c r="M559" s="1"/>
  <c r="N50" i="22"/>
  <c r="O50"/>
  <c r="L457" i="16"/>
  <c r="M457" s="1"/>
  <c r="N159" i="23"/>
  <c r="O159"/>
  <c r="L832" i="16"/>
  <c r="M832" s="1"/>
  <c r="L763"/>
  <c r="M763" s="1"/>
  <c r="N968" i="21"/>
  <c r="O968"/>
  <c r="O963" s="1"/>
  <c r="L491" i="16"/>
  <c r="M491" s="1"/>
  <c r="L494"/>
  <c r="M494" s="1"/>
  <c r="N1208" i="21"/>
  <c r="O1208" s="1"/>
  <c r="L729" i="16"/>
  <c r="M729" s="1"/>
  <c r="L910"/>
  <c r="M910" s="1"/>
  <c r="L593"/>
  <c r="M593" s="1"/>
  <c r="L596"/>
  <c r="M596" s="1"/>
  <c r="L858"/>
  <c r="M858" s="1"/>
  <c r="N1239" i="21"/>
  <c r="O1239" s="1"/>
  <c r="W286" i="16"/>
  <c r="X286" s="1"/>
  <c r="L797"/>
  <c r="M797" s="1"/>
  <c r="L525"/>
  <c r="M525" s="1"/>
  <c r="N96" i="22"/>
  <c r="O96" s="1"/>
  <c r="L627" i="16"/>
  <c r="M627" s="1"/>
  <c r="L695"/>
  <c r="M695" s="1"/>
  <c r="N47" i="21"/>
  <c r="O47" s="1"/>
  <c r="O46" s="1"/>
  <c r="N1030"/>
  <c r="O1030" s="1"/>
  <c r="O1025" s="1"/>
  <c r="N117" i="22"/>
  <c r="O117" s="1"/>
  <c r="N548" i="20"/>
  <c r="O548" s="1"/>
  <c r="N759" i="21"/>
  <c r="O759" s="1"/>
  <c r="N225"/>
  <c r="O225" s="1"/>
  <c r="O223" s="1"/>
  <c r="N521" i="20"/>
  <c r="O521" s="1"/>
  <c r="N602"/>
  <c r="O602" s="1"/>
  <c r="N316" i="21"/>
  <c r="O316" s="1"/>
  <c r="N318"/>
  <c r="O318" s="1"/>
  <c r="N779" i="20"/>
  <c r="O779" s="1"/>
  <c r="N622" i="23"/>
  <c r="O622" s="1"/>
  <c r="N391" i="20"/>
  <c r="O391" s="1"/>
  <c r="N752" i="23"/>
  <c r="O752" s="1"/>
  <c r="N650"/>
  <c r="O650" s="1"/>
  <c r="N423"/>
  <c r="O423" s="1"/>
  <c r="N153" i="17"/>
  <c r="O153" s="1"/>
  <c r="N415" i="21"/>
  <c r="O415" s="1"/>
  <c r="N735"/>
  <c r="O735" s="1"/>
  <c r="N485"/>
  <c r="O485" s="1"/>
  <c r="O484" s="1"/>
  <c r="N507"/>
  <c r="O507" s="1"/>
  <c r="O506" s="1"/>
  <c r="N319" i="17"/>
  <c r="O319" s="1"/>
  <c r="N417" i="20"/>
  <c r="O417" s="1"/>
  <c r="N221" i="28"/>
  <c r="O221" s="1"/>
  <c r="L77" i="16"/>
  <c r="M77" s="1"/>
  <c r="N228" i="17"/>
  <c r="O228" s="1"/>
  <c r="L228" i="16"/>
  <c r="M228" s="1"/>
  <c r="L800"/>
  <c r="M800" s="1"/>
  <c r="L698"/>
  <c r="M698" s="1"/>
  <c r="N272" i="22"/>
  <c r="O272" s="1"/>
  <c r="L289" i="16"/>
  <c r="M289" s="1"/>
  <c r="L528"/>
  <c r="M528" s="1"/>
  <c r="L108"/>
  <c r="M108" s="1"/>
  <c r="L391"/>
  <c r="M391" s="1"/>
  <c r="N259" i="18"/>
  <c r="O259" s="1"/>
  <c r="L664" i="16"/>
  <c r="M664" s="1"/>
  <c r="N318" i="22"/>
  <c r="O318" s="1"/>
  <c r="N277" i="17"/>
  <c r="O277" s="1"/>
  <c r="O275" s="1"/>
  <c r="L75" i="16"/>
  <c r="M75" s="1"/>
  <c r="L766"/>
  <c r="M766" s="1"/>
  <c r="L200"/>
  <c r="M200" s="1"/>
  <c r="L882"/>
  <c r="M882" s="1"/>
  <c r="L357"/>
  <c r="M357" s="1"/>
  <c r="N225" i="17"/>
  <c r="O225" s="1"/>
  <c r="N91"/>
  <c r="O91" s="1"/>
  <c r="L830" i="16"/>
  <c r="M830" s="1"/>
  <c r="L425"/>
  <c r="M425" s="1"/>
  <c r="L908"/>
  <c r="M908" s="1"/>
  <c r="M907" s="1"/>
  <c r="L732"/>
  <c r="M732" s="1"/>
  <c r="L460"/>
  <c r="M460" s="1"/>
  <c r="N203" i="17"/>
  <c r="O203" s="1"/>
  <c r="L562" i="16"/>
  <c r="M562" s="1"/>
  <c r="L323"/>
  <c r="M323" s="1"/>
  <c r="L856"/>
  <c r="M856" s="1"/>
  <c r="L143"/>
  <c r="M143" s="1"/>
  <c r="W289"/>
  <c r="X289" s="1"/>
  <c r="L630"/>
  <c r="M630" s="1"/>
  <c r="N179" i="28"/>
  <c r="O179" s="1"/>
  <c r="N186" i="22"/>
  <c r="O186" s="1"/>
  <c r="N214" i="20"/>
  <c r="O214" s="1"/>
  <c r="N339"/>
  <c r="O339" s="1"/>
  <c r="O337"/>
  <c r="N364"/>
  <c r="O364"/>
  <c r="O362" s="1"/>
  <c r="N239"/>
  <c r="O239"/>
  <c r="N242"/>
  <c r="O242" s="1"/>
  <c r="O241" s="1"/>
  <c r="N314"/>
  <c r="O314" s="1"/>
  <c r="N289"/>
  <c r="O289" s="1"/>
  <c r="L255" i="16"/>
  <c r="M255" s="1"/>
  <c r="N151" i="17"/>
  <c r="O151" s="1"/>
  <c r="N264" i="20"/>
  <c r="O264" s="1"/>
  <c r="E42" i="45"/>
  <c r="F42" s="1"/>
  <c r="E78"/>
  <c r="F78"/>
  <c r="D11"/>
  <c r="E11" s="1"/>
  <c r="H11"/>
  <c r="I11" s="1"/>
  <c r="D15"/>
  <c r="H15"/>
  <c r="I15" s="1"/>
  <c r="D19"/>
  <c r="E19" s="1"/>
  <c r="H19"/>
  <c r="I19" s="1"/>
  <c r="H23"/>
  <c r="I23"/>
  <c r="D23"/>
  <c r="D27"/>
  <c r="D31"/>
  <c r="E31"/>
  <c r="F31"/>
  <c r="D35"/>
  <c r="E35" s="1"/>
  <c r="D39"/>
  <c r="E39" s="1"/>
  <c r="D43"/>
  <c r="E43"/>
  <c r="F43" s="1"/>
  <c r="H43"/>
  <c r="I43" s="1"/>
  <c r="D47"/>
  <c r="E47"/>
  <c r="H47"/>
  <c r="I47" s="1"/>
  <c r="D51"/>
  <c r="E51" s="1"/>
  <c r="D55"/>
  <c r="E55" s="1"/>
  <c r="D59"/>
  <c r="E59" s="1"/>
  <c r="H59"/>
  <c r="I59" s="1"/>
  <c r="D63"/>
  <c r="E63" s="1"/>
  <c r="H63"/>
  <c r="I63"/>
  <c r="D67"/>
  <c r="H67"/>
  <c r="I67"/>
  <c r="D71"/>
  <c r="E71" s="1"/>
  <c r="H71"/>
  <c r="I71" s="1"/>
  <c r="D75"/>
  <c r="E75" s="1"/>
  <c r="F75" s="1"/>
  <c r="H75"/>
  <c r="I75"/>
  <c r="D79"/>
  <c r="E79"/>
  <c r="H79"/>
  <c r="I79"/>
  <c r="D83"/>
  <c r="H83"/>
  <c r="I83"/>
  <c r="D87"/>
  <c r="E87" s="1"/>
  <c r="H87"/>
  <c r="I87" s="1"/>
  <c r="D13"/>
  <c r="E13" s="1"/>
  <c r="H13"/>
  <c r="I13" s="1"/>
  <c r="D17"/>
  <c r="H17"/>
  <c r="I17"/>
  <c r="H21"/>
  <c r="I21" s="1"/>
  <c r="D21"/>
  <c r="E21" s="1"/>
  <c r="F21" s="1"/>
  <c r="D25"/>
  <c r="H25"/>
  <c r="I25" s="1"/>
  <c r="I29"/>
  <c r="D29"/>
  <c r="E29"/>
  <c r="F29" s="1"/>
  <c r="I33"/>
  <c r="D33"/>
  <c r="E33"/>
  <c r="D37"/>
  <c r="H41"/>
  <c r="I41" s="1"/>
  <c r="D41"/>
  <c r="H45"/>
  <c r="I45" s="1"/>
  <c r="D45"/>
  <c r="D49"/>
  <c r="E49"/>
  <c r="H49"/>
  <c r="I49"/>
  <c r="D53"/>
  <c r="E53" s="1"/>
  <c r="D57"/>
  <c r="I57"/>
  <c r="D61"/>
  <c r="H61"/>
  <c r="I61"/>
  <c r="D65"/>
  <c r="E65"/>
  <c r="H65"/>
  <c r="I65"/>
  <c r="D69"/>
  <c r="H69"/>
  <c r="I69" s="1"/>
  <c r="D73"/>
  <c r="E73"/>
  <c r="H73"/>
  <c r="I73" s="1"/>
  <c r="D77"/>
  <c r="E77" s="1"/>
  <c r="F77" s="1"/>
  <c r="H77"/>
  <c r="I77"/>
  <c r="H81"/>
  <c r="I81"/>
  <c r="D81"/>
  <c r="E81"/>
  <c r="F81" s="1"/>
  <c r="H85"/>
  <c r="I85" s="1"/>
  <c r="D85"/>
  <c r="E85"/>
  <c r="D89"/>
  <c r="E89" s="1"/>
  <c r="F89"/>
  <c r="H89"/>
  <c r="I89"/>
  <c r="H55"/>
  <c r="I55"/>
  <c r="H51"/>
  <c r="I51"/>
  <c r="E20"/>
  <c r="F20"/>
  <c r="E66"/>
  <c r="F66"/>
  <c r="E80"/>
  <c r="E88"/>
  <c r="F88" s="1"/>
  <c r="F54"/>
  <c r="D10"/>
  <c r="E10"/>
  <c r="F10" s="1"/>
  <c r="N181" i="21"/>
  <c r="O181"/>
  <c r="G190" i="23"/>
  <c r="G191" s="1"/>
  <c r="N1507" i="21"/>
  <c r="O1507" s="1"/>
  <c r="N1325"/>
  <c r="O1325" s="1"/>
  <c r="N1033"/>
  <c r="O1033" s="1"/>
  <c r="N1559"/>
  <c r="O1559" s="1"/>
  <c r="N1064"/>
  <c r="O1064" s="1"/>
  <c r="N1611"/>
  <c r="O1611" s="1"/>
  <c r="N882"/>
  <c r="O882" s="1"/>
  <c r="N1351"/>
  <c r="O1351" s="1"/>
  <c r="N1273"/>
  <c r="O1273"/>
  <c r="N1533"/>
  <c r="O1533" s="1"/>
  <c r="N911"/>
  <c r="O911" s="1"/>
  <c r="N1211"/>
  <c r="O1211" s="1"/>
  <c r="N1429"/>
  <c r="O1429" s="1"/>
  <c r="N1455"/>
  <c r="O1455" s="1"/>
  <c r="N1002"/>
  <c r="O1002" s="1"/>
  <c r="N1481"/>
  <c r="O1481" s="1"/>
  <c r="N1093"/>
  <c r="O1093" s="1"/>
  <c r="N1585"/>
  <c r="O1585" s="1"/>
  <c r="N853"/>
  <c r="O853" s="1"/>
  <c r="N1299"/>
  <c r="O1299" s="1"/>
  <c r="G8" i="46"/>
  <c r="E25" i="45"/>
  <c r="F25"/>
  <c r="E37"/>
  <c r="E17"/>
  <c r="N181" i="28"/>
  <c r="O181" s="1"/>
  <c r="N219"/>
  <c r="O219" s="1"/>
  <c r="O217" s="1"/>
  <c r="O222" s="1"/>
  <c r="O223" s="1"/>
  <c r="G23" i="46"/>
  <c r="G1207" i="21"/>
  <c r="G1375"/>
  <c r="G109" i="16"/>
  <c r="P109" s="1"/>
  <c r="G995" i="21"/>
  <c r="G1000"/>
  <c r="G1062"/>
  <c r="G1240"/>
  <c r="G1323"/>
  <c r="G1029"/>
  <c r="G1504"/>
  <c r="G996"/>
  <c r="G1058"/>
  <c r="G1400"/>
  <c r="G1452"/>
  <c r="G967"/>
  <c r="G805" i="16"/>
  <c r="G1583" i="21"/>
  <c r="G1581" s="1"/>
  <c r="G1530"/>
  <c r="G294" i="16"/>
  <c r="O294" s="1"/>
  <c r="P294" s="1"/>
  <c r="G392"/>
  <c r="G396"/>
  <c r="G801"/>
  <c r="G526"/>
  <c r="G666"/>
  <c r="G1427" i="21"/>
  <c r="G1425" s="1"/>
  <c r="G141" i="16"/>
  <c r="O141" s="1"/>
  <c r="P141" s="1"/>
  <c r="G200"/>
  <c r="G913"/>
  <c r="G73" i="23"/>
  <c r="G565" i="16"/>
  <c r="O565" s="1"/>
  <c r="P565" s="1"/>
  <c r="G803"/>
  <c r="G1266" i="21"/>
  <c r="G1374"/>
  <c r="G1373" s="1"/>
  <c r="G30" i="23"/>
  <c r="G46" i="21"/>
  <c r="G290" i="16"/>
  <c r="O290" s="1"/>
  <c r="P290" s="1"/>
  <c r="G529"/>
  <c r="G964" i="21"/>
  <c r="G963" s="1"/>
  <c r="G1031"/>
  <c r="G1175"/>
  <c r="G1209"/>
  <c r="G662" i="16"/>
  <c r="G228" i="17"/>
  <c r="G1531" i="21"/>
  <c r="G1608"/>
  <c r="G1296"/>
  <c r="BZ44" i="43"/>
  <c r="BZ49" s="1"/>
  <c r="Q18"/>
  <c r="Q21" s="1"/>
  <c r="Q45" s="1"/>
  <c r="F731" i="23"/>
  <c r="G731"/>
  <c r="F332"/>
  <c r="G332" s="1"/>
  <c r="F240"/>
  <c r="G240" s="1"/>
  <c r="F599"/>
  <c r="G599" s="1"/>
  <c r="F629" i="20"/>
  <c r="G629"/>
  <c r="F499"/>
  <c r="G499" s="1"/>
  <c r="F446"/>
  <c r="G446" s="1"/>
  <c r="F393" i="21"/>
  <c r="G393" s="1"/>
  <c r="F757" i="20"/>
  <c r="G757"/>
  <c r="F704"/>
  <c r="G704" s="1"/>
  <c r="F653"/>
  <c r="G653" s="1"/>
  <c r="F113"/>
  <c r="G113" s="1"/>
  <c r="G112" s="1"/>
  <c r="N758" i="23"/>
  <c r="O758"/>
  <c r="F758"/>
  <c r="G758" s="1"/>
  <c r="F294" i="21"/>
  <c r="G294" s="1"/>
  <c r="F472" i="20"/>
  <c r="G472" s="1"/>
  <c r="F729"/>
  <c r="G729" s="1"/>
  <c r="F429" i="23"/>
  <c r="G429" s="1"/>
  <c r="F679" i="20"/>
  <c r="G679" s="1"/>
  <c r="N472"/>
  <c r="O472" s="1"/>
  <c r="N113"/>
  <c r="O113"/>
  <c r="O112" s="1"/>
  <c r="N294" i="21"/>
  <c r="O294" s="1"/>
  <c r="N499" i="20"/>
  <c r="O499" s="1"/>
  <c r="N393" i="21"/>
  <c r="O393" s="1"/>
  <c r="N391"/>
  <c r="O391" s="1"/>
  <c r="N629" i="20"/>
  <c r="O629" s="1"/>
  <c r="N446"/>
  <c r="O446" s="1"/>
  <c r="N704"/>
  <c r="O704" s="1"/>
  <c r="N679"/>
  <c r="O679" s="1"/>
  <c r="N332" i="23"/>
  <c r="O332" s="1"/>
  <c r="N599"/>
  <c r="O599" s="1"/>
  <c r="N731"/>
  <c r="O731" s="1"/>
  <c r="N757" i="20"/>
  <c r="O757" s="1"/>
  <c r="O333" i="28"/>
  <c r="O334"/>
  <c r="F1378" i="21"/>
  <c r="G1378"/>
  <c r="F1181"/>
  <c r="G1181"/>
  <c r="F1065"/>
  <c r="G1065"/>
  <c r="F941"/>
  <c r="G941"/>
  <c r="F1326"/>
  <c r="G1326"/>
  <c r="F1123"/>
  <c r="G1123"/>
  <c r="F883"/>
  <c r="G883"/>
  <c r="F1430"/>
  <c r="G1430"/>
  <c r="F1243"/>
  <c r="G1243"/>
  <c r="F1003"/>
  <c r="G1003"/>
  <c r="N1181"/>
  <c r="O1181"/>
  <c r="N1243"/>
  <c r="O1243"/>
  <c r="N1123"/>
  <c r="O1123"/>
  <c r="N941"/>
  <c r="O941"/>
  <c r="G528" i="23"/>
  <c r="N528"/>
  <c r="O528" s="1"/>
  <c r="G9" i="18"/>
  <c r="BQ6" i="43"/>
  <c r="BQ40" s="1"/>
  <c r="AG6"/>
  <c r="AG12" s="1"/>
  <c r="S6"/>
  <c r="S12" s="1"/>
  <c r="S39" s="1"/>
  <c r="R6"/>
  <c r="R12" s="1"/>
  <c r="R39" s="1"/>
  <c r="E16" i="30"/>
  <c r="F318" i="21"/>
  <c r="G318"/>
  <c r="F268"/>
  <c r="G268" s="1"/>
  <c r="F391"/>
  <c r="G391" s="1"/>
  <c r="F367"/>
  <c r="G367" s="1"/>
  <c r="F292"/>
  <c r="G292" s="1"/>
  <c r="F293"/>
  <c r="G293" s="1"/>
  <c r="N268"/>
  <c r="O268" s="1"/>
  <c r="F417"/>
  <c r="G417" s="1"/>
  <c r="F418"/>
  <c r="G418" s="1"/>
  <c r="N417"/>
  <c r="O417" s="1"/>
  <c r="N367"/>
  <c r="O367" s="1"/>
  <c r="F181"/>
  <c r="G181" s="1"/>
  <c r="F136"/>
  <c r="G136" s="1"/>
  <c r="G135" s="1"/>
  <c r="F132"/>
  <c r="G132" s="1"/>
  <c r="G131" s="1"/>
  <c r="N136"/>
  <c r="O136" s="1"/>
  <c r="O135" s="1"/>
  <c r="F83" i="28"/>
  <c r="G83" s="1"/>
  <c r="F54" i="18"/>
  <c r="G54" s="1"/>
  <c r="G53" s="1"/>
  <c r="N54"/>
  <c r="O54" s="1"/>
  <c r="O53" s="1"/>
  <c r="N83" i="28"/>
  <c r="O83" s="1"/>
  <c r="F63" i="45"/>
  <c r="N653" i="20"/>
  <c r="O653"/>
  <c r="C7" i="48"/>
  <c r="E6" i="43"/>
  <c r="E12" s="1"/>
  <c r="E39" s="1"/>
  <c r="D30" i="45"/>
  <c r="E30"/>
  <c r="H30"/>
  <c r="I30" s="1"/>
  <c r="D58"/>
  <c r="D62"/>
  <c r="H62"/>
  <c r="I62" s="1"/>
  <c r="F82" i="28"/>
  <c r="G82" s="1"/>
  <c r="N82"/>
  <c r="O82" s="1"/>
  <c r="F1560" i="21"/>
  <c r="G1560" s="1"/>
  <c r="F1456"/>
  <c r="G1456" s="1"/>
  <c r="G1454" s="1"/>
  <c r="F1212"/>
  <c r="G1212" s="1"/>
  <c r="F1211"/>
  <c r="G1211" s="1"/>
  <c r="F1213"/>
  <c r="G1213" s="1"/>
  <c r="F1094"/>
  <c r="G1094"/>
  <c r="F972"/>
  <c r="G972" s="1"/>
  <c r="F1534"/>
  <c r="G1534" s="1"/>
  <c r="F1352"/>
  <c r="G1352" s="1"/>
  <c r="F1404"/>
  <c r="G1404" s="1"/>
  <c r="F1508"/>
  <c r="G1508" s="1"/>
  <c r="F912"/>
  <c r="G912" s="1"/>
  <c r="F1300"/>
  <c r="G1300" s="1"/>
  <c r="N1212"/>
  <c r="O1212"/>
  <c r="N1274"/>
  <c r="O1274" s="1"/>
  <c r="N1456"/>
  <c r="O1456" s="1"/>
  <c r="N1508"/>
  <c r="O1508" s="1"/>
  <c r="N912"/>
  <c r="O912" s="1"/>
  <c r="N1404"/>
  <c r="O1404" s="1"/>
  <c r="N1430"/>
  <c r="O1430" s="1"/>
  <c r="N1152"/>
  <c r="O1152" s="1"/>
  <c r="AL49" i="43"/>
  <c r="N442" i="21"/>
  <c r="O442" s="1"/>
  <c r="N368"/>
  <c r="O368" s="1"/>
  <c r="N293"/>
  <c r="O293" s="1"/>
  <c r="N343"/>
  <c r="O343"/>
  <c r="G397" i="16"/>
  <c r="F1034" i="21"/>
  <c r="G1034" s="1"/>
  <c r="F1152"/>
  <c r="G1152" s="1"/>
  <c r="F1274"/>
  <c r="G1274" s="1"/>
  <c r="H6" i="43"/>
  <c r="H40" s="1"/>
  <c r="AW6"/>
  <c r="AW12" s="1"/>
  <c r="AW39" s="1"/>
  <c r="BP6"/>
  <c r="BP12" s="1"/>
  <c r="BP39" s="1"/>
  <c r="F12"/>
  <c r="F39" s="1"/>
  <c r="N1534" i="21"/>
  <c r="O1534" s="1"/>
  <c r="F778" i="23"/>
  <c r="G778" s="1"/>
  <c r="G777" s="1"/>
  <c r="O778"/>
  <c r="O777" s="1"/>
  <c r="G114" i="16"/>
  <c r="P114" s="1"/>
  <c r="G885"/>
  <c r="D44" i="45"/>
  <c r="H44"/>
  <c r="I44" s="1"/>
  <c r="D48"/>
  <c r="H48"/>
  <c r="I48" s="1"/>
  <c r="D70"/>
  <c r="G233" i="16"/>
  <c r="G230" s="1"/>
  <c r="L233"/>
  <c r="M233" s="1"/>
  <c r="M230" s="1"/>
  <c r="F1612" i="21"/>
  <c r="G1612" s="1"/>
  <c r="F1586"/>
  <c r="G1586" s="1"/>
  <c r="F1482"/>
  <c r="G1482" s="1"/>
  <c r="BU49" i="43"/>
  <c r="AT49"/>
  <c r="F163" i="23"/>
  <c r="G163" s="1"/>
  <c r="N163"/>
  <c r="O163" s="1"/>
  <c r="O161" s="1"/>
  <c r="F756"/>
  <c r="G756" s="1"/>
  <c r="F503"/>
  <c r="G503" s="1"/>
  <c r="F427"/>
  <c r="G427" s="1"/>
  <c r="F73" i="21"/>
  <c r="G73"/>
  <c r="F101" i="28"/>
  <c r="G101" s="1"/>
  <c r="G100" s="1"/>
  <c r="F77"/>
  <c r="G77" s="1"/>
  <c r="G76" s="1"/>
  <c r="BA6" i="43"/>
  <c r="BA12" s="1"/>
  <c r="BA39" s="1"/>
  <c r="AD6"/>
  <c r="AD40" s="1"/>
  <c r="F313" i="28"/>
  <c r="G313" s="1"/>
  <c r="G312" s="1"/>
  <c r="G314" s="1"/>
  <c r="H315" s="1"/>
  <c r="F617" i="23"/>
  <c r="G617" s="1"/>
  <c r="G616" s="1"/>
  <c r="F33" i="28"/>
  <c r="G33" s="1"/>
  <c r="G32" s="1"/>
  <c r="F397" i="23"/>
  <c r="G397" s="1"/>
  <c r="G396" s="1"/>
  <c r="F350"/>
  <c r="G350" s="1"/>
  <c r="G349" s="1"/>
  <c r="F258"/>
  <c r="G258" s="1"/>
  <c r="G257" s="1"/>
  <c r="F55" i="28"/>
  <c r="G55" s="1"/>
  <c r="G54" s="1"/>
  <c r="F724" i="23"/>
  <c r="G724" s="1"/>
  <c r="G723" s="1"/>
  <c r="F522"/>
  <c r="G522" s="1"/>
  <c r="G521" s="1"/>
  <c r="F93"/>
  <c r="G93" s="1"/>
  <c r="G92" s="1"/>
  <c r="G96" s="1"/>
  <c r="G97" s="1"/>
  <c r="F72"/>
  <c r="G72" s="1"/>
  <c r="G71" s="1"/>
  <c r="G76" s="1"/>
  <c r="H77" s="1"/>
  <c r="H78" s="1"/>
  <c r="AZ6" i="43"/>
  <c r="AZ12" s="1"/>
  <c r="AZ39" s="1"/>
  <c r="F9" i="28"/>
  <c r="G9" s="1"/>
  <c r="G8" s="1"/>
  <c r="F571" i="23"/>
  <c r="G571" s="1"/>
  <c r="G570" s="1"/>
  <c r="G572" s="1"/>
  <c r="F447"/>
  <c r="G447" s="1"/>
  <c r="G446" s="1"/>
  <c r="F231"/>
  <c r="G231" s="1"/>
  <c r="G230" s="1"/>
  <c r="F131"/>
  <c r="G131" s="1"/>
  <c r="G130" s="1"/>
  <c r="F54"/>
  <c r="G54" s="1"/>
  <c r="G53" s="1"/>
  <c r="G55" s="1"/>
  <c r="G56" s="1"/>
  <c r="G57" s="1"/>
  <c r="F29"/>
  <c r="G29" s="1"/>
  <c r="G28" s="1"/>
  <c r="F313" i="22"/>
  <c r="G313" s="1"/>
  <c r="G312" s="1"/>
  <c r="F139"/>
  <c r="F1606" i="21"/>
  <c r="G1606" s="1"/>
  <c r="G1605" s="1"/>
  <c r="F1580"/>
  <c r="G1580" s="1"/>
  <c r="G1579" s="1"/>
  <c r="F1502"/>
  <c r="G1502" s="1"/>
  <c r="G1501" s="1"/>
  <c r="F1320"/>
  <c r="G1320" s="1"/>
  <c r="G1319" s="1"/>
  <c r="BD6" i="43"/>
  <c r="BD40" s="1"/>
  <c r="F1144" i="21"/>
  <c r="G1144" s="1"/>
  <c r="G1143" s="1"/>
  <c r="F1024"/>
  <c r="G1024" s="1"/>
  <c r="G1023" s="1"/>
  <c r="F749" i="23"/>
  <c r="G749" s="1"/>
  <c r="G748" s="1"/>
  <c r="F589"/>
  <c r="G589" s="1"/>
  <c r="G588" s="1"/>
  <c r="F497"/>
  <c r="G497" s="1"/>
  <c r="G496" s="1"/>
  <c r="F374"/>
  <c r="G374" s="1"/>
  <c r="G373" s="1"/>
  <c r="F9"/>
  <c r="G9" s="1"/>
  <c r="G8" s="1"/>
  <c r="G12" s="1"/>
  <c r="F94" i="22"/>
  <c r="G94" s="1"/>
  <c r="G93" s="1"/>
  <c r="F1651" i="21"/>
  <c r="G1651" s="1"/>
  <c r="G1650" s="1"/>
  <c r="F1554"/>
  <c r="G1554" s="1"/>
  <c r="G1553" s="1"/>
  <c r="F1476"/>
  <c r="G1476" s="1"/>
  <c r="G1475" s="1"/>
  <c r="F1398"/>
  <c r="G1398" s="1"/>
  <c r="G1397" s="1"/>
  <c r="F1294"/>
  <c r="G1294" s="1"/>
  <c r="G1293" s="1"/>
  <c r="F1233"/>
  <c r="G1233" s="1"/>
  <c r="G1232" s="1"/>
  <c r="F1115"/>
  <c r="G1115" s="1"/>
  <c r="G1114" s="1"/>
  <c r="F993"/>
  <c r="G993" s="1"/>
  <c r="G992" s="1"/>
  <c r="F875"/>
  <c r="G875" s="1"/>
  <c r="G874" s="1"/>
  <c r="F732"/>
  <c r="G732" s="1"/>
  <c r="G731" s="1"/>
  <c r="F667"/>
  <c r="G667" s="1"/>
  <c r="G666" s="1"/>
  <c r="G672" s="1"/>
  <c r="H673" s="1"/>
  <c r="H674" s="1"/>
  <c r="F645"/>
  <c r="G645" s="1"/>
  <c r="G644" s="1"/>
  <c r="F623"/>
  <c r="G623" s="1"/>
  <c r="G622" s="1"/>
  <c r="F601"/>
  <c r="G601" s="1"/>
  <c r="G600" s="1"/>
  <c r="F545"/>
  <c r="G545" s="1"/>
  <c r="G544" s="1"/>
  <c r="G546" s="1"/>
  <c r="F645" i="23"/>
  <c r="G645" s="1"/>
  <c r="G644" s="1"/>
  <c r="F420"/>
  <c r="G420" s="1"/>
  <c r="G419" s="1"/>
  <c r="F325"/>
  <c r="G325" s="1"/>
  <c r="G324" s="1"/>
  <c r="F282"/>
  <c r="G282" s="1"/>
  <c r="G281" s="1"/>
  <c r="F206"/>
  <c r="G206" s="1"/>
  <c r="G205" s="1"/>
  <c r="F246" i="22"/>
  <c r="G246" s="1"/>
  <c r="G245" s="1"/>
  <c r="F225"/>
  <c r="G225" s="1"/>
  <c r="G224" s="1"/>
  <c r="F204"/>
  <c r="G204" s="1"/>
  <c r="G203" s="1"/>
  <c r="F182"/>
  <c r="G182" s="1"/>
  <c r="G181" s="1"/>
  <c r="F1424" i="21"/>
  <c r="G1424" s="1"/>
  <c r="G1423" s="1"/>
  <c r="F1055"/>
  <c r="G1055" s="1"/>
  <c r="G1054" s="1"/>
  <c r="F822"/>
  <c r="G822" s="1"/>
  <c r="G821" s="1"/>
  <c r="F756"/>
  <c r="G756" s="1"/>
  <c r="G755" s="1"/>
  <c r="F711"/>
  <c r="G711" s="1"/>
  <c r="G710" s="1"/>
  <c r="F689"/>
  <c r="G689" s="1"/>
  <c r="G688" s="1"/>
  <c r="F581"/>
  <c r="G581" s="1"/>
  <c r="G580" s="1"/>
  <c r="G584" s="1"/>
  <c r="G585" s="1"/>
  <c r="G586" s="1"/>
  <c r="F337"/>
  <c r="G337" s="1"/>
  <c r="G336" s="1"/>
  <c r="F263"/>
  <c r="G263" s="1"/>
  <c r="G262" s="1"/>
  <c r="F111"/>
  <c r="G111" s="1"/>
  <c r="G110" s="1"/>
  <c r="F45"/>
  <c r="G45" s="1"/>
  <c r="G44" s="1"/>
  <c r="F801" i="20"/>
  <c r="G801" s="1"/>
  <c r="G800" s="1"/>
  <c r="F747"/>
  <c r="G747" s="1"/>
  <c r="G746" s="1"/>
  <c r="F697"/>
  <c r="G697" s="1"/>
  <c r="G696" s="1"/>
  <c r="F647"/>
  <c r="G647" s="1"/>
  <c r="G646" s="1"/>
  <c r="F598"/>
  <c r="G598" s="1"/>
  <c r="G597" s="1"/>
  <c r="F517"/>
  <c r="G517" s="1"/>
  <c r="G516" s="1"/>
  <c r="F464"/>
  <c r="G464" s="1"/>
  <c r="G463" s="1"/>
  <c r="F412"/>
  <c r="G412" s="1"/>
  <c r="G411" s="1"/>
  <c r="F311"/>
  <c r="G311" s="1"/>
  <c r="G310" s="1"/>
  <c r="F286"/>
  <c r="G286" s="1"/>
  <c r="G285" s="1"/>
  <c r="F261"/>
  <c r="G261" s="1"/>
  <c r="G260" s="1"/>
  <c r="F236"/>
  <c r="G236" s="1"/>
  <c r="G235" s="1"/>
  <c r="F776" i="23"/>
  <c r="G776" s="1"/>
  <c r="G775" s="1"/>
  <c r="F472"/>
  <c r="G472" s="1"/>
  <c r="G471" s="1"/>
  <c r="F113"/>
  <c r="G113" s="1"/>
  <c r="G112" s="1"/>
  <c r="G114" s="1"/>
  <c r="G115" s="1"/>
  <c r="F267" i="22"/>
  <c r="G267" s="1"/>
  <c r="G266" s="1"/>
  <c r="F161"/>
  <c r="G161" s="1"/>
  <c r="G160" s="1"/>
  <c r="F48"/>
  <c r="F1346" i="21"/>
  <c r="G1346" s="1"/>
  <c r="G1345" s="1"/>
  <c r="F1264"/>
  <c r="G1264" s="1"/>
  <c r="G1263" s="1"/>
  <c r="F904"/>
  <c r="G904" s="1"/>
  <c r="G903" s="1"/>
  <c r="F800"/>
  <c r="G800" s="1"/>
  <c r="G799" s="1"/>
  <c r="F780"/>
  <c r="G780" s="1"/>
  <c r="G779" s="1"/>
  <c r="G783" s="1"/>
  <c r="F527"/>
  <c r="G527" s="1"/>
  <c r="G526" s="1"/>
  <c r="G528" s="1"/>
  <c r="G529" s="1"/>
  <c r="G530" s="1"/>
  <c r="F505"/>
  <c r="G505" s="1"/>
  <c r="G504" s="1"/>
  <c r="F436"/>
  <c r="G436" s="1"/>
  <c r="G435" s="1"/>
  <c r="F386"/>
  <c r="G386" s="1"/>
  <c r="G385" s="1"/>
  <c r="F199"/>
  <c r="G199" s="1"/>
  <c r="G198" s="1"/>
  <c r="F154"/>
  <c r="G154" s="1"/>
  <c r="G153" s="1"/>
  <c r="F27"/>
  <c r="G27" s="1"/>
  <c r="G26" s="1"/>
  <c r="G28" s="1"/>
  <c r="G29" s="1"/>
  <c r="F775" i="20"/>
  <c r="G775" s="1"/>
  <c r="G774" s="1"/>
  <c r="F674" i="23"/>
  <c r="G674" s="1"/>
  <c r="G673" s="1"/>
  <c r="F156"/>
  <c r="G156" s="1"/>
  <c r="G155" s="1"/>
  <c r="BB6" i="43"/>
  <c r="BB40" s="1"/>
  <c r="F362" i="21"/>
  <c r="G362" s="1"/>
  <c r="G361" s="1"/>
  <c r="F243"/>
  <c r="G243" s="1"/>
  <c r="G242" s="1"/>
  <c r="G246" s="1"/>
  <c r="H247" s="1"/>
  <c r="H248" s="1"/>
  <c r="F222"/>
  <c r="G222" s="1"/>
  <c r="G221" s="1"/>
  <c r="F176"/>
  <c r="G176" s="1"/>
  <c r="G175" s="1"/>
  <c r="F93"/>
  <c r="G93" s="1"/>
  <c r="G92" s="1"/>
  <c r="G94" s="1"/>
  <c r="F722" i="20"/>
  <c r="G722" s="1"/>
  <c r="G721" s="1"/>
  <c r="M6" i="43"/>
  <c r="M12" s="1"/>
  <c r="M39" s="1"/>
  <c r="F211" i="20"/>
  <c r="G211" s="1"/>
  <c r="G210" s="1"/>
  <c r="F151"/>
  <c r="G151" s="1"/>
  <c r="G150" s="1"/>
  <c r="F109"/>
  <c r="G109" s="1"/>
  <c r="G108" s="1"/>
  <c r="G114" s="1"/>
  <c r="H115" s="1"/>
  <c r="H116" s="1"/>
  <c r="F89"/>
  <c r="G89" s="1"/>
  <c r="G88" s="1"/>
  <c r="F256" i="18"/>
  <c r="G256" s="1"/>
  <c r="G255" s="1"/>
  <c r="F49"/>
  <c r="G49" s="1"/>
  <c r="G48" s="1"/>
  <c r="F295" i="17"/>
  <c r="G295" s="1"/>
  <c r="G294" s="1"/>
  <c r="F274"/>
  <c r="G274" s="1"/>
  <c r="G273" s="1"/>
  <c r="F174"/>
  <c r="G174" s="1"/>
  <c r="G173" s="1"/>
  <c r="F27"/>
  <c r="G27" s="1"/>
  <c r="G26" s="1"/>
  <c r="F8"/>
  <c r="G8" s="1"/>
  <c r="G7" s="1"/>
  <c r="G11" s="1"/>
  <c r="H12" s="1"/>
  <c r="H13" s="1"/>
  <c r="F906" i="16"/>
  <c r="G906" s="1"/>
  <c r="G905" s="1"/>
  <c r="F854"/>
  <c r="G854" s="1"/>
  <c r="G853" s="1"/>
  <c r="F760"/>
  <c r="G760" s="1"/>
  <c r="G759" s="1"/>
  <c r="F624"/>
  <c r="G624" s="1"/>
  <c r="G623" s="1"/>
  <c r="F590"/>
  <c r="G590" s="1"/>
  <c r="G589" s="1"/>
  <c r="F522"/>
  <c r="G522" s="1"/>
  <c r="G521" s="1"/>
  <c r="F385"/>
  <c r="G385" s="1"/>
  <c r="G384" s="1"/>
  <c r="F696" i="23"/>
  <c r="G696" s="1"/>
  <c r="G695" s="1"/>
  <c r="F290" i="22"/>
  <c r="G290" s="1"/>
  <c r="G289" s="1"/>
  <c r="F71"/>
  <c r="G71" s="1"/>
  <c r="G70" s="1"/>
  <c r="F1086" i="21"/>
  <c r="G1086" s="1"/>
  <c r="G1085" s="1"/>
  <c r="F846"/>
  <c r="G846" s="1"/>
  <c r="G845" s="1"/>
  <c r="F483"/>
  <c r="G483" s="1"/>
  <c r="G482" s="1"/>
  <c r="F287"/>
  <c r="G287" s="1"/>
  <c r="G286" s="1"/>
  <c r="F623" i="20"/>
  <c r="G623" s="1"/>
  <c r="G622" s="1"/>
  <c r="F570"/>
  <c r="G570" s="1"/>
  <c r="G569" s="1"/>
  <c r="F191"/>
  <c r="G191" s="1"/>
  <c r="G190" s="1"/>
  <c r="G194" s="1"/>
  <c r="G195" s="1"/>
  <c r="G196" s="1"/>
  <c r="F47"/>
  <c r="G47" s="1"/>
  <c r="G46" s="1"/>
  <c r="F185" i="18"/>
  <c r="G185" s="1"/>
  <c r="G184" s="1"/>
  <c r="F162"/>
  <c r="G162" s="1"/>
  <c r="F71"/>
  <c r="G71" s="1"/>
  <c r="F27"/>
  <c r="G27" s="1"/>
  <c r="G26" s="1"/>
  <c r="F200" i="17"/>
  <c r="G200" s="1"/>
  <c r="G199" s="1"/>
  <c r="F148"/>
  <c r="G148" s="1"/>
  <c r="G147" s="1"/>
  <c r="F109"/>
  <c r="G109" s="1"/>
  <c r="G108" s="1"/>
  <c r="F89"/>
  <c r="G89" s="1"/>
  <c r="G88" s="1"/>
  <c r="F50"/>
  <c r="G50" s="1"/>
  <c r="G49" s="1"/>
  <c r="G53" s="1"/>
  <c r="O6" i="43"/>
  <c r="O12" s="1"/>
  <c r="O39" s="1"/>
  <c r="F658" i="16"/>
  <c r="G658" s="1"/>
  <c r="G657" s="1"/>
  <c r="F488"/>
  <c r="G488" s="1"/>
  <c r="G487" s="1"/>
  <c r="F351"/>
  <c r="G351" s="1"/>
  <c r="G350" s="1"/>
  <c r="F252"/>
  <c r="G252" s="1"/>
  <c r="G251" s="1"/>
  <c r="G225"/>
  <c r="G224" s="1"/>
  <c r="F198"/>
  <c r="G198" s="1"/>
  <c r="G197" s="1"/>
  <c r="G35"/>
  <c r="F1202" i="21"/>
  <c r="G1202" s="1"/>
  <c r="G1201" s="1"/>
  <c r="F1173"/>
  <c r="G1173" s="1"/>
  <c r="G1172" s="1"/>
  <c r="F962"/>
  <c r="G962" s="1"/>
  <c r="G961" s="1"/>
  <c r="F933"/>
  <c r="G933" s="1"/>
  <c r="G932" s="1"/>
  <c r="F671" i="20"/>
  <c r="G671" s="1"/>
  <c r="G670" s="1"/>
  <c r="F232" i="18"/>
  <c r="G232" s="1"/>
  <c r="G231" s="1"/>
  <c r="F249" i="17"/>
  <c r="G249" s="1"/>
  <c r="G248" s="1"/>
  <c r="F69"/>
  <c r="G69" s="1"/>
  <c r="G68" s="1"/>
  <c r="F692" i="16"/>
  <c r="G692" s="1"/>
  <c r="G691" s="1"/>
  <c r="F8" i="22"/>
  <c r="G8" s="1"/>
  <c r="G7" s="1"/>
  <c r="I6" i="43"/>
  <c r="I12" s="1"/>
  <c r="I39" s="1"/>
  <c r="F563" i="21"/>
  <c r="G563" s="1"/>
  <c r="G562" s="1"/>
  <c r="G564" s="1"/>
  <c r="H565" s="1"/>
  <c r="H566" s="1"/>
  <c r="F543" i="20"/>
  <c r="G543" s="1"/>
  <c r="G542" s="1"/>
  <c r="F208" i="18"/>
  <c r="G208" s="1"/>
  <c r="G207" s="1"/>
  <c r="F527" i="23"/>
  <c r="G527" s="1"/>
  <c r="G526" s="1"/>
  <c r="N527"/>
  <c r="O527" s="1"/>
  <c r="F754"/>
  <c r="G754" s="1"/>
  <c r="F56" i="46"/>
  <c r="F57" s="1"/>
  <c r="G57" s="1"/>
  <c r="G22"/>
  <c r="F104" i="16"/>
  <c r="G104" s="1"/>
  <c r="G103" s="1"/>
  <c r="F454"/>
  <c r="G454" s="1"/>
  <c r="G453" s="1"/>
  <c r="F794"/>
  <c r="G794" s="1"/>
  <c r="G793" s="1"/>
  <c r="F880"/>
  <c r="G880" s="1"/>
  <c r="G879" s="1"/>
  <c r="F951"/>
  <c r="G951" s="1"/>
  <c r="G950" s="1"/>
  <c r="G952" s="1"/>
  <c r="G953" s="1"/>
  <c r="F128" i="17"/>
  <c r="G128" s="1"/>
  <c r="G127" s="1"/>
  <c r="F115" i="18"/>
  <c r="G115" s="1"/>
  <c r="G114" s="1"/>
  <c r="F289"/>
  <c r="G289" s="1"/>
  <c r="G288" s="1"/>
  <c r="F27" i="20"/>
  <c r="G27" s="1"/>
  <c r="G26" s="1"/>
  <c r="F68"/>
  <c r="G68" s="1"/>
  <c r="G67" s="1"/>
  <c r="F361"/>
  <c r="G361" s="1"/>
  <c r="G360" s="1"/>
  <c r="F438"/>
  <c r="G438" s="1"/>
  <c r="G437" s="1"/>
  <c r="F490"/>
  <c r="G490" s="1"/>
  <c r="G489" s="1"/>
  <c r="I35" i="43"/>
  <c r="I33"/>
  <c r="I34"/>
  <c r="F854" i="21"/>
  <c r="G854" s="1"/>
  <c r="G852" s="1"/>
  <c r="F1372"/>
  <c r="G1372" s="1"/>
  <c r="G1371" s="1"/>
  <c r="G15" i="8"/>
  <c r="F1585" i="21"/>
  <c r="G1585" s="1"/>
  <c r="F1507"/>
  <c r="G1507" s="1"/>
  <c r="F1325"/>
  <c r="G1325" s="1"/>
  <c r="F1327"/>
  <c r="G1327"/>
  <c r="F1273"/>
  <c r="G1273"/>
  <c r="F1151"/>
  <c r="G1151" s="1"/>
  <c r="F1033"/>
  <c r="G1033" s="1"/>
  <c r="F1035"/>
  <c r="G1035" s="1"/>
  <c r="F1611"/>
  <c r="G1611"/>
  <c r="F1559"/>
  <c r="G1559" s="1"/>
  <c r="F1481"/>
  <c r="G1481" s="1"/>
  <c r="F1403"/>
  <c r="G1403" s="1"/>
  <c r="F1405"/>
  <c r="G1405"/>
  <c r="F1299"/>
  <c r="G1299"/>
  <c r="F1242"/>
  <c r="G1242" s="1"/>
  <c r="F1244"/>
  <c r="G1244" s="1"/>
  <c r="F1122"/>
  <c r="G1122" s="1"/>
  <c r="F1124"/>
  <c r="G1124" s="1"/>
  <c r="G1121" s="1"/>
  <c r="F1002"/>
  <c r="G1002" s="1"/>
  <c r="F882"/>
  <c r="G882" s="1"/>
  <c r="F1377"/>
  <c r="G1377" s="1"/>
  <c r="F911"/>
  <c r="G911"/>
  <c r="F1429"/>
  <c r="G1429" s="1"/>
  <c r="F971"/>
  <c r="G971" s="1"/>
  <c r="F973"/>
  <c r="G973" s="1"/>
  <c r="F853"/>
  <c r="G853" s="1"/>
  <c r="F1180"/>
  <c r="G1180" s="1"/>
  <c r="F940"/>
  <c r="G940" s="1"/>
  <c r="F1533"/>
  <c r="G1533"/>
  <c r="F1455"/>
  <c r="G1455" s="1"/>
  <c r="F1351"/>
  <c r="G1351" s="1"/>
  <c r="F1093"/>
  <c r="G1093" s="1"/>
  <c r="F1064"/>
  <c r="G1064"/>
  <c r="F369" i="28"/>
  <c r="G369" s="1"/>
  <c r="N369"/>
  <c r="O369" s="1"/>
  <c r="O368" s="1"/>
  <c r="O371" s="1"/>
  <c r="O372" s="1"/>
  <c r="O373" s="1"/>
  <c r="F782" i="20"/>
  <c r="G782" s="1"/>
  <c r="F183" i="17"/>
  <c r="G183" s="1"/>
  <c r="F370" i="28"/>
  <c r="G370" s="1"/>
  <c r="F50" i="21"/>
  <c r="G50" s="1"/>
  <c r="G49" s="1"/>
  <c r="F162" i="23"/>
  <c r="G162" s="1"/>
  <c r="F1587" i="21"/>
  <c r="G1587" s="1"/>
  <c r="F1509"/>
  <c r="G1509" s="1"/>
  <c r="F1431"/>
  <c r="G1431" s="1"/>
  <c r="G1428" s="1"/>
  <c r="F1153"/>
  <c r="G1153" s="1"/>
  <c r="F1301"/>
  <c r="G1301" s="1"/>
  <c r="G1298" s="1"/>
  <c r="F884"/>
  <c r="G884" s="1"/>
  <c r="F1613"/>
  <c r="G1613"/>
  <c r="F1182"/>
  <c r="G1182"/>
  <c r="F855"/>
  <c r="G855" s="1"/>
  <c r="F1535"/>
  <c r="G1535" s="1"/>
  <c r="F1457"/>
  <c r="G1457" s="1"/>
  <c r="F1066"/>
  <c r="G1066" s="1"/>
  <c r="G1063" s="1"/>
  <c r="F942"/>
  <c r="G942" s="1"/>
  <c r="F913"/>
  <c r="G913" s="1"/>
  <c r="F1379"/>
  <c r="G1379" s="1"/>
  <c r="F191" i="18"/>
  <c r="G191"/>
  <c r="G32" i="46"/>
  <c r="E32" i="45"/>
  <c r="F32"/>
  <c r="G8" i="16"/>
  <c r="AW9" i="43"/>
  <c r="AW33" s="1"/>
  <c r="F8" i="18"/>
  <c r="G8" s="1"/>
  <c r="G7" s="1"/>
  <c r="G11" s="1"/>
  <c r="H12" s="1"/>
  <c r="H13" s="1"/>
  <c r="F167"/>
  <c r="G167"/>
  <c r="F168"/>
  <c r="G168" s="1"/>
  <c r="Y49" i="43"/>
  <c r="F9" i="20"/>
  <c r="G9" s="1"/>
  <c r="G8" s="1"/>
  <c r="G10" s="1"/>
  <c r="H11" s="1"/>
  <c r="H12" s="1"/>
  <c r="F131"/>
  <c r="G131" s="1"/>
  <c r="G130" s="1"/>
  <c r="G134" s="1"/>
  <c r="H135" s="1"/>
  <c r="H136" s="1"/>
  <c r="F336"/>
  <c r="G336" s="1"/>
  <c r="G335" s="1"/>
  <c r="F312" i="21"/>
  <c r="G312" s="1"/>
  <c r="G311" s="1"/>
  <c r="F411"/>
  <c r="G411" s="1"/>
  <c r="G410" s="1"/>
  <c r="F461"/>
  <c r="G461" s="1"/>
  <c r="G460" s="1"/>
  <c r="F1450"/>
  <c r="G1450" s="1"/>
  <c r="G1449" s="1"/>
  <c r="F27" i="22"/>
  <c r="G27" s="1"/>
  <c r="G26" s="1"/>
  <c r="F305" i="23"/>
  <c r="G305" s="1"/>
  <c r="G304" s="1"/>
  <c r="G1148" i="21"/>
  <c r="I49" i="43"/>
  <c r="AO49"/>
  <c r="BV49"/>
  <c r="BT49"/>
  <c r="AS49"/>
  <c r="F402" i="23"/>
  <c r="G402" s="1"/>
  <c r="G401" s="1"/>
  <c r="F293" i="20"/>
  <c r="G293" s="1"/>
  <c r="F243"/>
  <c r="G243" s="1"/>
  <c r="Z49" i="43"/>
  <c r="X49"/>
  <c r="AG49"/>
  <c r="AP49"/>
  <c r="AH49"/>
  <c r="AJ33"/>
  <c r="BO18"/>
  <c r="BO44" s="1"/>
  <c r="AA18"/>
  <c r="AA44" s="1"/>
  <c r="BN18"/>
  <c r="BN21" s="1"/>
  <c r="BN45" s="1"/>
  <c r="BB18"/>
  <c r="BB21" s="1"/>
  <c r="BB45" s="1"/>
  <c r="AD18"/>
  <c r="AD44" s="1"/>
  <c r="BM18"/>
  <c r="BM21" s="1"/>
  <c r="BM45" s="1"/>
  <c r="AJ18"/>
  <c r="AJ21" s="1"/>
  <c r="AJ45" s="1"/>
  <c r="W18"/>
  <c r="W21" s="1"/>
  <c r="W45" s="1"/>
  <c r="O18"/>
  <c r="O21" s="1"/>
  <c r="O45" s="1"/>
  <c r="C18"/>
  <c r="C44" s="1"/>
  <c r="BL18"/>
  <c r="BL21" s="1"/>
  <c r="BL45" s="1"/>
  <c r="V18"/>
  <c r="V21" s="1"/>
  <c r="V45" s="1"/>
  <c r="N18"/>
  <c r="N44" s="1"/>
  <c r="F18"/>
  <c r="F21" s="1"/>
  <c r="F45" s="1"/>
  <c r="L18"/>
  <c r="L44" s="1"/>
  <c r="BE18"/>
  <c r="BE44" s="1"/>
  <c r="AK18"/>
  <c r="AK44" s="1"/>
  <c r="P18"/>
  <c r="P44" s="1"/>
  <c r="B18"/>
  <c r="B21" s="1"/>
  <c r="B45" s="1"/>
  <c r="BA18"/>
  <c r="BA21" s="1"/>
  <c r="BA45" s="1"/>
  <c r="AR18"/>
  <c r="AR21" s="1"/>
  <c r="AR45" s="1"/>
  <c r="H19" i="31"/>
  <c r="F19"/>
  <c r="H23"/>
  <c r="F23"/>
  <c r="F179" i="28"/>
  <c r="G179" s="1"/>
  <c r="F27" i="31"/>
  <c r="F31"/>
  <c r="H31"/>
  <c r="H39"/>
  <c r="F220" i="28"/>
  <c r="G220" s="1"/>
  <c r="F180"/>
  <c r="G180" s="1"/>
  <c r="H43" i="31"/>
  <c r="F159" i="23"/>
  <c r="G159" s="1"/>
  <c r="G157" s="1"/>
  <c r="H47" i="31"/>
  <c r="F47"/>
  <c r="H51"/>
  <c r="F51"/>
  <c r="H55"/>
  <c r="F55"/>
  <c r="H59"/>
  <c r="F59"/>
  <c r="F63"/>
  <c r="H63"/>
  <c r="H67"/>
  <c r="F650" i="23"/>
  <c r="G650" s="1"/>
  <c r="F67" i="31"/>
  <c r="F701" i="23"/>
  <c r="G701" s="1"/>
  <c r="F450"/>
  <c r="G450" s="1"/>
  <c r="G448" s="1"/>
  <c r="F423"/>
  <c r="G423" s="1"/>
  <c r="G421" s="1"/>
  <c r="F79" i="31"/>
  <c r="H79"/>
  <c r="H83"/>
  <c r="F83"/>
  <c r="AF49" i="43"/>
  <c r="F677" i="23"/>
  <c r="G677" s="1"/>
  <c r="F655"/>
  <c r="G655" s="1"/>
  <c r="AI49" i="43"/>
  <c r="AD34"/>
  <c r="H10" i="31"/>
  <c r="F10"/>
  <c r="H14"/>
  <c r="F14"/>
  <c r="H18"/>
  <c r="F18"/>
  <c r="H22"/>
  <c r="F22"/>
  <c r="H26"/>
  <c r="F26"/>
  <c r="F698" i="23"/>
  <c r="G698" s="1"/>
  <c r="H30" i="31"/>
  <c r="F30"/>
  <c r="H34"/>
  <c r="F34"/>
  <c r="H38"/>
  <c r="F38"/>
  <c r="H42"/>
  <c r="F42"/>
  <c r="F161" i="28"/>
  <c r="G161" s="1"/>
  <c r="H46" i="31"/>
  <c r="F46"/>
  <c r="H50"/>
  <c r="F50"/>
  <c r="H54"/>
  <c r="F54"/>
  <c r="H58"/>
  <c r="F58"/>
  <c r="H62"/>
  <c r="F62"/>
  <c r="H66"/>
  <c r="F66"/>
  <c r="H70"/>
  <c r="F70"/>
  <c r="H74"/>
  <c r="F74"/>
  <c r="H78"/>
  <c r="F78"/>
  <c r="H82"/>
  <c r="F82"/>
  <c r="O40" i="43"/>
  <c r="BM44"/>
  <c r="AD21"/>
  <c r="AD45" s="1"/>
  <c r="E62" i="45"/>
  <c r="F30"/>
  <c r="G101" i="46"/>
  <c r="G21"/>
  <c r="O1347" i="21"/>
  <c r="O264"/>
  <c r="O162" i="28"/>
  <c r="G233" i="18"/>
  <c r="O1174" i="21"/>
  <c r="G1477"/>
  <c r="O1581"/>
  <c r="O183" i="22"/>
  <c r="G333" i="28"/>
  <c r="G334" s="1"/>
  <c r="H333"/>
  <c r="O1321" i="21"/>
  <c r="G318" i="16"/>
  <c r="O905" i="21"/>
  <c r="O398" i="23"/>
  <c r="O338" i="21"/>
  <c r="G185" i="22"/>
  <c r="O297" i="28"/>
  <c r="O298" s="1"/>
  <c r="O1477" i="21"/>
  <c r="N158"/>
  <c r="O158"/>
  <c r="O157" s="1"/>
  <c r="F158"/>
  <c r="G158" s="1"/>
  <c r="G157" s="1"/>
  <c r="G159" s="1"/>
  <c r="F323" i="17"/>
  <c r="G323" s="1"/>
  <c r="N183"/>
  <c r="O183" s="1"/>
  <c r="N523" i="20"/>
  <c r="O523" s="1"/>
  <c r="N782"/>
  <c r="O782"/>
  <c r="N625" i="23"/>
  <c r="O625" s="1"/>
  <c r="N323" i="17"/>
  <c r="O323" s="1"/>
  <c r="N157"/>
  <c r="O157" s="1"/>
  <c r="F625" i="23"/>
  <c r="G625"/>
  <c r="F157" i="17"/>
  <c r="G157" s="1"/>
  <c r="F523" i="20"/>
  <c r="G523" s="1"/>
  <c r="F319" i="21"/>
  <c r="G319" s="1"/>
  <c r="F368"/>
  <c r="G368" s="1"/>
  <c r="G366" s="1"/>
  <c r="F269"/>
  <c r="G269" s="1"/>
  <c r="F343"/>
  <c r="G343"/>
  <c r="F392"/>
  <c r="G392" s="1"/>
  <c r="F442"/>
  <c r="G442" s="1"/>
  <c r="F478" i="23"/>
  <c r="G478" s="1"/>
  <c r="F428"/>
  <c r="G428" s="1"/>
  <c r="F74" i="21"/>
  <c r="G74" s="1"/>
  <c r="N478" i="23"/>
  <c r="O478" s="1"/>
  <c r="N74" i="21"/>
  <c r="O74" s="1"/>
  <c r="F757" i="23"/>
  <c r="G757"/>
  <c r="F504"/>
  <c r="G504" s="1"/>
  <c r="N757"/>
  <c r="O757" s="1"/>
  <c r="N504"/>
  <c r="O504" s="1"/>
  <c r="N428"/>
  <c r="O428" s="1"/>
  <c r="N77" i="18"/>
  <c r="O77" s="1"/>
  <c r="N168"/>
  <c r="O168" s="1"/>
  <c r="O166" s="1"/>
  <c r="F77"/>
  <c r="G77" s="1"/>
  <c r="N754" i="23"/>
  <c r="O754" s="1"/>
  <c r="F425"/>
  <c r="G425" s="1"/>
  <c r="N425"/>
  <c r="O425"/>
  <c r="N477"/>
  <c r="O477"/>
  <c r="F509" i="21"/>
  <c r="G509" s="1"/>
  <c r="G508" s="1"/>
  <c r="F487"/>
  <c r="G487" s="1"/>
  <c r="G486" s="1"/>
  <c r="N487"/>
  <c r="O487" s="1"/>
  <c r="O486" s="1"/>
  <c r="N191" i="18"/>
  <c r="O191" s="1"/>
  <c r="F98"/>
  <c r="G98" s="1"/>
  <c r="G97" s="1"/>
  <c r="N37" i="28"/>
  <c r="O37" s="1"/>
  <c r="O36" s="1"/>
  <c r="F37"/>
  <c r="G37" s="1"/>
  <c r="G36" s="1"/>
  <c r="N368" i="20"/>
  <c r="O368" s="1"/>
  <c r="N343"/>
  <c r="O343"/>
  <c r="F343"/>
  <c r="G343" s="1"/>
  <c r="N293"/>
  <c r="O293" s="1"/>
  <c r="F368"/>
  <c r="G368" s="1"/>
  <c r="N203" i="21"/>
  <c r="O203"/>
  <c r="F203"/>
  <c r="G203" s="1"/>
  <c r="G24" i="46"/>
  <c r="N676" i="23"/>
  <c r="O676" s="1"/>
  <c r="G26" i="46"/>
  <c r="F342" i="21"/>
  <c r="G342" s="1"/>
  <c r="H351" i="28"/>
  <c r="G9" i="46"/>
  <c r="F65" i="45"/>
  <c r="E68"/>
  <c r="F68"/>
  <c r="F26"/>
  <c r="F18"/>
  <c r="F24"/>
  <c r="F50"/>
  <c r="E44"/>
  <c r="F44"/>
  <c r="F33"/>
  <c r="F34"/>
  <c r="F17"/>
  <c r="E36"/>
  <c r="F36"/>
  <c r="E15"/>
  <c r="F15" s="1"/>
  <c r="E22"/>
  <c r="F22"/>
  <c r="F28"/>
  <c r="E90"/>
  <c r="F90"/>
  <c r="E82"/>
  <c r="F82"/>
  <c r="E48"/>
  <c r="F48" s="1"/>
  <c r="E45"/>
  <c r="F45"/>
  <c r="E67"/>
  <c r="F67" s="1"/>
  <c r="E64"/>
  <c r="F64"/>
  <c r="F80"/>
  <c r="E61"/>
  <c r="F61" s="1"/>
  <c r="F74"/>
  <c r="F16"/>
  <c r="F86"/>
  <c r="F40"/>
  <c r="F9" i="48"/>
  <c r="D9"/>
  <c r="F10"/>
  <c r="C10"/>
  <c r="E10"/>
  <c r="C9"/>
  <c r="E7"/>
  <c r="G25" i="46"/>
  <c r="F232" i="17"/>
  <c r="G232" s="1"/>
  <c r="G231" s="1"/>
  <c r="G27" i="46"/>
  <c r="G10"/>
  <c r="F264" i="16" s="1"/>
  <c r="G264" s="1"/>
  <c r="G11" i="46"/>
  <c r="G12"/>
  <c r="F365" i="16" s="1"/>
  <c r="G365" s="1"/>
  <c r="F366"/>
  <c r="G366" s="1"/>
  <c r="G13" i="46"/>
  <c r="G119" i="16"/>
  <c r="G14" i="46"/>
  <c r="G15"/>
  <c r="L808" i="16" s="1"/>
  <c r="M808" s="1"/>
  <c r="L809"/>
  <c r="M809" s="1"/>
  <c r="G16" i="46"/>
  <c r="G17"/>
  <c r="F774" i="16"/>
  <c r="G774" s="1"/>
  <c r="O112" i="21"/>
  <c r="O876"/>
  <c r="F71" i="45"/>
  <c r="O351" i="23"/>
  <c r="AN49" i="43"/>
  <c r="G209" i="18"/>
  <c r="F81" i="28"/>
  <c r="G81" s="1"/>
  <c r="G80" s="1"/>
  <c r="N81"/>
  <c r="O81" s="1"/>
  <c r="O351"/>
  <c r="O352" s="1"/>
  <c r="G28" i="17"/>
  <c r="F1632" i="21"/>
  <c r="G1632" s="1"/>
  <c r="G1631" s="1"/>
  <c r="G1633" s="1"/>
  <c r="F68"/>
  <c r="G68" s="1"/>
  <c r="G67" s="1"/>
  <c r="G1696"/>
  <c r="F283" i="16"/>
  <c r="G283" s="1"/>
  <c r="G282" s="1"/>
  <c r="F556"/>
  <c r="G556" s="1"/>
  <c r="G555" s="1"/>
  <c r="F1009"/>
  <c r="G1009" s="1"/>
  <c r="G1008" s="1"/>
  <c r="F316" i="17"/>
  <c r="G316" s="1"/>
  <c r="G315" s="1"/>
  <c r="F138" i="18"/>
  <c r="G138" s="1"/>
  <c r="G137" s="1"/>
  <c r="F1528" i="21"/>
  <c r="G1528" s="1"/>
  <c r="G1527" s="1"/>
  <c r="BB9" i="43"/>
  <c r="BB34" s="1"/>
  <c r="G132" i="23"/>
  <c r="F264" i="18"/>
  <c r="G264"/>
  <c r="G263" s="1"/>
  <c r="AY6" i="43"/>
  <c r="AY12" s="1"/>
  <c r="AY39" s="1"/>
  <c r="W283" i="16"/>
  <c r="X283" s="1"/>
  <c r="X282" s="1"/>
  <c r="F317"/>
  <c r="G317" s="1"/>
  <c r="G316" s="1"/>
  <c r="F726"/>
  <c r="G726" s="1"/>
  <c r="G725" s="1"/>
  <c r="F828"/>
  <c r="G828" s="1"/>
  <c r="G827" s="1"/>
  <c r="F931"/>
  <c r="G931" s="1"/>
  <c r="G930" s="1"/>
  <c r="F969"/>
  <c r="G969" s="1"/>
  <c r="G968" s="1"/>
  <c r="G972" s="1"/>
  <c r="F989"/>
  <c r="G989" s="1"/>
  <c r="G988" s="1"/>
  <c r="F223" i="17"/>
  <c r="G223" s="1"/>
  <c r="G222" s="1"/>
  <c r="F386" i="20"/>
  <c r="G386" s="1"/>
  <c r="G385" s="1"/>
  <c r="G1652" i="21"/>
  <c r="G547" i="23"/>
  <c r="N294" i="28"/>
  <c r="O294" s="1"/>
  <c r="F12" i="31"/>
  <c r="L774" i="16"/>
  <c r="M774" s="1"/>
  <c r="F502"/>
  <c r="G502" s="1"/>
  <c r="L502"/>
  <c r="M502" s="1"/>
  <c r="L503"/>
  <c r="M503" s="1"/>
  <c r="N180" i="21"/>
  <c r="O180" s="1"/>
  <c r="O179" s="1"/>
  <c r="F14" i="28"/>
  <c r="G14" s="1"/>
  <c r="F804" i="21"/>
  <c r="G804" s="1"/>
  <c r="G803" s="1"/>
  <c r="F180"/>
  <c r="G180"/>
  <c r="G179" s="1"/>
  <c r="F190" i="18"/>
  <c r="G190"/>
  <c r="N14" i="28"/>
  <c r="O14"/>
  <c r="N190" i="18"/>
  <c r="O190"/>
  <c r="N13" i="28"/>
  <c r="O13"/>
  <c r="F13"/>
  <c r="G13"/>
  <c r="F605" i="21"/>
  <c r="G605"/>
  <c r="G604" s="1"/>
  <c r="N808" i="20"/>
  <c r="O808" s="1"/>
  <c r="F808"/>
  <c r="G808" s="1"/>
  <c r="N578"/>
  <c r="O578" s="1"/>
  <c r="N579"/>
  <c r="O579" s="1"/>
  <c r="F578"/>
  <c r="G578" s="1"/>
  <c r="N728"/>
  <c r="O728" s="1"/>
  <c r="F728"/>
  <c r="G728"/>
  <c r="N703"/>
  <c r="O703" s="1"/>
  <c r="F703"/>
  <c r="G703" s="1"/>
  <c r="N678"/>
  <c r="O678" s="1"/>
  <c r="F678"/>
  <c r="G678" s="1"/>
  <c r="F652"/>
  <c r="G652" s="1"/>
  <c r="N652"/>
  <c r="O652" s="1"/>
  <c r="N730" i="23"/>
  <c r="O730" s="1"/>
  <c r="N471" i="20"/>
  <c r="O471" s="1"/>
  <c r="N628"/>
  <c r="O628" s="1"/>
  <c r="N445"/>
  <c r="O445" s="1"/>
  <c r="F730" i="23"/>
  <c r="G730" s="1"/>
  <c r="F471" i="20"/>
  <c r="G471" s="1"/>
  <c r="F628"/>
  <c r="G628" s="1"/>
  <c r="F445"/>
  <c r="G445"/>
  <c r="F182" i="17"/>
  <c r="G182" s="1"/>
  <c r="N738" i="21"/>
  <c r="O738" s="1"/>
  <c r="F676" i="20"/>
  <c r="G676" s="1"/>
  <c r="F292"/>
  <c r="G292" s="1"/>
  <c r="G291" s="1"/>
  <c r="N524"/>
  <c r="O524" s="1"/>
  <c r="N264" i="23"/>
  <c r="O264" s="1"/>
  <c r="N355"/>
  <c r="O355" s="1"/>
  <c r="N550" i="20"/>
  <c r="O550" s="1"/>
  <c r="N156" i="17"/>
  <c r="O156" s="1"/>
  <c r="N653" i="23"/>
  <c r="O653"/>
  <c r="N576" i="20"/>
  <c r="O576" s="1"/>
  <c r="N267"/>
  <c r="O267" s="1"/>
  <c r="N322" i="17"/>
  <c r="O322" s="1"/>
  <c r="N292" i="20"/>
  <c r="O292" s="1"/>
  <c r="N217"/>
  <c r="O217"/>
  <c r="N676"/>
  <c r="O676" s="1"/>
  <c r="N754"/>
  <c r="O754" s="1"/>
  <c r="N419"/>
  <c r="O419" s="1"/>
  <c r="N342"/>
  <c r="O342" s="1"/>
  <c r="O341" s="1"/>
  <c r="N626" i="23"/>
  <c r="O626" s="1"/>
  <c r="F267" i="20"/>
  <c r="G267" s="1"/>
  <c r="N182" i="17"/>
  <c r="O182" s="1"/>
  <c r="N105" i="28"/>
  <c r="O105"/>
  <c r="O104" s="1"/>
  <c r="N604" i="20"/>
  <c r="O604" s="1"/>
  <c r="N317"/>
  <c r="O317" s="1"/>
  <c r="N330" i="23"/>
  <c r="O330" s="1"/>
  <c r="N367" i="20"/>
  <c r="O367" s="1"/>
  <c r="O366" s="1"/>
  <c r="N496"/>
  <c r="O496" s="1"/>
  <c r="N781"/>
  <c r="O781" s="1"/>
  <c r="N596" i="23"/>
  <c r="O596" s="1"/>
  <c r="N393" i="20"/>
  <c r="O393"/>
  <c r="N762" i="21"/>
  <c r="O762" s="1"/>
  <c r="F653" i="23"/>
  <c r="G653" s="1"/>
  <c r="F596"/>
  <c r="G596" s="1"/>
  <c r="F330"/>
  <c r="G330"/>
  <c r="F626"/>
  <c r="G626" s="1"/>
  <c r="F355"/>
  <c r="G355"/>
  <c r="F264"/>
  <c r="G264" s="1"/>
  <c r="F238"/>
  <c r="G238"/>
  <c r="F738" i="21"/>
  <c r="G738" s="1"/>
  <c r="F781" i="20"/>
  <c r="G781" s="1"/>
  <c r="F550"/>
  <c r="G550" s="1"/>
  <c r="F496"/>
  <c r="G496"/>
  <c r="F393"/>
  <c r="G393" s="1"/>
  <c r="F342"/>
  <c r="G342"/>
  <c r="G341" s="1"/>
  <c r="F762" i="21"/>
  <c r="G762"/>
  <c r="F754" i="20"/>
  <c r="G754" s="1"/>
  <c r="F604"/>
  <c r="G604" s="1"/>
  <c r="F317"/>
  <c r="G317" s="1"/>
  <c r="F156" i="17"/>
  <c r="G156"/>
  <c r="F576" i="20"/>
  <c r="G576" s="1"/>
  <c r="F524"/>
  <c r="G524" s="1"/>
  <c r="F419"/>
  <c r="G419" s="1"/>
  <c r="F367"/>
  <c r="G367"/>
  <c r="G366" s="1"/>
  <c r="F322" i="17"/>
  <c r="G322" s="1"/>
  <c r="F217" i="20"/>
  <c r="G217" s="1"/>
  <c r="F105" i="28"/>
  <c r="G105" s="1"/>
  <c r="G104" s="1"/>
  <c r="F242" i="20"/>
  <c r="G242" s="1"/>
  <c r="L156" i="16"/>
  <c r="M156" s="1"/>
  <c r="F707"/>
  <c r="G707" s="1"/>
  <c r="F332"/>
  <c r="G332" s="1"/>
  <c r="L400"/>
  <c r="M400" s="1"/>
  <c r="F809"/>
  <c r="G809" s="1"/>
  <c r="F741"/>
  <c r="G741" s="1"/>
  <c r="F571"/>
  <c r="G571" s="1"/>
  <c r="F434"/>
  <c r="G434" s="1"/>
  <c r="F298"/>
  <c r="G298" s="1"/>
  <c r="F775"/>
  <c r="G775" s="1"/>
  <c r="G773" s="1"/>
  <c r="F639"/>
  <c r="G639" s="1"/>
  <c r="F605"/>
  <c r="G605" s="1"/>
  <c r="F537"/>
  <c r="G537" s="1"/>
  <c r="F400"/>
  <c r="G400" s="1"/>
  <c r="F469"/>
  <c r="G469" s="1"/>
  <c r="G120"/>
  <c r="G51"/>
  <c r="W298"/>
  <c r="X298" s="1"/>
  <c r="L673"/>
  <c r="M673" s="1"/>
  <c r="L17"/>
  <c r="M17" s="1"/>
  <c r="M14" s="1"/>
  <c r="L120"/>
  <c r="M120" s="1"/>
  <c r="L639"/>
  <c r="M639" s="1"/>
  <c r="L332"/>
  <c r="M332" s="1"/>
  <c r="M330" s="1"/>
  <c r="L298"/>
  <c r="M298" s="1"/>
  <c r="L707"/>
  <c r="M707" s="1"/>
  <c r="L605"/>
  <c r="M605" s="1"/>
  <c r="L741"/>
  <c r="M741" s="1"/>
  <c r="L366"/>
  <c r="M366" s="1"/>
  <c r="F673"/>
  <c r="G673" s="1"/>
  <c r="F503"/>
  <c r="G503" s="1"/>
  <c r="G17"/>
  <c r="L775"/>
  <c r="M775" s="1"/>
  <c r="L469"/>
  <c r="M469" s="1"/>
  <c r="L537"/>
  <c r="M537" s="1"/>
  <c r="L571"/>
  <c r="M571" s="1"/>
  <c r="L434"/>
  <c r="M434" s="1"/>
  <c r="L51"/>
  <c r="M51" s="1"/>
  <c r="F536"/>
  <c r="G536" s="1"/>
  <c r="L536"/>
  <c r="M536" s="1"/>
  <c r="G331"/>
  <c r="L604"/>
  <c r="M604" s="1"/>
  <c r="F783" i="20"/>
  <c r="G783" s="1"/>
  <c r="N356" i="23"/>
  <c r="O356" s="1"/>
  <c r="O354" s="1"/>
  <c r="F443" i="21"/>
  <c r="G443"/>
  <c r="F344"/>
  <c r="G344"/>
  <c r="F268" i="20"/>
  <c r="G268" s="1"/>
  <c r="G266" s="1"/>
  <c r="F318"/>
  <c r="G318" s="1"/>
  <c r="G316" s="1"/>
  <c r="F189" i="18"/>
  <c r="G189" s="1"/>
  <c r="G188" s="1"/>
  <c r="N551" i="20"/>
  <c r="O551" s="1"/>
  <c r="F551"/>
  <c r="G551" s="1"/>
  <c r="N318"/>
  <c r="O318" s="1"/>
  <c r="N783"/>
  <c r="O783" s="1"/>
  <c r="N627" i="23"/>
  <c r="O627" s="1"/>
  <c r="N552" i="20"/>
  <c r="O552" s="1"/>
  <c r="N344" i="21"/>
  <c r="O344" s="1"/>
  <c r="O341" s="1"/>
  <c r="N525" i="20"/>
  <c r="O525"/>
  <c r="N218"/>
  <c r="O218" s="1"/>
  <c r="N443" i="21"/>
  <c r="O443" s="1"/>
  <c r="O440" s="1"/>
  <c r="N268" i="20"/>
  <c r="O268" s="1"/>
  <c r="O266" s="1"/>
  <c r="F627" i="23"/>
  <c r="G627" s="1"/>
  <c r="F239"/>
  <c r="G239"/>
  <c r="F356"/>
  <c r="G356" s="1"/>
  <c r="G354" s="1"/>
  <c r="F218" i="20"/>
  <c r="G218" s="1"/>
  <c r="N189" i="18"/>
  <c r="O189" s="1"/>
  <c r="O188" s="1"/>
  <c r="F525" i="20"/>
  <c r="G525" s="1"/>
  <c r="N677"/>
  <c r="O677"/>
  <c r="F702"/>
  <c r="G702" s="1"/>
  <c r="F677"/>
  <c r="G677" s="1"/>
  <c r="F651"/>
  <c r="G651" s="1"/>
  <c r="F627"/>
  <c r="G627" s="1"/>
  <c r="G626" s="1"/>
  <c r="F807"/>
  <c r="G807" s="1"/>
  <c r="F470"/>
  <c r="G470" s="1"/>
  <c r="G469" s="1"/>
  <c r="N807"/>
  <c r="O807"/>
  <c r="N627"/>
  <c r="O627" s="1"/>
  <c r="O626" s="1"/>
  <c r="N727"/>
  <c r="O727" s="1"/>
  <c r="N651"/>
  <c r="O651" s="1"/>
  <c r="N470"/>
  <c r="O470" s="1"/>
  <c r="O469" s="1"/>
  <c r="N702"/>
  <c r="O702" s="1"/>
  <c r="N444"/>
  <c r="O444" s="1"/>
  <c r="O443" s="1"/>
  <c r="F444"/>
  <c r="G444" s="1"/>
  <c r="F727"/>
  <c r="G727" s="1"/>
  <c r="F806"/>
  <c r="G806" s="1"/>
  <c r="N806"/>
  <c r="O806" s="1"/>
  <c r="BP40" i="43"/>
  <c r="G351" i="28"/>
  <c r="G352" s="1"/>
  <c r="G161" i="23"/>
  <c r="G267" i="21"/>
  <c r="O1145"/>
  <c r="Q44" i="43"/>
  <c r="N940" i="21"/>
  <c r="O940" s="1"/>
  <c r="N1180"/>
  <c r="O1180" s="1"/>
  <c r="N1403"/>
  <c r="O1403" s="1"/>
  <c r="N1377"/>
  <c r="O1377"/>
  <c r="N971"/>
  <c r="O971" s="1"/>
  <c r="N1242"/>
  <c r="O1242" s="1"/>
  <c r="N1151"/>
  <c r="O1151" s="1"/>
  <c r="N1122"/>
  <c r="O1122" s="1"/>
  <c r="O1265"/>
  <c r="G1150"/>
  <c r="G1376"/>
  <c r="O412"/>
  <c r="M9" i="43"/>
  <c r="M33" s="1"/>
  <c r="N1482" i="21"/>
  <c r="O1482" s="1"/>
  <c r="N1612"/>
  <c r="O1612" s="1"/>
  <c r="N1613"/>
  <c r="O1613" s="1"/>
  <c r="M10" i="16"/>
  <c r="O1674" i="21"/>
  <c r="O262" i="20"/>
  <c r="O1203" i="21"/>
  <c r="G389" i="16"/>
  <c r="BY49" i="43"/>
  <c r="AE49"/>
  <c r="G287" i="16"/>
  <c r="O287" s="1"/>
  <c r="P287" s="1"/>
  <c r="G394"/>
  <c r="G428"/>
  <c r="G1204" i="21"/>
  <c r="G1321"/>
  <c r="O421" i="23"/>
  <c r="O387" i="21"/>
  <c r="B343"/>
  <c r="B392"/>
  <c r="AQ49" i="43"/>
  <c r="G533" i="16"/>
  <c r="G798"/>
  <c r="G850" i="21"/>
  <c r="G144" i="16"/>
  <c r="P144" s="1"/>
  <c r="G859"/>
  <c r="G9" i="43"/>
  <c r="G34" s="1"/>
  <c r="N761" i="21"/>
  <c r="O761" s="1"/>
  <c r="O760" s="1"/>
  <c r="N331" i="23"/>
  <c r="O331"/>
  <c r="N329"/>
  <c r="O329" s="1"/>
  <c r="F729"/>
  <c r="G729" s="1"/>
  <c r="G728" s="1"/>
  <c r="N204" i="21"/>
  <c r="O204" s="1"/>
  <c r="O202" s="1"/>
  <c r="F597" i="23"/>
  <c r="G597" s="1"/>
  <c r="F331"/>
  <c r="G331" s="1"/>
  <c r="N737" i="21"/>
  <c r="O737"/>
  <c r="N729" i="23"/>
  <c r="O729"/>
  <c r="F577" i="20"/>
  <c r="G577"/>
  <c r="F15" i="28"/>
  <c r="G15" s="1"/>
  <c r="N497" i="20"/>
  <c r="O497" s="1"/>
  <c r="F755"/>
  <c r="G755"/>
  <c r="F497"/>
  <c r="G497" s="1"/>
  <c r="N755"/>
  <c r="O755" s="1"/>
  <c r="N597" i="23"/>
  <c r="O597" s="1"/>
  <c r="F737" i="21"/>
  <c r="G737" s="1"/>
  <c r="N705" i="23"/>
  <c r="O705" s="1"/>
  <c r="N654"/>
  <c r="O654" s="1"/>
  <c r="F705"/>
  <c r="G705" s="1"/>
  <c r="F204" i="21"/>
  <c r="G204"/>
  <c r="G202" s="1"/>
  <c r="N15" i="28"/>
  <c r="O15"/>
  <c r="O12" s="1"/>
  <c r="F761" i="21"/>
  <c r="G761"/>
  <c r="G760" s="1"/>
  <c r="N577" i="20"/>
  <c r="O577"/>
  <c r="F654" i="23"/>
  <c r="G654" s="1"/>
  <c r="F604" i="16"/>
  <c r="G604" s="1"/>
  <c r="G341" i="21"/>
  <c r="L570" i="16"/>
  <c r="M570" s="1"/>
  <c r="L119"/>
  <c r="M119" s="1"/>
  <c r="L118"/>
  <c r="M118" s="1"/>
  <c r="L154"/>
  <c r="M154" s="1"/>
  <c r="L49"/>
  <c r="M49" s="1"/>
  <c r="L85"/>
  <c r="M85" s="1"/>
  <c r="N678" i="23"/>
  <c r="O678" s="1"/>
  <c r="F307"/>
  <c r="G307" s="1"/>
  <c r="G306" s="1"/>
  <c r="N656"/>
  <c r="O656" s="1"/>
  <c r="F598"/>
  <c r="G598" s="1"/>
  <c r="F595"/>
  <c r="G595" s="1"/>
  <c r="N756" i="20"/>
  <c r="O756" s="1"/>
  <c r="F656" i="23"/>
  <c r="G656" s="1"/>
  <c r="F329"/>
  <c r="G329" s="1"/>
  <c r="G328" s="1"/>
  <c r="N379"/>
  <c r="O379"/>
  <c r="E41" i="45"/>
  <c r="F41"/>
  <c r="E83"/>
  <c r="F83" s="1"/>
  <c r="E27"/>
  <c r="F27"/>
  <c r="F740" i="16"/>
  <c r="G740" s="1"/>
  <c r="L468"/>
  <c r="M468" s="1"/>
  <c r="F468"/>
  <c r="G468" s="1"/>
  <c r="L740"/>
  <c r="M740" s="1"/>
  <c r="F7" i="48"/>
  <c r="F672" i="16"/>
  <c r="G672" s="1"/>
  <c r="L672"/>
  <c r="M672" s="1"/>
  <c r="L399"/>
  <c r="M399" s="1"/>
  <c r="F399"/>
  <c r="G399" s="1"/>
  <c r="L86"/>
  <c r="M86" s="1"/>
  <c r="F297"/>
  <c r="G297" s="1"/>
  <c r="F570"/>
  <c r="G570" s="1"/>
  <c r="W297"/>
  <c r="X297" s="1"/>
  <c r="L297"/>
  <c r="M297" s="1"/>
  <c r="L50"/>
  <c r="M50" s="1"/>
  <c r="G116" i="23"/>
  <c r="F379"/>
  <c r="G379" s="1"/>
  <c r="F12" i="48"/>
  <c r="F495" i="20"/>
  <c r="G495"/>
  <c r="F239" i="18"/>
  <c r="G239" s="1"/>
  <c r="G238" s="1"/>
  <c r="N495" i="20"/>
  <c r="O495" s="1"/>
  <c r="L1015" i="16"/>
  <c r="M1015" s="1"/>
  <c r="M1014" s="1"/>
  <c r="F580" i="20"/>
  <c r="G580" s="1"/>
  <c r="F1015" i="16"/>
  <c r="G1015" s="1"/>
  <c r="G1014" s="1"/>
  <c r="N726" i="20"/>
  <c r="O726" s="1"/>
  <c r="N595" i="23"/>
  <c r="O595" s="1"/>
  <c r="F704"/>
  <c r="G704" s="1"/>
  <c r="N753" i="20"/>
  <c r="O753" s="1"/>
  <c r="F624" i="23"/>
  <c r="G624" s="1"/>
  <c r="G623" s="1"/>
  <c r="F726" i="20"/>
  <c r="G726" s="1"/>
  <c r="G725" s="1"/>
  <c r="F933" i="16"/>
  <c r="G933" s="1"/>
  <c r="G932" s="1"/>
  <c r="N652" i="23"/>
  <c r="O652" s="1"/>
  <c r="N624"/>
  <c r="O624" s="1"/>
  <c r="O623" s="1"/>
  <c r="N704"/>
  <c r="O704" s="1"/>
  <c r="F753" i="20"/>
  <c r="G753" s="1"/>
  <c r="N701"/>
  <c r="O701" s="1"/>
  <c r="O700" s="1"/>
  <c r="N580"/>
  <c r="O580" s="1"/>
  <c r="F652" i="23"/>
  <c r="G652" s="1"/>
  <c r="G317" i="21"/>
  <c r="L706" i="16"/>
  <c r="M706" s="1"/>
  <c r="M705" s="1"/>
  <c r="F433"/>
  <c r="G433" s="1"/>
  <c r="F706"/>
  <c r="G706" s="1"/>
  <c r="L433"/>
  <c r="M433" s="1"/>
  <c r="F155" i="17"/>
  <c r="G155"/>
  <c r="G154" s="1"/>
  <c r="N605" i="20"/>
  <c r="O605"/>
  <c r="N181" i="17"/>
  <c r="O181" s="1"/>
  <c r="N263" i="23"/>
  <c r="O263" s="1"/>
  <c r="O262" s="1"/>
  <c r="N420" i="20"/>
  <c r="O420" s="1"/>
  <c r="F263" i="23"/>
  <c r="G263" s="1"/>
  <c r="F420" i="20"/>
  <c r="G420" s="1"/>
  <c r="F605"/>
  <c r="G605" s="1"/>
  <c r="F394"/>
  <c r="G394" s="1"/>
  <c r="N394"/>
  <c r="O394" s="1"/>
  <c r="O392" s="1"/>
  <c r="F321" i="17"/>
  <c r="G321"/>
  <c r="G320" s="1"/>
  <c r="F181"/>
  <c r="G181"/>
  <c r="G180" s="1"/>
  <c r="N155"/>
  <c r="O155" s="1"/>
  <c r="O154" s="1"/>
  <c r="N321"/>
  <c r="O321" s="1"/>
  <c r="E58" i="45"/>
  <c r="F58" s="1"/>
  <c r="G1529" i="21"/>
  <c r="E57" i="45"/>
  <c r="F57" s="1"/>
  <c r="F676" i="23"/>
  <c r="G676" s="1"/>
  <c r="G50" i="16"/>
  <c r="L155"/>
  <c r="M155" s="1"/>
  <c r="F701" i="20"/>
  <c r="G701" s="1"/>
  <c r="F262" i="16"/>
  <c r="G262" s="1"/>
  <c r="F678" i="23"/>
  <c r="G678" s="1"/>
  <c r="F237"/>
  <c r="G237" s="1"/>
  <c r="N498" i="20"/>
  <c r="O498" s="1"/>
  <c r="O522"/>
  <c r="L262" i="16"/>
  <c r="M262" s="1"/>
  <c r="N307" i="23"/>
  <c r="O307" s="1"/>
  <c r="O306" s="1"/>
  <c r="AR44" i="43"/>
  <c r="B44"/>
  <c r="B49" s="1"/>
  <c r="E70" i="45"/>
  <c r="F70"/>
  <c r="N1379" i="21"/>
  <c r="O1379" s="1"/>
  <c r="O1376" s="1"/>
  <c r="N1004"/>
  <c r="O1004" s="1"/>
  <c r="O1001" s="1"/>
  <c r="N1095"/>
  <c r="O1095" s="1"/>
  <c r="N1182"/>
  <c r="O1182" s="1"/>
  <c r="N942"/>
  <c r="O942" s="1"/>
  <c r="N1483"/>
  <c r="O1483" s="1"/>
  <c r="O1480" s="1"/>
  <c r="N1587"/>
  <c r="O1587" s="1"/>
  <c r="O1584" s="1"/>
  <c r="N1066"/>
  <c r="O1066" s="1"/>
  <c r="N884"/>
  <c r="O884" s="1"/>
  <c r="N1405"/>
  <c r="O1405"/>
  <c r="N1035"/>
  <c r="O1035" s="1"/>
  <c r="N1327"/>
  <c r="O1327" s="1"/>
  <c r="O1324" s="1"/>
  <c r="N973"/>
  <c r="O973" s="1"/>
  <c r="N1153"/>
  <c r="O1153" s="1"/>
  <c r="N1213"/>
  <c r="O1213" s="1"/>
  <c r="O1210" s="1"/>
  <c r="N1244"/>
  <c r="O1244" s="1"/>
  <c r="N1301"/>
  <c r="O1301" s="1"/>
  <c r="N1353"/>
  <c r="O1353" s="1"/>
  <c r="N1431"/>
  <c r="O1431"/>
  <c r="N913"/>
  <c r="O913" s="1"/>
  <c r="N1509"/>
  <c r="O1509" s="1"/>
  <c r="N1457"/>
  <c r="O1457" s="1"/>
  <c r="O1454" s="1"/>
  <c r="N1275"/>
  <c r="O1275" s="1"/>
  <c r="O1272" s="1"/>
  <c r="N1535"/>
  <c r="O1535" s="1"/>
  <c r="O1532" s="1"/>
  <c r="N855"/>
  <c r="O855" s="1"/>
  <c r="N1561"/>
  <c r="O1561" s="1"/>
  <c r="N1124"/>
  <c r="O1124"/>
  <c r="F1275"/>
  <c r="G1275" s="1"/>
  <c r="F1483"/>
  <c r="G1483" s="1"/>
  <c r="F1004"/>
  <c r="G1004" s="1"/>
  <c r="G1001" s="1"/>
  <c r="F1353"/>
  <c r="G1353" s="1"/>
  <c r="F1095"/>
  <c r="G1095" s="1"/>
  <c r="G1092" s="1"/>
  <c r="F1561"/>
  <c r="G1561" s="1"/>
  <c r="G1558" s="1"/>
  <c r="C21" i="43"/>
  <c r="C45" s="1"/>
  <c r="C49" s="1"/>
  <c r="F35" i="45"/>
  <c r="D10" i="48"/>
  <c r="E69" i="45"/>
  <c r="F69"/>
  <c r="F62"/>
  <c r="P21" i="43"/>
  <c r="P45" s="1"/>
  <c r="AG39"/>
  <c r="E11" i="48"/>
  <c r="G118" i="16"/>
  <c r="L264"/>
  <c r="M264" s="1"/>
  <c r="L638"/>
  <c r="M638" s="1"/>
  <c r="F638"/>
  <c r="G638" s="1"/>
  <c r="L365"/>
  <c r="M365" s="1"/>
  <c r="N33" i="17"/>
  <c r="O33" s="1"/>
  <c r="O32" s="1"/>
  <c r="F33"/>
  <c r="G33" s="1"/>
  <c r="G32" s="1"/>
  <c r="F257"/>
  <c r="G257" s="1"/>
  <c r="G256" s="1"/>
  <c r="N257"/>
  <c r="O257" s="1"/>
  <c r="O256" s="1"/>
  <c r="N121" i="18"/>
  <c r="O121" s="1"/>
  <c r="O120" s="1"/>
  <c r="N232" i="17"/>
  <c r="O232" s="1"/>
  <c r="O231" s="1"/>
  <c r="F121" i="18"/>
  <c r="G121" s="1"/>
  <c r="G120" s="1"/>
  <c r="N215"/>
  <c r="O215" s="1"/>
  <c r="O214" s="1"/>
  <c r="F215"/>
  <c r="G215" s="1"/>
  <c r="G214" s="1"/>
  <c r="F808" i="16"/>
  <c r="G808" s="1"/>
  <c r="O163" i="28"/>
  <c r="O164" s="1"/>
  <c r="E23" i="45"/>
  <c r="F23" s="1"/>
  <c r="F37"/>
  <c r="F47"/>
  <c r="O526" i="23"/>
  <c r="O437" i="21"/>
  <c r="AK6" i="43"/>
  <c r="AK40" s="1"/>
  <c r="AV6"/>
  <c r="AV40" s="1"/>
  <c r="E38" i="45"/>
  <c r="F38"/>
  <c r="F71" i="31"/>
  <c r="F113" i="16"/>
  <c r="G113" s="1"/>
  <c r="P113" s="1"/>
  <c r="H71" i="31"/>
  <c r="L113" i="16"/>
  <c r="M113" s="1"/>
  <c r="H80" i="31"/>
  <c r="F121" i="22"/>
  <c r="G121" s="1"/>
  <c r="F80" i="31"/>
  <c r="N121" i="22"/>
  <c r="O121" s="1"/>
  <c r="E8" i="48"/>
  <c r="O847" i="21"/>
  <c r="F59" i="28"/>
  <c r="G59" s="1"/>
  <c r="G58" s="1"/>
  <c r="N59"/>
  <c r="O59" s="1"/>
  <c r="O58" s="1"/>
  <c r="F85" i="45"/>
  <c r="H1679" i="21"/>
  <c r="G1674"/>
  <c r="E9" i="48"/>
  <c r="E24" i="30"/>
  <c r="F24" s="1"/>
  <c r="N1352" i="21"/>
  <c r="O1352" s="1"/>
  <c r="O1350" s="1"/>
  <c r="N1560"/>
  <c r="O1560"/>
  <c r="O1558" s="1"/>
  <c r="N854"/>
  <c r="O854" s="1"/>
  <c r="N972"/>
  <c r="O972" s="1"/>
  <c r="N1034"/>
  <c r="O1034" s="1"/>
  <c r="O1032" s="1"/>
  <c r="N1300"/>
  <c r="O1300" s="1"/>
  <c r="F16" i="31"/>
  <c r="H16"/>
  <c r="F692" i="21"/>
  <c r="G692" s="1"/>
  <c r="H20" i="31"/>
  <c r="F339" i="20"/>
  <c r="G339" s="1"/>
  <c r="F289"/>
  <c r="G289" s="1"/>
  <c r="G287" s="1"/>
  <c r="F214"/>
  <c r="G214" s="1"/>
  <c r="F239"/>
  <c r="G239" s="1"/>
  <c r="F240"/>
  <c r="G240" s="1"/>
  <c r="F151" i="17"/>
  <c r="G151" s="1"/>
  <c r="F153"/>
  <c r="G153" s="1"/>
  <c r="F364" i="20"/>
  <c r="G364" s="1"/>
  <c r="F264"/>
  <c r="G264" s="1"/>
  <c r="F177" i="17"/>
  <c r="G177" s="1"/>
  <c r="F255" i="16"/>
  <c r="G255" s="1"/>
  <c r="F20" i="31"/>
  <c r="F314" i="20"/>
  <c r="G314" s="1"/>
  <c r="F24" i="31"/>
  <c r="H24"/>
  <c r="H28"/>
  <c r="F861" i="16"/>
  <c r="G861" s="1"/>
  <c r="F835"/>
  <c r="G835" s="1"/>
  <c r="F28" i="31"/>
  <c r="F887" i="16"/>
  <c r="G887" s="1"/>
  <c r="L835"/>
  <c r="M835" s="1"/>
  <c r="L887"/>
  <c r="M887" s="1"/>
  <c r="N158" i="23"/>
  <c r="O158" s="1"/>
  <c r="H37" i="31"/>
  <c r="F37"/>
  <c r="D8" i="48"/>
  <c r="G1026" i="21"/>
  <c r="E84" i="45"/>
  <c r="F84"/>
  <c r="F73" i="22"/>
  <c r="G73" s="1"/>
  <c r="F910" i="16"/>
  <c r="G910" s="1"/>
  <c r="F908"/>
  <c r="G908" s="1"/>
  <c r="F858"/>
  <c r="G858" s="1"/>
  <c r="F763"/>
  <c r="G763" s="1"/>
  <c r="F1239" i="21"/>
  <c r="G1239" s="1"/>
  <c r="F1061"/>
  <c r="F999"/>
  <c r="F96" i="22"/>
  <c r="G96" s="1"/>
  <c r="F1270" i="21"/>
  <c r="F1208"/>
  <c r="G1208" s="1"/>
  <c r="F1030"/>
  <c r="G1030" s="1"/>
  <c r="F968"/>
  <c r="G968" s="1"/>
  <c r="F695" i="16"/>
  <c r="G695" s="1"/>
  <c r="F593"/>
  <c r="G593" s="1"/>
  <c r="F525"/>
  <c r="G525" s="1"/>
  <c r="F141" i="22"/>
  <c r="F884" i="16"/>
  <c r="G884" s="1"/>
  <c r="F729"/>
  <c r="G729" s="1"/>
  <c r="F627"/>
  <c r="G627" s="1"/>
  <c r="F559"/>
  <c r="F286"/>
  <c r="G286" s="1"/>
  <c r="F110"/>
  <c r="G110" s="1"/>
  <c r="P110" s="1"/>
  <c r="F491"/>
  <c r="G491" s="1"/>
  <c r="F457"/>
  <c r="G457" s="1"/>
  <c r="F422"/>
  <c r="G422" s="1"/>
  <c r="F163" i="22"/>
  <c r="G163" s="1"/>
  <c r="G162" s="1"/>
  <c r="F50"/>
  <c r="F354" i="16"/>
  <c r="G354" s="1"/>
  <c r="F202"/>
  <c r="F117" i="22"/>
  <c r="G117" s="1"/>
  <c r="F832" i="16"/>
  <c r="F388"/>
  <c r="G388" s="1"/>
  <c r="F43" i="31"/>
  <c r="F797" i="16"/>
  <c r="G797" s="1"/>
  <c r="F661"/>
  <c r="G661" s="1"/>
  <c r="F145"/>
  <c r="G145" s="1"/>
  <c r="P145" s="1"/>
  <c r="F53" i="22"/>
  <c r="G53" s="1"/>
  <c r="F48" i="31"/>
  <c r="F99" i="22"/>
  <c r="G99" s="1"/>
  <c r="H48" i="31"/>
  <c r="F76" i="22"/>
  <c r="G76" s="1"/>
  <c r="H52" i="31"/>
  <c r="F52"/>
  <c r="F227" i="22"/>
  <c r="G227" s="1"/>
  <c r="F206"/>
  <c r="G206" s="1"/>
  <c r="F30"/>
  <c r="G30" s="1"/>
  <c r="F248"/>
  <c r="G248" s="1"/>
  <c r="H56" i="31"/>
  <c r="F228" i="16"/>
  <c r="G228" s="1"/>
  <c r="G226" s="1"/>
  <c r="F56" i="31"/>
  <c r="H60"/>
  <c r="F60"/>
  <c r="F649" i="23"/>
  <c r="G649" s="1"/>
  <c r="F601" i="20"/>
  <c r="G601" s="1"/>
  <c r="F493"/>
  <c r="G493" s="1"/>
  <c r="F416"/>
  <c r="G416" s="1"/>
  <c r="F390"/>
  <c r="G390" s="1"/>
  <c r="F674"/>
  <c r="G674" s="1"/>
  <c r="G672" s="1"/>
  <c r="F574"/>
  <c r="G574" s="1"/>
  <c r="F442"/>
  <c r="G442" s="1"/>
  <c r="F118" i="18"/>
  <c r="G118" s="1"/>
  <c r="G116" s="1"/>
  <c r="F700" i="23"/>
  <c r="G700" s="1"/>
  <c r="F751" i="20"/>
  <c r="G751" s="1"/>
  <c r="F547"/>
  <c r="G547" s="1"/>
  <c r="F468"/>
  <c r="G468" s="1"/>
  <c r="F621" i="23"/>
  <c r="G621" s="1"/>
  <c r="F593"/>
  <c r="G593" s="1"/>
  <c r="F1013" i="16"/>
  <c r="G1013" s="1"/>
  <c r="G10"/>
  <c r="F258"/>
  <c r="G258" s="1"/>
  <c r="N621" i="23"/>
  <c r="O621"/>
  <c r="N593"/>
  <c r="O593" s="1"/>
  <c r="N416" i="20"/>
  <c r="O416" s="1"/>
  <c r="N674"/>
  <c r="O674" s="1"/>
  <c r="O672" s="1"/>
  <c r="N649" i="23"/>
  <c r="O649" s="1"/>
  <c r="N574" i="20"/>
  <c r="O574" s="1"/>
  <c r="N601"/>
  <c r="O601" s="1"/>
  <c r="N468"/>
  <c r="O468" s="1"/>
  <c r="N442"/>
  <c r="O442" s="1"/>
  <c r="F475" i="23"/>
  <c r="G475" s="1"/>
  <c r="F365" i="21"/>
  <c r="G365" s="1"/>
  <c r="G363" s="1"/>
  <c r="F340"/>
  <c r="G340" s="1"/>
  <c r="G338" s="1"/>
  <c r="F315"/>
  <c r="G315" s="1"/>
  <c r="F114"/>
  <c r="G114" s="1"/>
  <c r="F400" i="23"/>
  <c r="G400" s="1"/>
  <c r="F285"/>
  <c r="G285" s="1"/>
  <c r="F261"/>
  <c r="G261" s="1"/>
  <c r="G259" s="1"/>
  <c r="F208"/>
  <c r="G208" s="1"/>
  <c r="G207" s="1"/>
  <c r="F439" i="21"/>
  <c r="G439" s="1"/>
  <c r="G437" s="1"/>
  <c r="F414"/>
  <c r="G414" s="1"/>
  <c r="F71"/>
  <c r="G71" s="1"/>
  <c r="F520" i="20"/>
  <c r="G520" s="1"/>
  <c r="F365"/>
  <c r="G365" s="1"/>
  <c r="F315"/>
  <c r="G315" s="1"/>
  <c r="F265"/>
  <c r="G265" s="1"/>
  <c r="H64" i="31"/>
  <c r="F525" i="23"/>
  <c r="G525" s="1"/>
  <c r="G523" s="1"/>
  <c r="F290" i="21"/>
  <c r="G290" s="1"/>
  <c r="F340" i="20"/>
  <c r="G340" s="1"/>
  <c r="F215"/>
  <c r="G215" s="1"/>
  <c r="F727" i="23"/>
  <c r="G727" s="1"/>
  <c r="F353"/>
  <c r="G353" s="1"/>
  <c r="F64" i="31"/>
  <c r="F389" i="21"/>
  <c r="G389" s="1"/>
  <c r="G387" s="1"/>
  <c r="H68" i="31"/>
  <c r="F68"/>
  <c r="G559" i="16"/>
  <c r="O559" s="1"/>
  <c r="P559" s="1"/>
  <c r="E52" i="45"/>
  <c r="F52"/>
  <c r="N73" i="21"/>
  <c r="O73" s="1"/>
  <c r="N756" i="23"/>
  <c r="O756" s="1"/>
  <c r="N503"/>
  <c r="O503" s="1"/>
  <c r="L263" i="16"/>
  <c r="M263" s="1"/>
  <c r="L179"/>
  <c r="M179" s="1"/>
  <c r="M178" s="1"/>
  <c r="E76" i="45"/>
  <c r="F76"/>
  <c r="H27" i="31"/>
  <c r="F91" i="17"/>
  <c r="G91" s="1"/>
  <c r="F882" i="16"/>
  <c r="G882" s="1"/>
  <c r="F830"/>
  <c r="G830" s="1"/>
  <c r="F732"/>
  <c r="G732" s="1"/>
  <c r="F630"/>
  <c r="G630" s="1"/>
  <c r="F272" i="22"/>
  <c r="G272" s="1"/>
  <c r="F273"/>
  <c r="G273" s="1"/>
  <c r="F259" i="18"/>
  <c r="G259" s="1"/>
  <c r="F277" i="17"/>
  <c r="G277" s="1"/>
  <c r="F856" i="16"/>
  <c r="G856" s="1"/>
  <c r="F562"/>
  <c r="G562" s="1"/>
  <c r="O562" s="1"/>
  <c r="P562" s="1"/>
  <c r="F186" i="22"/>
  <c r="G186" s="1"/>
  <c r="F800" i="16"/>
  <c r="G800" s="1"/>
  <c r="F664"/>
  <c r="F391"/>
  <c r="G391" s="1"/>
  <c r="F143"/>
  <c r="G143" s="1"/>
  <c r="P143" s="1"/>
  <c r="F698"/>
  <c r="G698" s="1"/>
  <c r="F528"/>
  <c r="G528" s="1"/>
  <c r="F494"/>
  <c r="G494" s="1"/>
  <c r="F289"/>
  <c r="G289" s="1"/>
  <c r="O289" s="1"/>
  <c r="P289" s="1"/>
  <c r="F225" i="17"/>
  <c r="G225" s="1"/>
  <c r="F766" i="16"/>
  <c r="G766" s="1"/>
  <c r="F596"/>
  <c r="G596" s="1"/>
  <c r="F460"/>
  <c r="G460" s="1"/>
  <c r="F108"/>
  <c r="G108" s="1"/>
  <c r="F886"/>
  <c r="G886" s="1"/>
  <c r="F834"/>
  <c r="G834" s="1"/>
  <c r="F738"/>
  <c r="G738" s="1"/>
  <c r="F704"/>
  <c r="G704" s="1"/>
  <c r="F296" i="22"/>
  <c r="G296" s="1"/>
  <c r="F187"/>
  <c r="G187" s="1"/>
  <c r="F319"/>
  <c r="G319" s="1"/>
  <c r="F262" i="18"/>
  <c r="G262" s="1"/>
  <c r="F299" i="17"/>
  <c r="G299" s="1"/>
  <c r="G296" s="1"/>
  <c r="F278"/>
  <c r="G278" s="1"/>
  <c r="F534" i="16"/>
  <c r="G534" s="1"/>
  <c r="F568"/>
  <c r="G568" s="1"/>
  <c r="O568" s="1"/>
  <c r="P568" s="1"/>
  <c r="F860"/>
  <c r="G860" s="1"/>
  <c r="F772"/>
  <c r="G772" s="1"/>
  <c r="F636"/>
  <c r="G636" s="1"/>
  <c r="F500"/>
  <c r="G500" s="1"/>
  <c r="F431"/>
  <c r="G431" s="1"/>
  <c r="H40" i="31"/>
  <c r="F40"/>
  <c r="F98" i="22"/>
  <c r="G98" s="1"/>
  <c r="F75"/>
  <c r="G75" s="1"/>
  <c r="F52"/>
  <c r="F1238" i="21"/>
  <c r="G1238" s="1"/>
  <c r="G1234" s="1"/>
  <c r="F1060"/>
  <c r="G1060" s="1"/>
  <c r="G1061"/>
  <c r="G1056" s="1"/>
  <c r="F998"/>
  <c r="F1089"/>
  <c r="G1089" s="1"/>
  <c r="F849"/>
  <c r="G849" s="1"/>
  <c r="F1118"/>
  <c r="G1118" s="1"/>
  <c r="F878"/>
  <c r="G878" s="1"/>
  <c r="F1147"/>
  <c r="G1147" s="1"/>
  <c r="F907"/>
  <c r="G907" s="1"/>
  <c r="F1176"/>
  <c r="G1176" s="1"/>
  <c r="F936"/>
  <c r="G936" s="1"/>
  <c r="F622" i="23"/>
  <c r="G622" s="1"/>
  <c r="F759" i="21"/>
  <c r="G759" s="1"/>
  <c r="G757" s="1"/>
  <c r="F735"/>
  <c r="G735" s="1"/>
  <c r="G733" s="1"/>
  <c r="F225"/>
  <c r="G225" s="1"/>
  <c r="F752" i="23"/>
  <c r="G752" s="1"/>
  <c r="G750" s="1"/>
  <c r="F485" i="21"/>
  <c r="G485" s="1"/>
  <c r="G484" s="1"/>
  <c r="F779" i="20"/>
  <c r="G779" s="1"/>
  <c r="F548"/>
  <c r="G548" s="1"/>
  <c r="F415" i="21"/>
  <c r="G415" s="1"/>
  <c r="G412" s="1"/>
  <c r="F319" i="17"/>
  <c r="G319" s="1"/>
  <c r="F179"/>
  <c r="G179" s="1"/>
  <c r="F507" i="21"/>
  <c r="G507" s="1"/>
  <c r="G506" s="1"/>
  <c r="F521" i="20"/>
  <c r="G521" s="1"/>
  <c r="G518" s="1"/>
  <c r="F417"/>
  <c r="G417" s="1"/>
  <c r="F316" i="21"/>
  <c r="G316" s="1"/>
  <c r="G313" s="1"/>
  <c r="F602" i="20"/>
  <c r="G602" s="1"/>
  <c r="C11" i="48"/>
  <c r="G112" i="16"/>
  <c r="P112" s="1"/>
  <c r="G665"/>
  <c r="G832"/>
  <c r="F11" i="48"/>
  <c r="G664" i="16"/>
  <c r="N883" i="21"/>
  <c r="O883" s="1"/>
  <c r="O881" s="1"/>
  <c r="G999"/>
  <c r="G1119"/>
  <c r="G1270"/>
  <c r="F14" i="45"/>
  <c r="G998" i="21"/>
  <c r="G398" i="23"/>
  <c r="F181" i="28"/>
  <c r="G181" s="1"/>
  <c r="H1701" i="21"/>
  <c r="G50" i="20"/>
  <c r="G1268" i="21"/>
  <c r="F56" i="45"/>
  <c r="P9" i="43"/>
  <c r="P33" s="1"/>
  <c r="G69" i="21"/>
  <c r="AU49" i="43"/>
  <c r="G701" i="16"/>
  <c r="F72" i="45"/>
  <c r="G202" i="16"/>
  <c r="G491" i="20"/>
  <c r="F227" i="17"/>
  <c r="G227" s="1"/>
  <c r="F991" i="16"/>
  <c r="G991" s="1"/>
  <c r="G990" s="1"/>
  <c r="F17" i="31"/>
  <c r="F285" i="18"/>
  <c r="G285" s="1"/>
  <c r="H21" i="31"/>
  <c r="F728" i="16"/>
  <c r="G728" s="1"/>
  <c r="F626"/>
  <c r="G626" s="1"/>
  <c r="H33" i="31"/>
  <c r="F33"/>
  <c r="F1205" i="21"/>
  <c r="G1205" s="1"/>
  <c r="F1027"/>
  <c r="G1027" s="1"/>
  <c r="F965"/>
  <c r="G965" s="1"/>
  <c r="F1267"/>
  <c r="G1267" s="1"/>
  <c r="G1265" s="1"/>
  <c r="H76" i="31"/>
  <c r="F160" i="28"/>
  <c r="G160" s="1"/>
  <c r="G159" s="1"/>
  <c r="G162" s="1"/>
  <c r="F35"/>
  <c r="G35" s="1"/>
  <c r="G34" s="1"/>
  <c r="F352" i="23"/>
  <c r="G352" s="1"/>
  <c r="G351" s="1"/>
  <c r="F327"/>
  <c r="G327" s="1"/>
  <c r="G326" s="1"/>
  <c r="F1609" i="21"/>
  <c r="G1609" s="1"/>
  <c r="G1607" s="1"/>
  <c r="F1557"/>
  <c r="G1557" s="1"/>
  <c r="G1555" s="1"/>
  <c r="F1505"/>
  <c r="G1505" s="1"/>
  <c r="G1503" s="1"/>
  <c r="F1453"/>
  <c r="G1453" s="1"/>
  <c r="G1451" s="1"/>
  <c r="F1401"/>
  <c r="G1401" s="1"/>
  <c r="G1399" s="1"/>
  <c r="F1349"/>
  <c r="G1349" s="1"/>
  <c r="G1347" s="1"/>
  <c r="F1297"/>
  <c r="G1297" s="1"/>
  <c r="G1295" s="1"/>
  <c r="F1178"/>
  <c r="G1178" s="1"/>
  <c r="F1149"/>
  <c r="G1149" s="1"/>
  <c r="F1120"/>
  <c r="G1120" s="1"/>
  <c r="F1091"/>
  <c r="G1091" s="1"/>
  <c r="F938"/>
  <c r="G938" s="1"/>
  <c r="F909"/>
  <c r="G909" s="1"/>
  <c r="G905" s="1"/>
  <c r="F880"/>
  <c r="G880" s="1"/>
  <c r="F851"/>
  <c r="G851" s="1"/>
  <c r="G847" s="1"/>
  <c r="F802"/>
  <c r="G802"/>
  <c r="G801" s="1"/>
  <c r="F603"/>
  <c r="G603"/>
  <c r="G602" s="1"/>
  <c r="G606" s="1"/>
  <c r="F156"/>
  <c r="G156" s="1"/>
  <c r="G155" s="1"/>
  <c r="F363" i="20"/>
  <c r="G363" s="1"/>
  <c r="F153"/>
  <c r="G153" s="1"/>
  <c r="G152" s="1"/>
  <c r="F29"/>
  <c r="G29" s="1"/>
  <c r="G28" s="1"/>
  <c r="F284" i="18"/>
  <c r="G284" s="1"/>
  <c r="F57" i="28"/>
  <c r="G57" s="1"/>
  <c r="G56" s="1"/>
  <c r="F726" i="23"/>
  <c r="G726" s="1"/>
  <c r="F499"/>
  <c r="G499" s="1"/>
  <c r="G498" s="1"/>
  <c r="F474"/>
  <c r="G474" s="1"/>
  <c r="G473" s="1"/>
  <c r="F376"/>
  <c r="G376" s="1"/>
  <c r="F1206" i="21"/>
  <c r="G1206" s="1"/>
  <c r="F1028"/>
  <c r="G1028" s="1"/>
  <c r="F966"/>
  <c r="G966" s="1"/>
  <c r="F824"/>
  <c r="G824" s="1"/>
  <c r="G823" s="1"/>
  <c r="F625"/>
  <c r="G625" s="1"/>
  <c r="G624" s="1"/>
  <c r="F289"/>
  <c r="G289" s="1"/>
  <c r="F265"/>
  <c r="G265" s="1"/>
  <c r="G264" s="1"/>
  <c r="F224"/>
  <c r="G224" s="1"/>
  <c r="F178"/>
  <c r="G178" s="1"/>
  <c r="G177" s="1"/>
  <c r="F600" i="20"/>
  <c r="G600" s="1"/>
  <c r="F313"/>
  <c r="G313" s="1"/>
  <c r="G312" s="1"/>
  <c r="F263"/>
  <c r="G263" s="1"/>
  <c r="F91"/>
  <c r="G91" s="1"/>
  <c r="G90" s="1"/>
  <c r="F81" i="31"/>
  <c r="F122" i="22"/>
  <c r="G122" s="1"/>
  <c r="H73" i="31"/>
  <c r="F73"/>
  <c r="AQ9" i="43"/>
  <c r="AQ33" s="1"/>
  <c r="AR35"/>
  <c r="M34"/>
  <c r="G84" i="16"/>
  <c r="O575" i="20"/>
  <c r="G283" i="23"/>
  <c r="G112" i="21"/>
  <c r="AV12" i="43"/>
  <c r="AV39" s="1"/>
  <c r="G183" i="22"/>
  <c r="D7" i="48"/>
  <c r="H297" i="28"/>
  <c r="H298" s="1"/>
  <c r="F388"/>
  <c r="G388"/>
  <c r="G387" s="1"/>
  <c r="G389" s="1"/>
  <c r="N388"/>
  <c r="O388" s="1"/>
  <c r="O387" s="1"/>
  <c r="O389" s="1"/>
  <c r="N598" i="23"/>
  <c r="O598" s="1"/>
  <c r="O594" s="1"/>
  <c r="N465" i="21"/>
  <c r="O465" s="1"/>
  <c r="O464" s="1"/>
  <c r="F465"/>
  <c r="G465" s="1"/>
  <c r="G464" s="1"/>
  <c r="O675" i="20"/>
  <c r="G939" i="21"/>
  <c r="F756" i="20"/>
  <c r="G756" s="1"/>
  <c r="F498"/>
  <c r="G498" s="1"/>
  <c r="G494" s="1"/>
  <c r="N479" i="23"/>
  <c r="O479" s="1"/>
  <c r="N502"/>
  <c r="O502" s="1"/>
  <c r="O501" s="1"/>
  <c r="N75" i="21"/>
  <c r="O75" s="1"/>
  <c r="O72" s="1"/>
  <c r="F502" i="23"/>
  <c r="G502" s="1"/>
  <c r="F75" i="21"/>
  <c r="G75" s="1"/>
  <c r="G72" s="1"/>
  <c r="F479" i="23"/>
  <c r="G479" s="1"/>
  <c r="G476" s="1"/>
  <c r="O216" i="20"/>
  <c r="O1116" i="21"/>
  <c r="BE21" i="43"/>
  <c r="BE45" s="1"/>
  <c r="BE49" s="1"/>
  <c r="F51" i="45"/>
  <c r="F73"/>
  <c r="O1425" i="21"/>
  <c r="BX40" i="43"/>
  <c r="E12" i="48"/>
  <c r="G8" i="8"/>
  <c r="O1121" i="21" l="1"/>
  <c r="O1092"/>
  <c r="G236" i="23"/>
  <c r="G377"/>
  <c r="O736" i="21"/>
  <c r="G216" i="20"/>
  <c r="O780"/>
  <c r="O603"/>
  <c r="G1179" i="21"/>
  <c r="G881"/>
  <c r="G1506"/>
  <c r="O366"/>
  <c r="G424" i="23"/>
  <c r="G1272" i="21"/>
  <c r="O910"/>
  <c r="O1063"/>
  <c r="O675" i="23"/>
  <c r="G805" i="20"/>
  <c r="G650"/>
  <c r="O291"/>
  <c r="O291" i="21"/>
  <c r="G390"/>
  <c r="O1506"/>
  <c r="X296" i="16"/>
  <c r="G603"/>
  <c r="G1584" i="21"/>
  <c r="G910"/>
  <c r="G1532"/>
  <c r="O1428"/>
  <c r="G501" i="23"/>
  <c r="O1298" i="21"/>
  <c r="G1350"/>
  <c r="O1179"/>
  <c r="O377" i="23"/>
  <c r="O728"/>
  <c r="G241" i="20"/>
  <c r="O753" i="23"/>
  <c r="G753"/>
  <c r="O476"/>
  <c r="O852" i="21"/>
  <c r="G1480"/>
  <c r="O1241"/>
  <c r="G651" i="23"/>
  <c r="O651"/>
  <c r="G440" i="21"/>
  <c r="O80" i="28"/>
  <c r="O424" i="23"/>
  <c r="G137" i="21"/>
  <c r="G138" s="1"/>
  <c r="G139" s="1"/>
  <c r="O416"/>
  <c r="O390"/>
  <c r="O320" i="17"/>
  <c r="O180"/>
  <c r="G779" i="23"/>
  <c r="O267" i="21"/>
  <c r="O317"/>
  <c r="G780" i="20"/>
  <c r="G575"/>
  <c r="G675" i="23"/>
  <c r="G594"/>
  <c r="O328"/>
  <c r="O650" i="20"/>
  <c r="G522"/>
  <c r="O316"/>
  <c r="G752"/>
  <c r="G603"/>
  <c r="O752"/>
  <c r="O725"/>
  <c r="O805"/>
  <c r="M117" i="16"/>
  <c r="G390"/>
  <c r="G660"/>
  <c r="G806"/>
  <c r="M855"/>
  <c r="G467"/>
  <c r="G973"/>
  <c r="G285"/>
  <c r="O285" s="1"/>
  <c r="P285" s="1"/>
  <c r="G291"/>
  <c r="O291" s="1"/>
  <c r="P291" s="1"/>
  <c r="G295"/>
  <c r="O295" s="1"/>
  <c r="P295" s="1"/>
  <c r="G387"/>
  <c r="G395"/>
  <c r="G423"/>
  <c r="G427"/>
  <c r="G429"/>
  <c r="G697"/>
  <c r="G799"/>
  <c r="G111"/>
  <c r="P111" s="1"/>
  <c r="G115"/>
  <c r="P115" s="1"/>
  <c r="G292"/>
  <c r="O292" s="1"/>
  <c r="P292" s="1"/>
  <c r="G146"/>
  <c r="P146" s="1"/>
  <c r="G261"/>
  <c r="G432"/>
  <c r="M671"/>
  <c r="G106"/>
  <c r="P106" s="1"/>
  <c r="P117" s="1"/>
  <c r="G564"/>
  <c r="O564" s="1"/>
  <c r="P564" s="1"/>
  <c r="P569" s="1"/>
  <c r="G804"/>
  <c r="G883"/>
  <c r="G881" s="1"/>
  <c r="G888" s="1"/>
  <c r="G889" s="1"/>
  <c r="G890" s="1"/>
  <c r="G855"/>
  <c r="G862" s="1"/>
  <c r="G863" s="1"/>
  <c r="G864" s="1"/>
  <c r="G557"/>
  <c r="M364"/>
  <c r="G296"/>
  <c r="G330"/>
  <c r="G333" s="1"/>
  <c r="G334" s="1"/>
  <c r="G335" s="1"/>
  <c r="G637"/>
  <c r="M398"/>
  <c r="M739"/>
  <c r="M467"/>
  <c r="G599" i="20"/>
  <c r="G288" i="21"/>
  <c r="G725" i="23"/>
  <c r="G934" i="21"/>
  <c r="G994"/>
  <c r="O157" i="23"/>
  <c r="M829" i="16"/>
  <c r="G337" i="20"/>
  <c r="O90" i="17"/>
  <c r="O757" i="21"/>
  <c r="O209" i="18"/>
  <c r="O312" i="20"/>
  <c r="O725" i="23"/>
  <c r="O259"/>
  <c r="G288" i="16"/>
  <c r="O288" s="1"/>
  <c r="P288" s="1"/>
  <c r="G426"/>
  <c r="G524"/>
  <c r="G532"/>
  <c r="G663"/>
  <c r="G668"/>
  <c r="G694"/>
  <c r="G700"/>
  <c r="G693" s="1"/>
  <c r="G702"/>
  <c r="G796"/>
  <c r="G802"/>
  <c r="O1696" i="21"/>
  <c r="G831" i="16"/>
  <c r="G912"/>
  <c r="G70" i="20"/>
  <c r="G1203" i="21"/>
  <c r="G275" i="17"/>
  <c r="O233" i="18"/>
  <c r="O212" i="20"/>
  <c r="O1373" i="21"/>
  <c r="O473" i="23"/>
  <c r="G178" i="28"/>
  <c r="G183" s="1"/>
  <c r="H163"/>
  <c r="H164" s="1"/>
  <c r="G163"/>
  <c r="G164" s="1"/>
  <c r="O518" i="20"/>
  <c r="G52" i="22"/>
  <c r="J61"/>
  <c r="G50"/>
  <c r="J59"/>
  <c r="G262" i="20"/>
  <c r="G223" i="21"/>
  <c r="G876"/>
  <c r="G1116"/>
  <c r="G1174"/>
  <c r="G727" i="16"/>
  <c r="G90" i="17"/>
  <c r="O599" i="20"/>
  <c r="BQ12" i="43"/>
  <c r="BQ39" s="1"/>
  <c r="G455" i="23"/>
  <c r="G456" s="1"/>
  <c r="G457" s="1"/>
  <c r="O178" i="28"/>
  <c r="O183" s="1"/>
  <c r="O523" i="23"/>
  <c r="M455" i="16"/>
  <c r="X284"/>
  <c r="X299" s="1"/>
  <c r="X300" s="1"/>
  <c r="G141" i="22"/>
  <c r="J149"/>
  <c r="G362" i="20"/>
  <c r="G650" i="21"/>
  <c r="G651" s="1"/>
  <c r="M625" i="16"/>
  <c r="M557"/>
  <c r="G500" i="20"/>
  <c r="H501" s="1"/>
  <c r="H502" s="1"/>
  <c r="G135"/>
  <c r="G136" s="1"/>
  <c r="E22" i="30"/>
  <c r="F22" s="1"/>
  <c r="G466" i="21"/>
  <c r="H467" s="1"/>
  <c r="H468" s="1"/>
  <c r="G48" i="22"/>
  <c r="G47" s="1"/>
  <c r="J57"/>
  <c r="G139"/>
  <c r="G138" s="1"/>
  <c r="J148"/>
  <c r="J150" s="1"/>
  <c r="G591" i="16"/>
  <c r="G606" s="1"/>
  <c r="G607" s="1"/>
  <c r="G608" s="1"/>
  <c r="M637"/>
  <c r="G398"/>
  <c r="G501"/>
  <c r="M727"/>
  <c r="M420"/>
  <c r="M761"/>
  <c r="M318"/>
  <c r="M386"/>
  <c r="M795"/>
  <c r="M523"/>
  <c r="G829"/>
  <c r="M261"/>
  <c r="G153"/>
  <c r="M659"/>
  <c r="M37"/>
  <c r="M284"/>
  <c r="M72"/>
  <c r="M140"/>
  <c r="G489"/>
  <c r="G504" s="1"/>
  <c r="G505" s="1"/>
  <c r="G506" s="1"/>
  <c r="M773"/>
  <c r="M693"/>
  <c r="M352"/>
  <c r="G625"/>
  <c r="G455"/>
  <c r="G807"/>
  <c r="G117"/>
  <c r="M432"/>
  <c r="G569"/>
  <c r="G671"/>
  <c r="G739"/>
  <c r="G742" s="1"/>
  <c r="G743" s="1"/>
  <c r="G744" s="1"/>
  <c r="M569"/>
  <c r="M603"/>
  <c r="G352"/>
  <c r="G907"/>
  <c r="G914" s="1"/>
  <c r="M105"/>
  <c r="M296"/>
  <c r="M535"/>
  <c r="M199"/>
  <c r="P6" i="43"/>
  <c r="BE6"/>
  <c r="CA6"/>
  <c r="F289" i="24"/>
  <c r="G289" s="1"/>
  <c r="G288" s="1"/>
  <c r="F267"/>
  <c r="G267" s="1"/>
  <c r="G266" s="1"/>
  <c r="F245"/>
  <c r="G245" s="1"/>
  <c r="G244" s="1"/>
  <c r="F222"/>
  <c r="G222" s="1"/>
  <c r="G221" s="1"/>
  <c r="F199"/>
  <c r="G199" s="1"/>
  <c r="G198" s="1"/>
  <c r="F176"/>
  <c r="G176" s="1"/>
  <c r="G175" s="1"/>
  <c r="F153"/>
  <c r="G153" s="1"/>
  <c r="G152" s="1"/>
  <c r="F129"/>
  <c r="G129" s="1"/>
  <c r="G128" s="1"/>
  <c r="F106"/>
  <c r="G106" s="1"/>
  <c r="G105" s="1"/>
  <c r="F83"/>
  <c r="G83" s="1"/>
  <c r="G82" s="1"/>
  <c r="F60"/>
  <c r="G60" s="1"/>
  <c r="G59" s="1"/>
  <c r="F35"/>
  <c r="G35" s="1"/>
  <c r="G34" s="1"/>
  <c r="F8"/>
  <c r="G8" s="1"/>
  <c r="G7" s="1"/>
  <c r="N137" i="28"/>
  <c r="N101"/>
  <c r="O101" s="1"/>
  <c r="O100" s="1"/>
  <c r="O106" s="1"/>
  <c r="O107" s="1"/>
  <c r="O108" s="1"/>
  <c r="N77"/>
  <c r="O77" s="1"/>
  <c r="O76" s="1"/>
  <c r="O84" s="1"/>
  <c r="O85" s="1"/>
  <c r="O86" s="1"/>
  <c r="N55"/>
  <c r="O55" s="1"/>
  <c r="O54" s="1"/>
  <c r="O60" s="1"/>
  <c r="N33"/>
  <c r="O33" s="1"/>
  <c r="O32" s="1"/>
  <c r="O38" s="1"/>
  <c r="O39" s="1"/>
  <c r="O40" s="1"/>
  <c r="N9"/>
  <c r="O9" s="1"/>
  <c r="O8" s="1"/>
  <c r="O16" s="1"/>
  <c r="O17" s="1"/>
  <c r="O18" s="1"/>
  <c r="N776" i="23"/>
  <c r="O776" s="1"/>
  <c r="O775" s="1"/>
  <c r="O779" s="1"/>
  <c r="N749"/>
  <c r="O749" s="1"/>
  <c r="O748" s="1"/>
  <c r="N724"/>
  <c r="O724" s="1"/>
  <c r="O723" s="1"/>
  <c r="O732" s="1"/>
  <c r="N696"/>
  <c r="O696" s="1"/>
  <c r="O695" s="1"/>
  <c r="N674"/>
  <c r="O674" s="1"/>
  <c r="O673" s="1"/>
  <c r="O679" s="1"/>
  <c r="N645"/>
  <c r="O645" s="1"/>
  <c r="O644" s="1"/>
  <c r="N617"/>
  <c r="O617" s="1"/>
  <c r="O616" s="1"/>
  <c r="N589"/>
  <c r="O589" s="1"/>
  <c r="O588" s="1"/>
  <c r="N571"/>
  <c r="O571" s="1"/>
  <c r="O570" s="1"/>
  <c r="O572" s="1"/>
  <c r="N522"/>
  <c r="N497"/>
  <c r="O497" s="1"/>
  <c r="O496" s="1"/>
  <c r="N472"/>
  <c r="O472" s="1"/>
  <c r="O471" s="1"/>
  <c r="O480" s="1"/>
  <c r="N420"/>
  <c r="O420" s="1"/>
  <c r="O419" s="1"/>
  <c r="O430" s="1"/>
  <c r="N397"/>
  <c r="O397" s="1"/>
  <c r="O396" s="1"/>
  <c r="O403" s="1"/>
  <c r="N374"/>
  <c r="N350"/>
  <c r="N325"/>
  <c r="N305"/>
  <c r="N282"/>
  <c r="O282" s="1"/>
  <c r="O281" s="1"/>
  <c r="N258"/>
  <c r="O258" s="1"/>
  <c r="O257" s="1"/>
  <c r="O265" s="1"/>
  <c r="N156"/>
  <c r="O156" s="1"/>
  <c r="O155" s="1"/>
  <c r="O164" s="1"/>
  <c r="N113"/>
  <c r="O113" s="1"/>
  <c r="O112" s="1"/>
  <c r="O114" s="1"/>
  <c r="O115" s="1"/>
  <c r="O116" s="1"/>
  <c r="N93"/>
  <c r="N72"/>
  <c r="O72" s="1"/>
  <c r="O71" s="1"/>
  <c r="N54"/>
  <c r="O54" s="1"/>
  <c r="O53" s="1"/>
  <c r="O55" s="1"/>
  <c r="O56" s="1"/>
  <c r="N9"/>
  <c r="O9" s="1"/>
  <c r="O8" s="1"/>
  <c r="O12" s="1"/>
  <c r="N313" i="22"/>
  <c r="O313" s="1"/>
  <c r="O312" s="1"/>
  <c r="N290"/>
  <c r="O290" s="1"/>
  <c r="O289" s="1"/>
  <c r="N267"/>
  <c r="N246"/>
  <c r="O246" s="1"/>
  <c r="O245" s="1"/>
  <c r="N225"/>
  <c r="N204"/>
  <c r="O204" s="1"/>
  <c r="O203" s="1"/>
  <c r="N182"/>
  <c r="N161"/>
  <c r="O161" s="1"/>
  <c r="O160" s="1"/>
  <c r="O166" s="1"/>
  <c r="O167" s="1"/>
  <c r="O168" s="1"/>
  <c r="N139"/>
  <c r="O139" s="1"/>
  <c r="O138" s="1"/>
  <c r="N94"/>
  <c r="O94" s="1"/>
  <c r="O93" s="1"/>
  <c r="N71"/>
  <c r="O71" s="1"/>
  <c r="O70" s="1"/>
  <c r="N48"/>
  <c r="O48" s="1"/>
  <c r="O47" s="1"/>
  <c r="N27"/>
  <c r="O27" s="1"/>
  <c r="O26" s="1"/>
  <c r="N8"/>
  <c r="O8" s="1"/>
  <c r="O7" s="1"/>
  <c r="F181" i="23"/>
  <c r="G181" s="1"/>
  <c r="G180" s="1"/>
  <c r="F140" i="28"/>
  <c r="G140" s="1"/>
  <c r="F291" i="24"/>
  <c r="G291" s="1"/>
  <c r="F269"/>
  <c r="G269" s="1"/>
  <c r="F247"/>
  <c r="G247" s="1"/>
  <c r="F224"/>
  <c r="G224" s="1"/>
  <c r="F201"/>
  <c r="G201" s="1"/>
  <c r="F178"/>
  <c r="G178" s="1"/>
  <c r="F155"/>
  <c r="G155" s="1"/>
  <c r="F131"/>
  <c r="G131" s="1"/>
  <c r="F108"/>
  <c r="G108" s="1"/>
  <c r="F85"/>
  <c r="G85" s="1"/>
  <c r="F62"/>
  <c r="G62" s="1"/>
  <c r="F37"/>
  <c r="G37" s="1"/>
  <c r="F10"/>
  <c r="G10" s="1"/>
  <c r="N29" i="18"/>
  <c r="O29" s="1"/>
  <c r="F36" i="31"/>
  <c r="N242" i="28"/>
  <c r="O242" s="1"/>
  <c r="F242"/>
  <c r="G242" s="1"/>
  <c r="F221"/>
  <c r="G221" s="1"/>
  <c r="N241"/>
  <c r="O241" s="1"/>
  <c r="F241"/>
  <c r="G241" s="1"/>
  <c r="F219"/>
  <c r="G219" s="1"/>
  <c r="N240"/>
  <c r="O240" s="1"/>
  <c r="F240"/>
  <c r="G240" s="1"/>
  <c r="N239"/>
  <c r="O239" s="1"/>
  <c r="O238" s="1"/>
  <c r="O243" s="1"/>
  <c r="O244" s="1"/>
  <c r="O245" s="1"/>
  <c r="F239"/>
  <c r="G239" s="1"/>
  <c r="F293" i="24"/>
  <c r="G293" s="1"/>
  <c r="F271"/>
  <c r="G271" s="1"/>
  <c r="F249"/>
  <c r="G249" s="1"/>
  <c r="F226"/>
  <c r="G226" s="1"/>
  <c r="F203"/>
  <c r="G203" s="1"/>
  <c r="F180"/>
  <c r="G180" s="1"/>
  <c r="F157"/>
  <c r="G157" s="1"/>
  <c r="F133"/>
  <c r="G133" s="1"/>
  <c r="F110"/>
  <c r="G110" s="1"/>
  <c r="F87"/>
  <c r="G87" s="1"/>
  <c r="F64"/>
  <c r="G64" s="1"/>
  <c r="F39"/>
  <c r="G39" s="1"/>
  <c r="F12"/>
  <c r="G12" s="1"/>
  <c r="N93" i="21"/>
  <c r="N1695"/>
  <c r="O1695" s="1"/>
  <c r="O1694" s="1"/>
  <c r="O1699" s="1"/>
  <c r="O1700" s="1"/>
  <c r="O1701" s="1"/>
  <c r="N1673"/>
  <c r="O1673" s="1"/>
  <c r="O1672" s="1"/>
  <c r="O1677" s="1"/>
  <c r="O1678" s="1"/>
  <c r="N1651"/>
  <c r="O1651" s="1"/>
  <c r="O1650" s="1"/>
  <c r="O1655" s="1"/>
  <c r="N1632"/>
  <c r="O1632" s="1"/>
  <c r="O1631" s="1"/>
  <c r="O1633" s="1"/>
  <c r="O1634" s="1"/>
  <c r="O1635" s="1"/>
  <c r="N1606"/>
  <c r="O1606" s="1"/>
  <c r="O1605" s="1"/>
  <c r="N1580"/>
  <c r="N1554"/>
  <c r="O1554" s="1"/>
  <c r="O1553" s="1"/>
  <c r="O1562" s="1"/>
  <c r="N1528"/>
  <c r="O1528" s="1"/>
  <c r="O1527" s="1"/>
  <c r="O1536" s="1"/>
  <c r="N1502"/>
  <c r="O1502" s="1"/>
  <c r="O1501" s="1"/>
  <c r="O1510" s="1"/>
  <c r="O1511" s="1"/>
  <c r="O1512" s="1"/>
  <c r="N1476"/>
  <c r="O1476" s="1"/>
  <c r="O1475" s="1"/>
  <c r="O1484" s="1"/>
  <c r="N1450"/>
  <c r="O1450" s="1"/>
  <c r="O1449" s="1"/>
  <c r="O1458" s="1"/>
  <c r="N1424"/>
  <c r="O1424" s="1"/>
  <c r="O1423" s="1"/>
  <c r="O1432" s="1"/>
  <c r="N1398"/>
  <c r="O1398" s="1"/>
  <c r="O1397" s="1"/>
  <c r="N1372"/>
  <c r="O1372" s="1"/>
  <c r="O1371" s="1"/>
  <c r="O1380" s="1"/>
  <c r="N1346"/>
  <c r="O1346" s="1"/>
  <c r="O1345" s="1"/>
  <c r="O1354" s="1"/>
  <c r="N1320"/>
  <c r="O1320" s="1"/>
  <c r="O1319" s="1"/>
  <c r="O1328" s="1"/>
  <c r="N1294"/>
  <c r="O1294" s="1"/>
  <c r="O1293" s="1"/>
  <c r="O1302" s="1"/>
  <c r="O1303" s="1"/>
  <c r="O1304" s="1"/>
  <c r="N1264"/>
  <c r="O1264" s="1"/>
  <c r="O1263" s="1"/>
  <c r="O1276" s="1"/>
  <c r="N1233"/>
  <c r="O1233" s="1"/>
  <c r="O1232" s="1"/>
  <c r="N1202"/>
  <c r="O1202" s="1"/>
  <c r="O1201" s="1"/>
  <c r="O1214" s="1"/>
  <c r="N1173"/>
  <c r="O1173" s="1"/>
  <c r="O1172" s="1"/>
  <c r="O1183" s="1"/>
  <c r="N1144"/>
  <c r="O1144" s="1"/>
  <c r="O1143" s="1"/>
  <c r="N1115"/>
  <c r="O1115" s="1"/>
  <c r="O1114" s="1"/>
  <c r="O1125" s="1"/>
  <c r="N1086"/>
  <c r="O1086" s="1"/>
  <c r="O1085" s="1"/>
  <c r="N1055"/>
  <c r="N1024"/>
  <c r="O1024" s="1"/>
  <c r="O1023" s="1"/>
  <c r="O1036" s="1"/>
  <c r="O1037" s="1"/>
  <c r="N993"/>
  <c r="O993" s="1"/>
  <c r="O992" s="1"/>
  <c r="N962"/>
  <c r="N933"/>
  <c r="O933" s="1"/>
  <c r="O932" s="1"/>
  <c r="N904"/>
  <c r="O904" s="1"/>
  <c r="O903" s="1"/>
  <c r="O914" s="1"/>
  <c r="N875"/>
  <c r="O875" s="1"/>
  <c r="O874" s="1"/>
  <c r="O885" s="1"/>
  <c r="N846"/>
  <c r="O846" s="1"/>
  <c r="O845" s="1"/>
  <c r="N822"/>
  <c r="O822" s="1"/>
  <c r="O821" s="1"/>
  <c r="O827" s="1"/>
  <c r="O828" s="1"/>
  <c r="N800"/>
  <c r="O800" s="1"/>
  <c r="O799" s="1"/>
  <c r="N780"/>
  <c r="O780" s="1"/>
  <c r="O779" s="1"/>
  <c r="O783" s="1"/>
  <c r="O784" s="1"/>
  <c r="O785" s="1"/>
  <c r="N756"/>
  <c r="O756" s="1"/>
  <c r="O755" s="1"/>
  <c r="O763" s="1"/>
  <c r="N732"/>
  <c r="O732" s="1"/>
  <c r="O731" s="1"/>
  <c r="N711"/>
  <c r="O711" s="1"/>
  <c r="O710" s="1"/>
  <c r="N689"/>
  <c r="O689" s="1"/>
  <c r="O688" s="1"/>
  <c r="N667"/>
  <c r="N645"/>
  <c r="O645" s="1"/>
  <c r="O644" s="1"/>
  <c r="O650" s="1"/>
  <c r="N623"/>
  <c r="O623" s="1"/>
  <c r="O622" s="1"/>
  <c r="O628" s="1"/>
  <c r="N601"/>
  <c r="O601" s="1"/>
  <c r="O600" s="1"/>
  <c r="O606" s="1"/>
  <c r="N581"/>
  <c r="O581" s="1"/>
  <c r="O580" s="1"/>
  <c r="O584" s="1"/>
  <c r="N563"/>
  <c r="O563" s="1"/>
  <c r="O562" s="1"/>
  <c r="O564" s="1"/>
  <c r="O565" s="1"/>
  <c r="N545"/>
  <c r="O545" s="1"/>
  <c r="O544" s="1"/>
  <c r="O546" s="1"/>
  <c r="O547" s="1"/>
  <c r="O548" s="1"/>
  <c r="N527"/>
  <c r="O527" s="1"/>
  <c r="O526" s="1"/>
  <c r="O528" s="1"/>
  <c r="N505"/>
  <c r="O505" s="1"/>
  <c r="O504" s="1"/>
  <c r="O510" s="1"/>
  <c r="N483"/>
  <c r="N461"/>
  <c r="N436"/>
  <c r="O436" s="1"/>
  <c r="O435" s="1"/>
  <c r="O444" s="1"/>
  <c r="N411"/>
  <c r="O411" s="1"/>
  <c r="O410" s="1"/>
  <c r="O419" s="1"/>
  <c r="N386"/>
  <c r="N362"/>
  <c r="O362" s="1"/>
  <c r="O361" s="1"/>
  <c r="O369" s="1"/>
  <c r="N337"/>
  <c r="O337" s="1"/>
  <c r="O336" s="1"/>
  <c r="O345" s="1"/>
  <c r="N312"/>
  <c r="N287"/>
  <c r="N263"/>
  <c r="O263" s="1"/>
  <c r="O262" s="1"/>
  <c r="O270" s="1"/>
  <c r="N243"/>
  <c r="O243" s="1"/>
  <c r="O242" s="1"/>
  <c r="O246" s="1"/>
  <c r="N222"/>
  <c r="N199"/>
  <c r="O199" s="1"/>
  <c r="O198" s="1"/>
  <c r="O205" s="1"/>
  <c r="O206" s="1"/>
  <c r="N176"/>
  <c r="O176" s="1"/>
  <c r="O175" s="1"/>
  <c r="O182" s="1"/>
  <c r="N154"/>
  <c r="O154" s="1"/>
  <c r="O153" s="1"/>
  <c r="O159" s="1"/>
  <c r="N132"/>
  <c r="O132" s="1"/>
  <c r="O131" s="1"/>
  <c r="O137" s="1"/>
  <c r="N111"/>
  <c r="O111" s="1"/>
  <c r="O110" s="1"/>
  <c r="O115" s="1"/>
  <c r="N68"/>
  <c r="O68" s="1"/>
  <c r="O67" s="1"/>
  <c r="N45"/>
  <c r="O45" s="1"/>
  <c r="O44" s="1"/>
  <c r="O51" s="1"/>
  <c r="O52" s="1"/>
  <c r="O53" s="1"/>
  <c r="N27"/>
  <c r="O27" s="1"/>
  <c r="O26" s="1"/>
  <c r="O28" s="1"/>
  <c r="N9"/>
  <c r="O9" s="1"/>
  <c r="O8" s="1"/>
  <c r="O10" s="1"/>
  <c r="F9"/>
  <c r="G9" s="1"/>
  <c r="G8" s="1"/>
  <c r="G10" s="1"/>
  <c r="H11" s="1"/>
  <c r="H12" s="1"/>
  <c r="N801" i="20"/>
  <c r="O801" s="1"/>
  <c r="O800" s="1"/>
  <c r="N775"/>
  <c r="O775" s="1"/>
  <c r="O774" s="1"/>
  <c r="N747"/>
  <c r="O747" s="1"/>
  <c r="O746" s="1"/>
  <c r="N722"/>
  <c r="O722" s="1"/>
  <c r="O721" s="1"/>
  <c r="O730" s="1"/>
  <c r="N697"/>
  <c r="O697" s="1"/>
  <c r="O696" s="1"/>
  <c r="O705" s="1"/>
  <c r="N671"/>
  <c r="O671" s="1"/>
  <c r="O670" s="1"/>
  <c r="O680" s="1"/>
  <c r="N647"/>
  <c r="O647" s="1"/>
  <c r="O646" s="1"/>
  <c r="O654" s="1"/>
  <c r="N623"/>
  <c r="O623" s="1"/>
  <c r="O622" s="1"/>
  <c r="O630" s="1"/>
  <c r="N598"/>
  <c r="O598" s="1"/>
  <c r="O597" s="1"/>
  <c r="O606" s="1"/>
  <c r="N570"/>
  <c r="O570" s="1"/>
  <c r="O569" s="1"/>
  <c r="N543"/>
  <c r="O543" s="1"/>
  <c r="O542" s="1"/>
  <c r="N517"/>
  <c r="O517" s="1"/>
  <c r="O516" s="1"/>
  <c r="O526" s="1"/>
  <c r="N490"/>
  <c r="O490" s="1"/>
  <c r="O489" s="1"/>
  <c r="N464"/>
  <c r="O464" s="1"/>
  <c r="O463" s="1"/>
  <c r="N438"/>
  <c r="O438" s="1"/>
  <c r="O437" s="1"/>
  <c r="N412"/>
  <c r="O412" s="1"/>
  <c r="O411" s="1"/>
  <c r="N386"/>
  <c r="O386" s="1"/>
  <c r="O385" s="1"/>
  <c r="N361"/>
  <c r="O361" s="1"/>
  <c r="O360" s="1"/>
  <c r="O369" s="1"/>
  <c r="O370" s="1"/>
  <c r="O371" s="1"/>
  <c r="N336"/>
  <c r="O336" s="1"/>
  <c r="O335" s="1"/>
  <c r="O344" s="1"/>
  <c r="O345" s="1"/>
  <c r="O346" s="1"/>
  <c r="N311"/>
  <c r="O311" s="1"/>
  <c r="O310" s="1"/>
  <c r="O319" s="1"/>
  <c r="O320" s="1"/>
  <c r="O321" s="1"/>
  <c r="N286"/>
  <c r="O286" s="1"/>
  <c r="O285" s="1"/>
  <c r="O294" s="1"/>
  <c r="N261"/>
  <c r="O261" s="1"/>
  <c r="O260" s="1"/>
  <c r="O269" s="1"/>
  <c r="O270" s="1"/>
  <c r="O271" s="1"/>
  <c r="N236"/>
  <c r="O236" s="1"/>
  <c r="O235" s="1"/>
  <c r="N211"/>
  <c r="O211" s="1"/>
  <c r="O210" s="1"/>
  <c r="O219" s="1"/>
  <c r="O220" s="1"/>
  <c r="N171"/>
  <c r="N191"/>
  <c r="N151"/>
  <c r="O151" s="1"/>
  <c r="O150" s="1"/>
  <c r="O154" s="1"/>
  <c r="N131"/>
  <c r="O131" s="1"/>
  <c r="O130" s="1"/>
  <c r="O134" s="1"/>
  <c r="O135" s="1"/>
  <c r="O136" s="1"/>
  <c r="N109"/>
  <c r="O109" s="1"/>
  <c r="O108" s="1"/>
  <c r="O114" s="1"/>
  <c r="O115" s="1"/>
  <c r="O116" s="1"/>
  <c r="N89"/>
  <c r="O89" s="1"/>
  <c r="O88" s="1"/>
  <c r="O92" s="1"/>
  <c r="N68"/>
  <c r="O68" s="1"/>
  <c r="O67" s="1"/>
  <c r="N47"/>
  <c r="O47" s="1"/>
  <c r="O46" s="1"/>
  <c r="N27"/>
  <c r="O27" s="1"/>
  <c r="O26" s="1"/>
  <c r="O30" s="1"/>
  <c r="O31" s="1"/>
  <c r="O32" s="1"/>
  <c r="F419" i="16"/>
  <c r="G419" s="1"/>
  <c r="G418" s="1"/>
  <c r="F139"/>
  <c r="G139" s="1"/>
  <c r="G138" s="1"/>
  <c r="L139"/>
  <c r="F71"/>
  <c r="G71" s="1"/>
  <c r="G69" s="1"/>
  <c r="L71"/>
  <c r="M71" s="1"/>
  <c r="M69" s="1"/>
  <c r="L317"/>
  <c r="M317" s="1"/>
  <c r="M316" s="1"/>
  <c r="L454"/>
  <c r="M454" s="1"/>
  <c r="M453" s="1"/>
  <c r="L488"/>
  <c r="M488" s="1"/>
  <c r="M487" s="1"/>
  <c r="L590"/>
  <c r="M590" s="1"/>
  <c r="M589" s="1"/>
  <c r="L624"/>
  <c r="M624" s="1"/>
  <c r="M623" s="1"/>
  <c r="L692"/>
  <c r="M692" s="1"/>
  <c r="M691" s="1"/>
  <c r="L726"/>
  <c r="M726" s="1"/>
  <c r="M725" s="1"/>
  <c r="L760"/>
  <c r="M760" s="1"/>
  <c r="M759" s="1"/>
  <c r="L828"/>
  <c r="M828" s="1"/>
  <c r="M827" s="1"/>
  <c r="L854"/>
  <c r="M854" s="1"/>
  <c r="M853" s="1"/>
  <c r="L880"/>
  <c r="M880" s="1"/>
  <c r="M879" s="1"/>
  <c r="L906"/>
  <c r="M906" s="1"/>
  <c r="M905" s="1"/>
  <c r="M914" s="1"/>
  <c r="M915" s="1"/>
  <c r="M916" s="1"/>
  <c r="L931"/>
  <c r="M931" s="1"/>
  <c r="M930" s="1"/>
  <c r="M934" s="1"/>
  <c r="L951"/>
  <c r="M951" s="1"/>
  <c r="M950" s="1"/>
  <c r="M952" s="1"/>
  <c r="M953" s="1"/>
  <c r="M954" s="1"/>
  <c r="L969"/>
  <c r="M969" s="1"/>
  <c r="M968" s="1"/>
  <c r="M972" s="1"/>
  <c r="L989"/>
  <c r="M989" s="1"/>
  <c r="M988" s="1"/>
  <c r="M992" s="1"/>
  <c r="M993" s="1"/>
  <c r="M994" s="1"/>
  <c r="L1009"/>
  <c r="M1009" s="1"/>
  <c r="M1008" s="1"/>
  <c r="N9" i="20"/>
  <c r="O9" s="1"/>
  <c r="O8" s="1"/>
  <c r="O10" s="1"/>
  <c r="F281" i="18"/>
  <c r="G281" s="1"/>
  <c r="G280" s="1"/>
  <c r="F94"/>
  <c r="G94" s="1"/>
  <c r="G93" s="1"/>
  <c r="G99" s="1"/>
  <c r="N27"/>
  <c r="O27" s="1"/>
  <c r="O26" s="1"/>
  <c r="G761" i="16"/>
  <c r="G659"/>
  <c r="G14"/>
  <c r="M48"/>
  <c r="M153"/>
  <c r="O224" i="28"/>
  <c r="O1610" i="21"/>
  <c r="O1150"/>
  <c r="O1402"/>
  <c r="G700" i="20"/>
  <c r="G535" i="16"/>
  <c r="G705"/>
  <c r="G392" i="20"/>
  <c r="G736" i="21"/>
  <c r="G262" i="23"/>
  <c r="O418" i="20"/>
  <c r="O549"/>
  <c r="G443"/>
  <c r="G675"/>
  <c r="M501" i="16"/>
  <c r="M807"/>
  <c r="G364"/>
  <c r="G367" s="1"/>
  <c r="D11" i="48"/>
  <c r="AR49" i="43"/>
  <c r="G368" i="28"/>
  <c r="G371" s="1"/>
  <c r="G1241" i="21"/>
  <c r="G1402"/>
  <c r="G1610"/>
  <c r="G1032"/>
  <c r="G1324"/>
  <c r="G679" i="23"/>
  <c r="G680" s="1"/>
  <c r="G681" s="1"/>
  <c r="G51" i="21"/>
  <c r="H52" s="1"/>
  <c r="H53" s="1"/>
  <c r="G84" i="28"/>
  <c r="H85" s="1"/>
  <c r="H86" s="1"/>
  <c r="F49" i="45"/>
  <c r="M591" i="16"/>
  <c r="C8" i="48"/>
  <c r="BS49" i="43"/>
  <c r="AY9"/>
  <c r="AM49"/>
  <c r="AM9"/>
  <c r="AM33" s="1"/>
  <c r="G551" i="23"/>
  <c r="G147" i="16"/>
  <c r="P147" s="1"/>
  <c r="G204"/>
  <c r="G199" s="1"/>
  <c r="G207" s="1"/>
  <c r="E22" i="47" s="1"/>
  <c r="K9" i="43"/>
  <c r="J9"/>
  <c r="AO9"/>
  <c r="AC9"/>
  <c r="AC34" s="1"/>
  <c r="E9"/>
  <c r="O286" i="16"/>
  <c r="P286" s="1"/>
  <c r="O184" i="28"/>
  <c r="O185" s="1"/>
  <c r="G1087" i="21"/>
  <c r="M881" i="16"/>
  <c r="G184" i="28"/>
  <c r="G185" s="1"/>
  <c r="H184"/>
  <c r="H185" s="1"/>
  <c r="P108" i="16"/>
  <c r="G1145" i="21"/>
  <c r="G72" i="16"/>
  <c r="G836"/>
  <c r="G837" s="1"/>
  <c r="G838" s="1"/>
  <c r="G122" i="18"/>
  <c r="G123" s="1"/>
  <c r="G124" s="1"/>
  <c r="G680" i="20"/>
  <c r="G681" s="1"/>
  <c r="G682" s="1"/>
  <c r="G52" i="16"/>
  <c r="G53" s="1"/>
  <c r="G674"/>
  <c r="G675" s="1"/>
  <c r="G676" s="1"/>
  <c r="G112" i="17"/>
  <c r="G113" s="1"/>
  <c r="G114" s="1"/>
  <c r="G856" i="21"/>
  <c r="H857" s="1"/>
  <c r="H858" s="1"/>
  <c r="G776" i="16"/>
  <c r="G777" s="1"/>
  <c r="G778" s="1"/>
  <c r="G279" i="17"/>
  <c r="H280" s="1"/>
  <c r="H281" s="1"/>
  <c r="G805" i="21"/>
  <c r="H806" s="1"/>
  <c r="H807" s="1"/>
  <c r="G526" i="20"/>
  <c r="G527" s="1"/>
  <c r="G528" s="1"/>
  <c r="G827" i="21"/>
  <c r="H828" s="1"/>
  <c r="H829" s="1"/>
  <c r="G1432"/>
  <c r="H1433" s="1"/>
  <c r="H1434" s="1"/>
  <c r="G288" i="23"/>
  <c r="G289" s="1"/>
  <c r="G290" s="1"/>
  <c r="G430"/>
  <c r="G431" s="1"/>
  <c r="G432" s="1"/>
  <c r="G1125" i="21"/>
  <c r="H1126" s="1"/>
  <c r="H1127" s="1"/>
  <c r="G1655"/>
  <c r="H1656" s="1"/>
  <c r="H1657" s="1"/>
  <c r="G759" i="23"/>
  <c r="H760" s="1"/>
  <c r="H761" s="1"/>
  <c r="G1328" i="21"/>
  <c r="H1329" s="1"/>
  <c r="H1330" s="1"/>
  <c r="G139" i="23"/>
  <c r="G140" s="1"/>
  <c r="G60" i="28"/>
  <c r="G61" s="1"/>
  <c r="G62" s="1"/>
  <c r="G357" i="23"/>
  <c r="H358" s="1"/>
  <c r="H359" s="1"/>
  <c r="G38" i="28"/>
  <c r="G39" s="1"/>
  <c r="G40" s="1"/>
  <c r="O934" i="21"/>
  <c r="G319" i="20"/>
  <c r="H320" s="1"/>
  <c r="H321" s="1"/>
  <c r="G1025" i="21"/>
  <c r="G320"/>
  <c r="H321" s="1"/>
  <c r="H322" s="1"/>
  <c r="G18" i="16"/>
  <c r="G19" s="1"/>
  <c r="G20" s="1"/>
  <c r="G470"/>
  <c r="G471" s="1"/>
  <c r="G472" s="1"/>
  <c r="G1096" i="21"/>
  <c r="G1097" s="1"/>
  <c r="G92" i="20"/>
  <c r="G93" s="1"/>
  <c r="G94" s="1"/>
  <c r="G154"/>
  <c r="G155" s="1"/>
  <c r="G156" s="1"/>
  <c r="G510" i="21"/>
  <c r="G511" s="1"/>
  <c r="G512" s="1"/>
  <c r="G1354"/>
  <c r="G1355" s="1"/>
  <c r="G1356" s="1"/>
  <c r="G166" i="22"/>
  <c r="H167" s="1"/>
  <c r="H168" s="1"/>
  <c r="G115" i="21"/>
  <c r="G116" s="1"/>
  <c r="G117" s="1"/>
  <c r="G763"/>
  <c r="H764" s="1"/>
  <c r="H765" s="1"/>
  <c r="G188" i="22"/>
  <c r="G189" s="1"/>
  <c r="G190" s="1"/>
  <c r="G333" i="23"/>
  <c r="G334" s="1"/>
  <c r="G1005" i="21"/>
  <c r="H1006" s="1"/>
  <c r="H1007" s="1"/>
  <c r="G732" i="23"/>
  <c r="H733" s="1"/>
  <c r="H734" s="1"/>
  <c r="G403"/>
  <c r="G404" s="1"/>
  <c r="G405" s="1"/>
  <c r="O994" i="21"/>
  <c r="O491" i="20"/>
  <c r="O116" i="18"/>
  <c r="O498" i="23"/>
  <c r="O1234" i="21"/>
  <c r="O856"/>
  <c r="O857" s="1"/>
  <c r="O858" s="1"/>
  <c r="G554" i="23"/>
  <c r="G555" s="1"/>
  <c r="G556" s="1"/>
  <c r="O138" i="28"/>
  <c r="O805" i="21"/>
  <c r="F13" i="31"/>
  <c r="G317" i="17"/>
  <c r="F11" i="45"/>
  <c r="G37" i="23"/>
  <c r="G294" i="20"/>
  <c r="G295" s="1"/>
  <c r="G296" s="1"/>
  <c r="G247" i="21"/>
  <c r="G248" s="1"/>
  <c r="V6" i="43"/>
  <c r="AA6"/>
  <c r="G505" i="23"/>
  <c r="G506" s="1"/>
  <c r="AK12" i="43"/>
  <c r="AK39" s="1"/>
  <c r="G628" i="21"/>
  <c r="G629" s="1"/>
  <c r="G630" s="1"/>
  <c r="G529" i="23"/>
  <c r="H530" s="1"/>
  <c r="H531" s="1"/>
  <c r="F21" i="47"/>
  <c r="G974" i="16"/>
  <c r="G308" i="23"/>
  <c r="H309" s="1"/>
  <c r="H310" s="1"/>
  <c r="AW40" i="43"/>
  <c r="BB12"/>
  <c r="BB39" s="1"/>
  <c r="E40"/>
  <c r="U6"/>
  <c r="U40" s="1"/>
  <c r="E11" i="30"/>
  <c r="F11" s="1"/>
  <c r="G6" i="43"/>
  <c r="G40" s="1"/>
  <c r="E17" i="30"/>
  <c r="F17" s="1"/>
  <c r="W12" i="43"/>
  <c r="W39" s="1"/>
  <c r="W40"/>
  <c r="G467" i="21"/>
  <c r="G468" s="1"/>
  <c r="I40" i="43"/>
  <c r="I41" s="1"/>
  <c r="I51" s="1"/>
  <c r="I53" s="1"/>
  <c r="G76" i="21"/>
  <c r="G77" s="1"/>
  <c r="G78" s="1"/>
  <c r="G607"/>
  <c r="G608" s="1"/>
  <c r="H29"/>
  <c r="H30" s="1"/>
  <c r="H12" i="43"/>
  <c r="H39" s="1"/>
  <c r="S40"/>
  <c r="BD12"/>
  <c r="BD39" s="1"/>
  <c r="T6"/>
  <c r="E15" i="30"/>
  <c r="F15" s="1"/>
  <c r="BL6" i="43"/>
  <c r="N6"/>
  <c r="AB6"/>
  <c r="Q6"/>
  <c r="H13" i="23"/>
  <c r="H14" s="1"/>
  <c r="H651" i="21"/>
  <c r="H652" s="1"/>
  <c r="G1154"/>
  <c r="G1155" s="1"/>
  <c r="G1156" s="1"/>
  <c r="G265" i="23"/>
  <c r="H266" s="1"/>
  <c r="H267" s="1"/>
  <c r="G914" i="21"/>
  <c r="G226"/>
  <c r="H227" s="1"/>
  <c r="H228" s="1"/>
  <c r="G1406"/>
  <c r="H1407" s="1"/>
  <c r="H1408" s="1"/>
  <c r="G1510"/>
  <c r="G1511" s="1"/>
  <c r="G1512" s="1"/>
  <c r="G1614"/>
  <c r="H1615" s="1"/>
  <c r="H1616" s="1"/>
  <c r="G369"/>
  <c r="G1588"/>
  <c r="G1589" s="1"/>
  <c r="G1590" s="1"/>
  <c r="H585"/>
  <c r="H586" s="1"/>
  <c r="G77" i="23"/>
  <c r="G78" s="1"/>
  <c r="G1380" i="21"/>
  <c r="H1381" s="1"/>
  <c r="H1382" s="1"/>
  <c r="G54" i="17"/>
  <c r="G55" s="1"/>
  <c r="G1067" i="21"/>
  <c r="G13" i="23"/>
  <c r="G14" s="1"/>
  <c r="G673" i="21"/>
  <c r="G674" s="1"/>
  <c r="H1355"/>
  <c r="H1356" s="1"/>
  <c r="G1183"/>
  <c r="G488"/>
  <c r="G489" s="1"/>
  <c r="G490" s="1"/>
  <c r="G324" i="17"/>
  <c r="G954" i="16"/>
  <c r="G1484" i="21"/>
  <c r="H1485" s="1"/>
  <c r="H1486" s="1"/>
  <c r="G11" i="20"/>
  <c r="G12" s="1"/>
  <c r="H138" i="21"/>
  <c r="H139" s="1"/>
  <c r="G12" i="18"/>
  <c r="G13" s="1"/>
  <c r="G934" i="16"/>
  <c r="G730" i="20"/>
  <c r="H731" s="1"/>
  <c r="H732" s="1"/>
  <c r="G315" i="28"/>
  <c r="G316" s="1"/>
  <c r="G106"/>
  <c r="G160" i="21"/>
  <c r="G161" s="1"/>
  <c r="G1634"/>
  <c r="G1635" s="1"/>
  <c r="H1634"/>
  <c r="H1635" s="1"/>
  <c r="BE12" i="43"/>
  <c r="BE39" s="1"/>
  <c r="BE40"/>
  <c r="H93" i="20"/>
  <c r="H94" s="1"/>
  <c r="G1329" i="21"/>
  <c r="G1330" s="1"/>
  <c r="G480" i="23"/>
  <c r="H481" s="1"/>
  <c r="H482" s="1"/>
  <c r="H160" i="21"/>
  <c r="H161" s="1"/>
  <c r="G1536"/>
  <c r="G1537" s="1"/>
  <c r="G1538" s="1"/>
  <c r="BF40" i="43"/>
  <c r="G394" i="21"/>
  <c r="H395" s="1"/>
  <c r="H396" s="1"/>
  <c r="G943"/>
  <c r="G652"/>
  <c r="G115" i="20"/>
  <c r="G116" s="1"/>
  <c r="G344"/>
  <c r="H345" s="1"/>
  <c r="H346" s="1"/>
  <c r="G30"/>
  <c r="G31" s="1"/>
  <c r="G32" s="1"/>
  <c r="G182" i="21"/>
  <c r="H183" s="1"/>
  <c r="H184" s="1"/>
  <c r="G270"/>
  <c r="G271" s="1"/>
  <c r="G272" s="1"/>
  <c r="G1036"/>
  <c r="H1037" s="1"/>
  <c r="H1038" s="1"/>
  <c r="G1245"/>
  <c r="E14" i="30"/>
  <c r="F14" s="1"/>
  <c r="K6" i="43"/>
  <c r="J6"/>
  <c r="AG40"/>
  <c r="G565" i="21"/>
  <c r="G566" s="1"/>
  <c r="G12" i="17"/>
  <c r="G13" s="1"/>
  <c r="F16" i="47"/>
  <c r="F18"/>
  <c r="H97" i="23"/>
  <c r="H98" s="1"/>
  <c r="G164"/>
  <c r="G73" i="17"/>
  <c r="H74" s="1"/>
  <c r="H75" s="1"/>
  <c r="G654" i="20"/>
  <c r="BC6" i="43"/>
  <c r="F40"/>
  <c r="M40"/>
  <c r="R40"/>
  <c r="BA40"/>
  <c r="AD12"/>
  <c r="AD39" s="1"/>
  <c r="AZ40"/>
  <c r="F72" i="18"/>
  <c r="G72" s="1"/>
  <c r="G70" s="1"/>
  <c r="G161"/>
  <c r="BN6" i="43"/>
  <c r="AX6"/>
  <c r="BO6"/>
  <c r="L6"/>
  <c r="BW6"/>
  <c r="F16" i="30"/>
  <c r="AJ6" i="43"/>
  <c r="N163" i="18"/>
  <c r="O163" s="1"/>
  <c r="N72"/>
  <c r="O72" s="1"/>
  <c r="O70" s="1"/>
  <c r="H95" i="21"/>
  <c r="H96" s="1"/>
  <c r="G95"/>
  <c r="G96" s="1"/>
  <c r="G547"/>
  <c r="G548" s="1"/>
  <c r="H547"/>
  <c r="H548" s="1"/>
  <c r="F25" i="47"/>
  <c r="F24" s="1"/>
  <c r="F23" s="1"/>
  <c r="G38" i="23"/>
  <c r="G39" s="1"/>
  <c r="H573"/>
  <c r="H574" s="1"/>
  <c r="O806" i="21"/>
  <c r="O807" s="1"/>
  <c r="G784"/>
  <c r="G785" s="1"/>
  <c r="H784"/>
  <c r="H785" s="1"/>
  <c r="H780" i="23"/>
  <c r="H781" s="1"/>
  <c r="G780"/>
  <c r="G781" s="1"/>
  <c r="G1276" i="21"/>
  <c r="G885"/>
  <c r="G358" i="23"/>
  <c r="G359" s="1"/>
  <c r="H607" i="21"/>
  <c r="H608" s="1"/>
  <c r="G34" i="17"/>
  <c r="H54"/>
  <c r="H55" s="1"/>
  <c r="G573" i="23"/>
  <c r="G574" s="1"/>
  <c r="G98"/>
  <c r="G30" i="21"/>
  <c r="G630" i="20"/>
  <c r="G705"/>
  <c r="G606"/>
  <c r="G269"/>
  <c r="H270" s="1"/>
  <c r="H271" s="1"/>
  <c r="G369"/>
  <c r="G1302" i="21"/>
  <c r="G1458"/>
  <c r="G1562"/>
  <c r="G992" i="16"/>
  <c r="G739" i="21"/>
  <c r="G300" i="17"/>
  <c r="G93"/>
  <c r="G444" i="21"/>
  <c r="G214" i="23"/>
  <c r="G345" i="21"/>
  <c r="G234" i="16"/>
  <c r="G216" i="18"/>
  <c r="G241" i="23"/>
  <c r="G240" i="18"/>
  <c r="G192"/>
  <c r="G200" i="21"/>
  <c r="G205" s="1"/>
  <c r="AX35" i="43"/>
  <c r="AX34"/>
  <c r="AY33"/>
  <c r="AY34"/>
  <c r="S34"/>
  <c r="S35"/>
  <c r="BC9"/>
  <c r="BC33" s="1"/>
  <c r="G33"/>
  <c r="AC35"/>
  <c r="AM34"/>
  <c r="W9"/>
  <c r="W34" s="1"/>
  <c r="Q9"/>
  <c r="D9"/>
  <c r="D34" s="1"/>
  <c r="BO9"/>
  <c r="BZ9"/>
  <c r="BZ34" s="1"/>
  <c r="BL9"/>
  <c r="O9"/>
  <c r="O33" s="1"/>
  <c r="N9"/>
  <c r="Y9"/>
  <c r="Y35" s="1"/>
  <c r="AK9"/>
  <c r="AS9"/>
  <c r="AS35" s="1"/>
  <c r="AZ9"/>
  <c r="U9"/>
  <c r="U35" s="1"/>
  <c r="BF9"/>
  <c r="BE9"/>
  <c r="D35"/>
  <c r="BZ33"/>
  <c r="BL35"/>
  <c r="BL33"/>
  <c r="BL34"/>
  <c r="N35"/>
  <c r="N34"/>
  <c r="AS33"/>
  <c r="U34"/>
  <c r="R34"/>
  <c r="R33"/>
  <c r="K33"/>
  <c r="K34"/>
  <c r="K35"/>
  <c r="J34"/>
  <c r="J35"/>
  <c r="AG35"/>
  <c r="AG34"/>
  <c r="AG33"/>
  <c r="BY9"/>
  <c r="AV9"/>
  <c r="BR9"/>
  <c r="BR33" s="1"/>
  <c r="BU9"/>
  <c r="BU35" s="1"/>
  <c r="V9"/>
  <c r="V33" s="1"/>
  <c r="BB33"/>
  <c r="BE35"/>
  <c r="AX33"/>
  <c r="M35"/>
  <c r="AR33"/>
  <c r="AR41" s="1"/>
  <c r="AR51" s="1"/>
  <c r="AR53" s="1"/>
  <c r="AR54" s="1"/>
  <c r="AR55" s="1"/>
  <c r="AW35"/>
  <c r="AJ35"/>
  <c r="BJ9"/>
  <c r="AL9"/>
  <c r="AL33" s="1"/>
  <c r="B9"/>
  <c r="B33" s="1"/>
  <c r="AA9"/>
  <c r="AA35" s="1"/>
  <c r="Z9"/>
  <c r="Z34" s="1"/>
  <c r="AN9"/>
  <c r="AN33" s="1"/>
  <c r="BS9"/>
  <c r="BS35" s="1"/>
  <c r="BM9"/>
  <c r="BM35" s="1"/>
  <c r="AP9"/>
  <c r="AP33" s="1"/>
  <c r="BA9"/>
  <c r="BA35" s="1"/>
  <c r="AI9"/>
  <c r="AI34" s="1"/>
  <c r="BQ9"/>
  <c r="BQ34" s="1"/>
  <c r="Y33"/>
  <c r="W35"/>
  <c r="AL34"/>
  <c r="AL35"/>
  <c r="B34"/>
  <c r="AA33"/>
  <c r="BS33"/>
  <c r="BM34"/>
  <c r="AP35"/>
  <c r="BA33"/>
  <c r="BA34"/>
  <c r="AI33"/>
  <c r="BQ35"/>
  <c r="AQ35"/>
  <c r="AQ34"/>
  <c r="P35"/>
  <c r="P34"/>
  <c r="BI33"/>
  <c r="BI35"/>
  <c r="BG34"/>
  <c r="BG33"/>
  <c r="BG35"/>
  <c r="Q35"/>
  <c r="Q33"/>
  <c r="Q34"/>
  <c r="BO33"/>
  <c r="BO34"/>
  <c r="BO35"/>
  <c r="O34"/>
  <c r="BD34"/>
  <c r="BD35"/>
  <c r="BD33"/>
  <c r="BW34"/>
  <c r="BW33"/>
  <c r="BR35"/>
  <c r="AO35"/>
  <c r="AO33"/>
  <c r="AO34"/>
  <c r="BV35"/>
  <c r="BV33"/>
  <c r="BV34"/>
  <c r="BU33"/>
  <c r="AK34"/>
  <c r="AK35"/>
  <c r="AK33"/>
  <c r="AZ34"/>
  <c r="AZ33"/>
  <c r="AZ35"/>
  <c r="BF34"/>
  <c r="BF33"/>
  <c r="BF35"/>
  <c r="V35"/>
  <c r="AH34"/>
  <c r="AH35"/>
  <c r="AB34"/>
  <c r="AB33"/>
  <c r="AB35"/>
  <c r="E33"/>
  <c r="E35"/>
  <c r="E34"/>
  <c r="N33"/>
  <c r="R35"/>
  <c r="BJ34"/>
  <c r="AI35"/>
  <c r="F9"/>
  <c r="X9"/>
  <c r="T9"/>
  <c r="G35"/>
  <c r="U33"/>
  <c r="S33"/>
  <c r="BZ35"/>
  <c r="AY35"/>
  <c r="AW34"/>
  <c r="BB35"/>
  <c r="AS34"/>
  <c r="J33"/>
  <c r="AD35"/>
  <c r="AC33"/>
  <c r="AM35"/>
  <c r="AM41" s="1"/>
  <c r="AM51" s="1"/>
  <c r="AM53" s="1"/>
  <c r="BN9"/>
  <c r="BK9"/>
  <c r="AT9"/>
  <c r="H9"/>
  <c r="AF9"/>
  <c r="P49"/>
  <c r="AD49"/>
  <c r="BL44"/>
  <c r="BL49" s="1"/>
  <c r="BO21"/>
  <c r="BO45" s="1"/>
  <c r="BO49" s="1"/>
  <c r="AA21"/>
  <c r="AA45" s="1"/>
  <c r="AA49" s="1"/>
  <c r="W44"/>
  <c r="W49" s="1"/>
  <c r="BN44"/>
  <c r="BN49" s="1"/>
  <c r="O44"/>
  <c r="O49" s="1"/>
  <c r="L21"/>
  <c r="L45" s="1"/>
  <c r="V44"/>
  <c r="V49" s="1"/>
  <c r="T18"/>
  <c r="AV18"/>
  <c r="BI18"/>
  <c r="E18"/>
  <c r="U18"/>
  <c r="AZ18"/>
  <c r="AZ44" s="1"/>
  <c r="BP18"/>
  <c r="BD18"/>
  <c r="J18"/>
  <c r="R18"/>
  <c r="AC18"/>
  <c r="BQ18"/>
  <c r="G18"/>
  <c r="K18"/>
  <c r="S18"/>
  <c r="AJ44"/>
  <c r="BH18"/>
  <c r="BH21" s="1"/>
  <c r="BH45" s="1"/>
  <c r="BX18"/>
  <c r="AX18"/>
  <c r="BF18"/>
  <c r="BJ18"/>
  <c r="BR18"/>
  <c r="BG18"/>
  <c r="BK18"/>
  <c r="BW18"/>
  <c r="AB18"/>
  <c r="H18"/>
  <c r="H21" s="1"/>
  <c r="H45" s="1"/>
  <c r="Q49"/>
  <c r="BC18"/>
  <c r="AY18"/>
  <c r="M18"/>
  <c r="L49"/>
  <c r="BA44"/>
  <c r="BA49" s="1"/>
  <c r="F44"/>
  <c r="F49" s="1"/>
  <c r="AK21"/>
  <c r="AK45" s="1"/>
  <c r="AK49" s="1"/>
  <c r="BB44"/>
  <c r="BB49" s="1"/>
  <c r="AZ21"/>
  <c r="AZ45" s="1"/>
  <c r="BM49"/>
  <c r="AW44"/>
  <c r="AW49" s="1"/>
  <c r="G375" i="23"/>
  <c r="G380" s="1"/>
  <c r="H1068" i="21"/>
  <c r="H1069" s="1"/>
  <c r="G227"/>
  <c r="G228" s="1"/>
  <c r="G501" i="20"/>
  <c r="G502" s="1"/>
  <c r="O390" i="28"/>
  <c r="O391" s="1"/>
  <c r="H390"/>
  <c r="G390"/>
  <c r="G391" s="1"/>
  <c r="G167" i="22"/>
  <c r="G168" s="1"/>
  <c r="O939" i="21"/>
  <c r="G549" i="20"/>
  <c r="G212"/>
  <c r="G219" s="1"/>
  <c r="O494"/>
  <c r="M84" i="16"/>
  <c r="O970" i="21"/>
  <c r="G237" i="20"/>
  <c r="G244" s="1"/>
  <c r="G418"/>
  <c r="G12" i="28"/>
  <c r="G16" s="1"/>
  <c r="AN34" i="43"/>
  <c r="AZ49"/>
  <c r="AJ49"/>
  <c r="G970" i="21"/>
  <c r="G974" s="1"/>
  <c r="G291"/>
  <c r="G295" s="1"/>
  <c r="AN35" i="43"/>
  <c r="G166" i="18"/>
  <c r="G1210" i="21"/>
  <c r="G1214" s="1"/>
  <c r="AY40" i="43"/>
  <c r="G416" i="21"/>
  <c r="G419" s="1"/>
  <c r="G56" i="46"/>
  <c r="F13" i="45"/>
  <c r="F79"/>
  <c r="O237" i="20"/>
  <c r="O73" i="23"/>
  <c r="N21" i="43"/>
  <c r="N45" s="1"/>
  <c r="N49" s="1"/>
  <c r="F53" i="45"/>
  <c r="F87"/>
  <c r="F59"/>
  <c r="F39"/>
  <c r="O750" i="23"/>
  <c r="F55" i="45"/>
  <c r="F19"/>
  <c r="M489" i="16"/>
  <c r="O313" i="21"/>
  <c r="O69"/>
  <c r="O283" i="23"/>
  <c r="O1607" i="21"/>
  <c r="M226" i="16"/>
  <c r="O733" i="21"/>
  <c r="O1087"/>
  <c r="G11" i="8"/>
  <c r="G18" s="1"/>
  <c r="L283" i="16"/>
  <c r="M283" s="1"/>
  <c r="M282" s="1"/>
  <c r="L225"/>
  <c r="M225" s="1"/>
  <c r="M224" s="1"/>
  <c r="L175"/>
  <c r="M175" s="1"/>
  <c r="M174" s="1"/>
  <c r="M180" s="1"/>
  <c r="N174" i="17"/>
  <c r="O174" s="1"/>
  <c r="O173" s="1"/>
  <c r="F137" i="28"/>
  <c r="G137" s="1"/>
  <c r="G136" s="1"/>
  <c r="O522" i="23"/>
  <c r="O521" s="1"/>
  <c r="O529" s="1"/>
  <c r="O225" i="22"/>
  <c r="O224" s="1"/>
  <c r="O267"/>
  <c r="O266" s="1"/>
  <c r="O312" i="21"/>
  <c r="O311" s="1"/>
  <c r="O320" s="1"/>
  <c r="O386"/>
  <c r="O385" s="1"/>
  <c r="O394" s="1"/>
  <c r="O461"/>
  <c r="O460" s="1"/>
  <c r="O466" s="1"/>
  <c r="O667"/>
  <c r="O666" s="1"/>
  <c r="O672" s="1"/>
  <c r="N313" i="28"/>
  <c r="O313" s="1"/>
  <c r="O312" s="1"/>
  <c r="O314" s="1"/>
  <c r="O93" i="23"/>
  <c r="O92" s="1"/>
  <c r="O96" s="1"/>
  <c r="O305"/>
  <c r="O304" s="1"/>
  <c r="O308" s="1"/>
  <c r="O325"/>
  <c r="O324" s="1"/>
  <c r="O333" s="1"/>
  <c r="O350"/>
  <c r="O349" s="1"/>
  <c r="O357" s="1"/>
  <c r="O374"/>
  <c r="O373" s="1"/>
  <c r="O380" s="1"/>
  <c r="O222" i="21"/>
  <c r="O221" s="1"/>
  <c r="O226" s="1"/>
  <c r="O182" i="22"/>
  <c r="O181" s="1"/>
  <c r="O188" s="1"/>
  <c r="O287" i="21"/>
  <c r="O286" s="1"/>
  <c r="O295" s="1"/>
  <c r="O483"/>
  <c r="O482" s="1"/>
  <c r="O488" s="1"/>
  <c r="O962"/>
  <c r="O961" s="1"/>
  <c r="O974" s="1"/>
  <c r="O1055"/>
  <c r="O1054" s="1"/>
  <c r="O1067" s="1"/>
  <c r="N256" i="18"/>
  <c r="O256" s="1"/>
  <c r="O255" s="1"/>
  <c r="N8" i="17"/>
  <c r="O8" s="1"/>
  <c r="O7" s="1"/>
  <c r="O11" s="1"/>
  <c r="N27"/>
  <c r="O27" s="1"/>
  <c r="O26" s="1"/>
  <c r="O34" s="1"/>
  <c r="N223"/>
  <c r="O223" s="1"/>
  <c r="O222" s="1"/>
  <c r="N274"/>
  <c r="O274" s="1"/>
  <c r="O273" s="1"/>
  <c r="O279" s="1"/>
  <c r="N295"/>
  <c r="O295" s="1"/>
  <c r="O294" s="1"/>
  <c r="O300" s="1"/>
  <c r="N316"/>
  <c r="O316" s="1"/>
  <c r="O315" s="1"/>
  <c r="O324" s="1"/>
  <c r="M35" i="16"/>
  <c r="L385"/>
  <c r="M385" s="1"/>
  <c r="M384" s="1"/>
  <c r="L556"/>
  <c r="M556" s="1"/>
  <c r="M555" s="1"/>
  <c r="O93" i="21"/>
  <c r="O92" s="1"/>
  <c r="O94" s="1"/>
  <c r="O1580"/>
  <c r="O1579" s="1"/>
  <c r="O1588" s="1"/>
  <c r="N8" i="18"/>
  <c r="O8" s="1"/>
  <c r="O7" s="1"/>
  <c r="O11" s="1"/>
  <c r="N185"/>
  <c r="O185" s="1"/>
  <c r="O184" s="1"/>
  <c r="O192" s="1"/>
  <c r="N208"/>
  <c r="O208" s="1"/>
  <c r="O207" s="1"/>
  <c r="O216" s="1"/>
  <c r="N232"/>
  <c r="O232" s="1"/>
  <c r="O231" s="1"/>
  <c r="O240" s="1"/>
  <c r="N89" i="17"/>
  <c r="O89" s="1"/>
  <c r="O88" s="1"/>
  <c r="O93" s="1"/>
  <c r="N109"/>
  <c r="O109" s="1"/>
  <c r="O108" s="1"/>
  <c r="O112" s="1"/>
  <c r="N128"/>
  <c r="O128" s="1"/>
  <c r="O127" s="1"/>
  <c r="N148"/>
  <c r="O148" s="1"/>
  <c r="O147" s="1"/>
  <c r="N200"/>
  <c r="O200" s="1"/>
  <c r="O199" s="1"/>
  <c r="M8" i="16"/>
  <c r="M18" s="1"/>
  <c r="M139"/>
  <c r="M138" s="1"/>
  <c r="M157" s="1"/>
  <c r="L351"/>
  <c r="M351" s="1"/>
  <c r="M350" s="1"/>
  <c r="L419"/>
  <c r="M419" s="1"/>
  <c r="M418" s="1"/>
  <c r="M435" s="1"/>
  <c r="L522"/>
  <c r="M522" s="1"/>
  <c r="M521" s="1"/>
  <c r="L658"/>
  <c r="M658" s="1"/>
  <c r="M657" s="1"/>
  <c r="M674" s="1"/>
  <c r="L794"/>
  <c r="M794" s="1"/>
  <c r="M793" s="1"/>
  <c r="O137" i="28"/>
  <c r="O136" s="1"/>
  <c r="N94" i="18"/>
  <c r="O94" s="1"/>
  <c r="O93" s="1"/>
  <c r="O99" s="1"/>
  <c r="N115"/>
  <c r="O115" s="1"/>
  <c r="O114" s="1"/>
  <c r="N138"/>
  <c r="O138" s="1"/>
  <c r="O137" s="1"/>
  <c r="N162"/>
  <c r="O162" s="1"/>
  <c r="N50" i="17"/>
  <c r="O50" s="1"/>
  <c r="O49" s="1"/>
  <c r="O53" s="1"/>
  <c r="N69"/>
  <c r="O69" s="1"/>
  <c r="O68" s="1"/>
  <c r="O73" s="1"/>
  <c r="N249"/>
  <c r="O249" s="1"/>
  <c r="O248" s="1"/>
  <c r="L104" i="16"/>
  <c r="M104" s="1"/>
  <c r="M103" s="1"/>
  <c r="L198"/>
  <c r="M198" s="1"/>
  <c r="M197" s="1"/>
  <c r="L252"/>
  <c r="M252" s="1"/>
  <c r="M251" s="1"/>
  <c r="AU9" i="43"/>
  <c r="AE9"/>
  <c r="C9"/>
  <c r="E60" i="45"/>
  <c r="F60" s="1"/>
  <c r="BX9" i="43"/>
  <c r="N76" i="18"/>
  <c r="O76" s="1"/>
  <c r="O75" s="1"/>
  <c r="F76"/>
  <c r="G76" s="1"/>
  <c r="G75" s="1"/>
  <c r="G182" i="23"/>
  <c r="L9" i="43"/>
  <c r="BH9"/>
  <c r="N142" i="28"/>
  <c r="O142" s="1"/>
  <c r="O141" s="1"/>
  <c r="BP9" i="43"/>
  <c r="BT9"/>
  <c r="G138" i="28"/>
  <c r="F84" i="31"/>
  <c r="H57"/>
  <c r="H45"/>
  <c r="M121" i="16" l="1"/>
  <c r="M122" s="1"/>
  <c r="M123" s="1"/>
  <c r="M401"/>
  <c r="M299"/>
  <c r="O1154" i="21"/>
  <c r="O1155" s="1"/>
  <c r="O1156" s="1"/>
  <c r="O1406"/>
  <c r="O1407" s="1"/>
  <c r="O1408" s="1"/>
  <c r="G708" i="16"/>
  <c r="G709" s="1"/>
  <c r="G710" s="1"/>
  <c r="M207"/>
  <c r="M208" s="1"/>
  <c r="M209" s="1"/>
  <c r="G284"/>
  <c r="G299" s="1"/>
  <c r="G300" s="1"/>
  <c r="G301" s="1"/>
  <c r="P153"/>
  <c r="M862"/>
  <c r="M863" s="1"/>
  <c r="M864" s="1"/>
  <c r="M776"/>
  <c r="M708"/>
  <c r="M709" s="1"/>
  <c r="M470"/>
  <c r="M471" s="1"/>
  <c r="M472" s="1"/>
  <c r="G795"/>
  <c r="G523"/>
  <c r="G54"/>
  <c r="M333"/>
  <c r="M334" s="1"/>
  <c r="M335" s="1"/>
  <c r="G810"/>
  <c r="G811" s="1"/>
  <c r="G812" s="1"/>
  <c r="G538"/>
  <c r="G539" s="1"/>
  <c r="G540" s="1"/>
  <c r="G640"/>
  <c r="G572"/>
  <c r="G573" s="1"/>
  <c r="G574" s="1"/>
  <c r="G420"/>
  <c r="G386"/>
  <c r="G401" s="1"/>
  <c r="G402" s="1"/>
  <c r="G403" s="1"/>
  <c r="G435"/>
  <c r="F436" s="1"/>
  <c r="G436" s="1"/>
  <c r="G437" s="1"/>
  <c r="G438" s="1"/>
  <c r="M538"/>
  <c r="M539" s="1"/>
  <c r="M540" s="1"/>
  <c r="M367"/>
  <c r="M368" s="1"/>
  <c r="M369" s="1"/>
  <c r="M572"/>
  <c r="M573" s="1"/>
  <c r="M574" s="1"/>
  <c r="G105"/>
  <c r="G121" s="1"/>
  <c r="G122" s="1"/>
  <c r="P296"/>
  <c r="M836"/>
  <c r="M837" s="1"/>
  <c r="M838" s="1"/>
  <c r="M742"/>
  <c r="M743" s="1"/>
  <c r="M744" s="1"/>
  <c r="M640"/>
  <c r="M641" s="1"/>
  <c r="M642" s="1"/>
  <c r="M810"/>
  <c r="M811" s="1"/>
  <c r="M812" s="1"/>
  <c r="M52"/>
  <c r="M53" s="1"/>
  <c r="M54" s="1"/>
  <c r="O122" i="18"/>
  <c r="M234" i="16"/>
  <c r="M235" s="1"/>
  <c r="M236" s="1"/>
  <c r="G140"/>
  <c r="H295" i="20"/>
  <c r="H296" s="1"/>
  <c r="G157" i="16"/>
  <c r="G158" s="1"/>
  <c r="M888"/>
  <c r="G87"/>
  <c r="O1245" i="21"/>
  <c r="O76" i="23"/>
  <c r="O759"/>
  <c r="H680"/>
  <c r="H681" s="1"/>
  <c r="G238" i="28"/>
  <c r="G243" s="1"/>
  <c r="O288" i="23"/>
  <c r="O505"/>
  <c r="O78" i="18"/>
  <c r="O1096" i="21"/>
  <c r="H1537"/>
  <c r="H1538" s="1"/>
  <c r="H61" i="28"/>
  <c r="H62" s="1"/>
  <c r="G280" i="17"/>
  <c r="G281" s="1"/>
  <c r="G169" i="18"/>
  <c r="H170" s="1"/>
  <c r="H171" s="1"/>
  <c r="G335" i="23"/>
  <c r="G481"/>
  <c r="G482" s="1"/>
  <c r="G52" i="21"/>
  <c r="G53" s="1"/>
  <c r="G764"/>
  <c r="G765" s="1"/>
  <c r="G1126"/>
  <c r="G1127" s="1"/>
  <c r="G733" i="23"/>
  <c r="G734" s="1"/>
  <c r="O829" i="21"/>
  <c r="H511"/>
  <c r="H512" s="1"/>
  <c r="G857"/>
  <c r="G858" s="1"/>
  <c r="H289" i="23"/>
  <c r="H290" s="1"/>
  <c r="G828" i="21"/>
  <c r="G829" s="1"/>
  <c r="G760" i="23"/>
  <c r="G761" s="1"/>
  <c r="O76" i="21"/>
  <c r="M87" i="16"/>
  <c r="M88" s="1"/>
  <c r="M89" s="1"/>
  <c r="G320" i="20"/>
  <c r="G321" s="1"/>
  <c r="G11" i="21"/>
  <c r="G12" s="1"/>
  <c r="H113" i="17"/>
  <c r="H114" s="1"/>
  <c r="G321" i="21"/>
  <c r="G322" s="1"/>
  <c r="H431" i="23"/>
  <c r="H432" s="1"/>
  <c r="H155" i="20"/>
  <c r="H156" s="1"/>
  <c r="O57" i="23"/>
  <c r="G1006" i="21"/>
  <c r="G1007" s="1"/>
  <c r="H189" i="22"/>
  <c r="H190" s="1"/>
  <c r="H527" i="20"/>
  <c r="H528" s="1"/>
  <c r="M606" i="16"/>
  <c r="M607" s="1"/>
  <c r="M608" s="1"/>
  <c r="O1563" i="21"/>
  <c r="O1564" s="1"/>
  <c r="O739"/>
  <c r="O1614"/>
  <c r="O1615" s="1"/>
  <c r="O1616" s="1"/>
  <c r="M504" i="16"/>
  <c r="M505" s="1"/>
  <c r="M506" s="1"/>
  <c r="O244" i="20"/>
  <c r="O245" s="1"/>
  <c r="O246" s="1"/>
  <c r="O500"/>
  <c r="H681"/>
  <c r="H682" s="1"/>
  <c r="H123" i="18"/>
  <c r="H124" s="1"/>
  <c r="H39" i="28"/>
  <c r="H40" s="1"/>
  <c r="H404" i="23"/>
  <c r="H405" s="1"/>
  <c r="H116" i="21"/>
  <c r="H117" s="1"/>
  <c r="H1155"/>
  <c r="H1156" s="1"/>
  <c r="G1656"/>
  <c r="G1657" s="1"/>
  <c r="G1433"/>
  <c r="G1434" s="1"/>
  <c r="O1679"/>
  <c r="O1005"/>
  <c r="O1006" s="1"/>
  <c r="O1007" s="1"/>
  <c r="M889" i="16"/>
  <c r="M890" s="1"/>
  <c r="O943" i="21"/>
  <c r="H1097"/>
  <c r="H1098" s="1"/>
  <c r="G507" i="23"/>
  <c r="H629" i="21"/>
  <c r="H630" s="1"/>
  <c r="G1098"/>
  <c r="X301" i="16"/>
  <c r="G141" i="23"/>
  <c r="G85" i="28"/>
  <c r="G86" s="1"/>
  <c r="H334" i="23"/>
  <c r="H335" s="1"/>
  <c r="O566" i="21"/>
  <c r="G806"/>
  <c r="G807" s="1"/>
  <c r="G309" i="23"/>
  <c r="G310" s="1"/>
  <c r="H100" i="18"/>
  <c r="H101" s="1"/>
  <c r="G100"/>
  <c r="G101" s="1"/>
  <c r="G159" i="16"/>
  <c r="CA40" i="43"/>
  <c r="CA12"/>
  <c r="CA39" s="1"/>
  <c r="CA41" s="1"/>
  <c r="CA51" s="1"/>
  <c r="CA53" s="1"/>
  <c r="CB40"/>
  <c r="CB12"/>
  <c r="CB39" s="1"/>
  <c r="CB41" s="1"/>
  <c r="CB51" s="1"/>
  <c r="CB53" s="1"/>
  <c r="P12"/>
  <c r="P39" s="1"/>
  <c r="P40"/>
  <c r="G244" i="28"/>
  <c r="G245" s="1"/>
  <c r="H244"/>
  <c r="H245" s="1"/>
  <c r="BZ41" i="43"/>
  <c r="BZ51" s="1"/>
  <c r="BZ53" s="1"/>
  <c r="M935" i="16"/>
  <c r="M936" s="1"/>
  <c r="H372" i="28"/>
  <c r="H373" s="1"/>
  <c r="G372"/>
  <c r="G373" s="1"/>
  <c r="G731" i="20"/>
  <c r="G732" s="1"/>
  <c r="AA12" i="43"/>
  <c r="AA39" s="1"/>
  <c r="AA40"/>
  <c r="V40"/>
  <c r="V12"/>
  <c r="V39" s="1"/>
  <c r="H77" i="21"/>
  <c r="H78" s="1"/>
  <c r="H31" i="20"/>
  <c r="H32" s="1"/>
  <c r="BB41" i="43"/>
  <c r="G1615" i="21"/>
  <c r="G1616" s="1"/>
  <c r="U12" i="43"/>
  <c r="U39" s="1"/>
  <c r="U41" s="1"/>
  <c r="H1589" i="21"/>
  <c r="H1590" s="1"/>
  <c r="H107" i="28"/>
  <c r="H108" s="1"/>
  <c r="G12" i="43"/>
  <c r="G39" s="1"/>
  <c r="G41" s="1"/>
  <c r="I54"/>
  <c r="I55" s="1"/>
  <c r="G530" i="23"/>
  <c r="G531" s="1"/>
  <c r="H271" i="21"/>
  <c r="H272" s="1"/>
  <c r="H506" i="23"/>
  <c r="H507" s="1"/>
  <c r="H1511" i="21"/>
  <c r="H1512" s="1"/>
  <c r="Q12" i="43"/>
  <c r="Q39" s="1"/>
  <c r="Q40"/>
  <c r="AB40"/>
  <c r="AB12"/>
  <c r="AB39" s="1"/>
  <c r="BL12"/>
  <c r="BL39" s="1"/>
  <c r="BL40"/>
  <c r="T12"/>
  <c r="T39" s="1"/>
  <c r="T40"/>
  <c r="N40"/>
  <c r="N12"/>
  <c r="N39" s="1"/>
  <c r="G88" i="16"/>
  <c r="G89" s="1"/>
  <c r="G266" i="23"/>
  <c r="G267" s="1"/>
  <c r="AD41" i="43"/>
  <c r="M41"/>
  <c r="G935" i="16"/>
  <c r="G936" s="1"/>
  <c r="G1485" i="21"/>
  <c r="G1486" s="1"/>
  <c r="G1184"/>
  <c r="G1185" s="1"/>
  <c r="G915"/>
  <c r="G916" s="1"/>
  <c r="G1381"/>
  <c r="G1382" s="1"/>
  <c r="H370"/>
  <c r="H371" s="1"/>
  <c r="G370"/>
  <c r="G371" s="1"/>
  <c r="G78" i="18"/>
  <c r="O161"/>
  <c r="O169" s="1"/>
  <c r="O170" s="1"/>
  <c r="O171" s="1"/>
  <c r="G74" i="17"/>
  <c r="G75" s="1"/>
  <c r="G1037" i="21"/>
  <c r="G1038" s="1"/>
  <c r="G944"/>
  <c r="G945" s="1"/>
  <c r="G183"/>
  <c r="G184" s="1"/>
  <c r="H489"/>
  <c r="H490" s="1"/>
  <c r="G1407"/>
  <c r="G1408" s="1"/>
  <c r="O1038"/>
  <c r="H915"/>
  <c r="H916" s="1"/>
  <c r="H1184"/>
  <c r="H1185" s="1"/>
  <c r="O764"/>
  <c r="O765" s="1"/>
  <c r="G325" i="17"/>
  <c r="G326" s="1"/>
  <c r="H325"/>
  <c r="H326" s="1"/>
  <c r="O221" i="20"/>
  <c r="H944" i="21"/>
  <c r="H945" s="1"/>
  <c r="G345" i="20"/>
  <c r="G346" s="1"/>
  <c r="G1068" i="21"/>
  <c r="G1069" s="1"/>
  <c r="G107" i="28"/>
  <c r="G108" s="1"/>
  <c r="L12" i="43"/>
  <c r="L39" s="1"/>
  <c r="L40"/>
  <c r="AX12"/>
  <c r="AX39" s="1"/>
  <c r="AX40"/>
  <c r="F10" i="47"/>
  <c r="O1277" i="21"/>
  <c r="O1278" s="1"/>
  <c r="J12" i="43"/>
  <c r="J39" s="1"/>
  <c r="J40"/>
  <c r="G208" i="16"/>
  <c r="G209" s="1"/>
  <c r="AJ40" i="43"/>
  <c r="AJ12"/>
  <c r="AJ39" s="1"/>
  <c r="BW40"/>
  <c r="BW12"/>
  <c r="BW39" s="1"/>
  <c r="BO40"/>
  <c r="BO12"/>
  <c r="BO39" s="1"/>
  <c r="BN12"/>
  <c r="BN39" s="1"/>
  <c r="BN40"/>
  <c r="BC12"/>
  <c r="BC39" s="1"/>
  <c r="BC40"/>
  <c r="G655" i="20"/>
  <c r="G656" s="1"/>
  <c r="H655"/>
  <c r="H656" s="1"/>
  <c r="H165" i="23"/>
  <c r="H166" s="1"/>
  <c r="G165"/>
  <c r="G166" s="1"/>
  <c r="K40" i="43"/>
  <c r="K12"/>
  <c r="K39" s="1"/>
  <c r="G1246" i="21"/>
  <c r="G1247" s="1"/>
  <c r="H1246"/>
  <c r="H1247" s="1"/>
  <c r="G270" i="20"/>
  <c r="G271" s="1"/>
  <c r="G395" i="21"/>
  <c r="G396" s="1"/>
  <c r="O207"/>
  <c r="O295" i="20"/>
  <c r="O296" s="1"/>
  <c r="M777" i="16"/>
  <c r="M778" s="1"/>
  <c r="O527" i="20"/>
  <c r="O528" s="1"/>
  <c r="O915" i="21"/>
  <c r="O916" s="1"/>
  <c r="O61" i="28"/>
  <c r="O62" s="1"/>
  <c r="G915" i="16"/>
  <c r="G916" s="1"/>
  <c r="G235"/>
  <c r="G236" s="1"/>
  <c r="G215" i="23"/>
  <c r="G216" s="1"/>
  <c r="H94" i="17"/>
  <c r="H95" s="1"/>
  <c r="G94"/>
  <c r="G95" s="1"/>
  <c r="H740" i="21"/>
  <c r="H741" s="1"/>
  <c r="G740"/>
  <c r="G741" s="1"/>
  <c r="G993" i="16"/>
  <c r="G994" s="1"/>
  <c r="H1563" i="21"/>
  <c r="H1564" s="1"/>
  <c r="G1563"/>
  <c r="G1564" s="1"/>
  <c r="H1303"/>
  <c r="H1304" s="1"/>
  <c r="G1303"/>
  <c r="G1304" s="1"/>
  <c r="H607" i="20"/>
  <c r="H608" s="1"/>
  <c r="G607"/>
  <c r="G608" s="1"/>
  <c r="H631"/>
  <c r="H632" s="1"/>
  <c r="G631"/>
  <c r="G632" s="1"/>
  <c r="O1459" i="21"/>
  <c r="O1460" s="1"/>
  <c r="H35" i="17"/>
  <c r="H36" s="1"/>
  <c r="G35"/>
  <c r="G36" s="1"/>
  <c r="H1277" i="21"/>
  <c r="H1278" s="1"/>
  <c r="G1277"/>
  <c r="G1278" s="1"/>
  <c r="H193" i="18"/>
  <c r="H194" s="1"/>
  <c r="G193"/>
  <c r="G194" s="1"/>
  <c r="H241"/>
  <c r="H242" s="1"/>
  <c r="G241"/>
  <c r="G242" s="1"/>
  <c r="G242" i="23"/>
  <c r="G243" s="1"/>
  <c r="O1215" i="21"/>
  <c r="O1216" s="1"/>
  <c r="H217" i="18"/>
  <c r="H218" s="1"/>
  <c r="G217"/>
  <c r="G218" s="1"/>
  <c r="G368" i="16"/>
  <c r="G369" s="1"/>
  <c r="G346" i="21"/>
  <c r="H346"/>
  <c r="H347" s="1"/>
  <c r="G347"/>
  <c r="G445"/>
  <c r="G446" s="1"/>
  <c r="H445"/>
  <c r="H446" s="1"/>
  <c r="H301" i="17"/>
  <c r="H302" s="1"/>
  <c r="G301"/>
  <c r="G302" s="1"/>
  <c r="G641" i="16"/>
  <c r="G642" s="1"/>
  <c r="H1459" i="21"/>
  <c r="H1460" s="1"/>
  <c r="G1459"/>
  <c r="G1460" s="1"/>
  <c r="H370" i="20"/>
  <c r="H371" s="1"/>
  <c r="G370"/>
  <c r="G371" s="1"/>
  <c r="G706"/>
  <c r="G707" s="1"/>
  <c r="H706"/>
  <c r="H707" s="1"/>
  <c r="O1329" i="21"/>
  <c r="O1330" s="1"/>
  <c r="O886"/>
  <c r="O887" s="1"/>
  <c r="H886"/>
  <c r="H887" s="1"/>
  <c r="G886"/>
  <c r="G887" s="1"/>
  <c r="H206"/>
  <c r="H207" s="1"/>
  <c r="G206"/>
  <c r="G207" s="1"/>
  <c r="F14" i="47"/>
  <c r="F11"/>
  <c r="BE33" i="43"/>
  <c r="BE34"/>
  <c r="AS41"/>
  <c r="AS51" s="1"/>
  <c r="AS53" s="1"/>
  <c r="AC41"/>
  <c r="BC34"/>
  <c r="AW41"/>
  <c r="AW51" s="1"/>
  <c r="AW53" s="1"/>
  <c r="AW54" s="1"/>
  <c r="AW55" s="1"/>
  <c r="BC35"/>
  <c r="S41"/>
  <c r="R41"/>
  <c r="V34"/>
  <c r="BR34"/>
  <c r="BR41" s="1"/>
  <c r="O35"/>
  <c r="O41" s="1"/>
  <c r="O51" s="1"/>
  <c r="O53" s="1"/>
  <c r="AP34"/>
  <c r="BS34"/>
  <c r="BS41" s="1"/>
  <c r="BS51" s="1"/>
  <c r="BS53" s="1"/>
  <c r="B35"/>
  <c r="W33"/>
  <c r="Y34"/>
  <c r="AL41"/>
  <c r="AL51" s="1"/>
  <c r="AL53" s="1"/>
  <c r="AG41"/>
  <c r="AG51" s="1"/>
  <c r="AG53" s="1"/>
  <c r="AG54" s="1"/>
  <c r="AG55" s="1"/>
  <c r="D33"/>
  <c r="D41" s="1"/>
  <c r="D51" s="1"/>
  <c r="D53" s="1"/>
  <c r="AV34"/>
  <c r="AV35"/>
  <c r="AV33"/>
  <c r="Z35"/>
  <c r="Z33"/>
  <c r="BJ35"/>
  <c r="BJ33"/>
  <c r="BY34"/>
  <c r="BY35"/>
  <c r="BY33"/>
  <c r="AN41"/>
  <c r="AN51" s="1"/>
  <c r="AN53" s="1"/>
  <c r="Z41"/>
  <c r="Z51" s="1"/>
  <c r="Z53" s="1"/>
  <c r="AY41"/>
  <c r="BJ41"/>
  <c r="BQ33"/>
  <c r="AH41"/>
  <c r="AH51" s="1"/>
  <c r="AH53" s="1"/>
  <c r="AK41"/>
  <c r="BU34"/>
  <c r="BI41"/>
  <c r="P41"/>
  <c r="P51" s="1"/>
  <c r="P53" s="1"/>
  <c r="AQ41"/>
  <c r="AQ51" s="1"/>
  <c r="AQ53" s="1"/>
  <c r="BM33"/>
  <c r="BM41" s="1"/>
  <c r="BM51" s="1"/>
  <c r="BM53" s="1"/>
  <c r="AA34"/>
  <c r="AA41" s="1"/>
  <c r="AA51" s="1"/>
  <c r="AA53" s="1"/>
  <c r="B41"/>
  <c r="B51" s="1"/>
  <c r="B53" s="1"/>
  <c r="B54" s="1"/>
  <c r="B55" s="1"/>
  <c r="W41"/>
  <c r="W51" s="1"/>
  <c r="W53" s="1"/>
  <c r="AQ54"/>
  <c r="AQ55" s="1"/>
  <c r="AM54"/>
  <c r="AM55" s="1"/>
  <c r="H33"/>
  <c r="H34"/>
  <c r="H35"/>
  <c r="BK35"/>
  <c r="BK34"/>
  <c r="BK33"/>
  <c r="AS54"/>
  <c r="AS55" s="1"/>
  <c r="X34"/>
  <c r="X33"/>
  <c r="X35"/>
  <c r="AL54"/>
  <c r="AL55" s="1"/>
  <c r="AF33"/>
  <c r="AF34"/>
  <c r="AF35"/>
  <c r="AT35"/>
  <c r="AT34"/>
  <c r="AT33"/>
  <c r="AT41" s="1"/>
  <c r="AT51" s="1"/>
  <c r="AT53" s="1"/>
  <c r="BN35"/>
  <c r="BN34"/>
  <c r="BN33"/>
  <c r="T33"/>
  <c r="T35"/>
  <c r="T34"/>
  <c r="F34"/>
  <c r="F33"/>
  <c r="F35"/>
  <c r="AI41"/>
  <c r="AI51" s="1"/>
  <c r="AI53" s="1"/>
  <c r="AP41"/>
  <c r="AP51" s="1"/>
  <c r="AP53" s="1"/>
  <c r="BZ54"/>
  <c r="BZ55" s="1"/>
  <c r="BB51"/>
  <c r="BB53" s="1"/>
  <c r="BB54" s="1"/>
  <c r="BB55" s="1"/>
  <c r="AK51"/>
  <c r="AK53" s="1"/>
  <c r="BQ41"/>
  <c r="E41"/>
  <c r="BF41"/>
  <c r="AZ41"/>
  <c r="AZ51" s="1"/>
  <c r="AZ53" s="1"/>
  <c r="BU41"/>
  <c r="BU51" s="1"/>
  <c r="BU53" s="1"/>
  <c r="BV41"/>
  <c r="BV51" s="1"/>
  <c r="BV53" s="1"/>
  <c r="AO41"/>
  <c r="AO51" s="1"/>
  <c r="AO53" s="1"/>
  <c r="BD41"/>
  <c r="BG41"/>
  <c r="BA41"/>
  <c r="BA51" s="1"/>
  <c r="BA53" s="1"/>
  <c r="Y41"/>
  <c r="Y51" s="1"/>
  <c r="Y53" s="1"/>
  <c r="BW21"/>
  <c r="BW45" s="1"/>
  <c r="BW44"/>
  <c r="BG44"/>
  <c r="BG21"/>
  <c r="BG45" s="1"/>
  <c r="BG49" s="1"/>
  <c r="BG51" s="1"/>
  <c r="BG53" s="1"/>
  <c r="BJ44"/>
  <c r="BJ21"/>
  <c r="BJ45" s="1"/>
  <c r="AX44"/>
  <c r="AX21"/>
  <c r="AX45" s="1"/>
  <c r="AX49" s="1"/>
  <c r="S21"/>
  <c r="S45" s="1"/>
  <c r="S44"/>
  <c r="S49" s="1"/>
  <c r="G21"/>
  <c r="G45" s="1"/>
  <c r="G44"/>
  <c r="AC21"/>
  <c r="AC45" s="1"/>
  <c r="AC44"/>
  <c r="AC49" s="1"/>
  <c r="AC51" s="1"/>
  <c r="AC53" s="1"/>
  <c r="J44"/>
  <c r="J21"/>
  <c r="J45" s="1"/>
  <c r="J49" s="1"/>
  <c r="BP44"/>
  <c r="BP21"/>
  <c r="BP45" s="1"/>
  <c r="U21"/>
  <c r="U45" s="1"/>
  <c r="U44"/>
  <c r="U49" s="1"/>
  <c r="BI44"/>
  <c r="BI21"/>
  <c r="BI45" s="1"/>
  <c r="T44"/>
  <c r="T21"/>
  <c r="T45" s="1"/>
  <c r="T49" s="1"/>
  <c r="AB44"/>
  <c r="AB21"/>
  <c r="AB45" s="1"/>
  <c r="BK21"/>
  <c r="BK45" s="1"/>
  <c r="BK44"/>
  <c r="BR44"/>
  <c r="BR21"/>
  <c r="BR45" s="1"/>
  <c r="BF21"/>
  <c r="BF45" s="1"/>
  <c r="BF44"/>
  <c r="BX21"/>
  <c r="BX45" s="1"/>
  <c r="BX44"/>
  <c r="K44"/>
  <c r="K21"/>
  <c r="K45" s="1"/>
  <c r="BQ21"/>
  <c r="BQ45" s="1"/>
  <c r="BQ44"/>
  <c r="R21"/>
  <c r="R45" s="1"/>
  <c r="R44"/>
  <c r="BD44"/>
  <c r="BD21"/>
  <c r="BD45" s="1"/>
  <c r="E21"/>
  <c r="E45" s="1"/>
  <c r="E44"/>
  <c r="AV44"/>
  <c r="AV21"/>
  <c r="AV45" s="1"/>
  <c r="BH44"/>
  <c r="BH49" s="1"/>
  <c r="AD51"/>
  <c r="AD53" s="1"/>
  <c r="AD54" s="1"/>
  <c r="AD55" s="1"/>
  <c r="H44"/>
  <c r="H49" s="1"/>
  <c r="AY44"/>
  <c r="AY21"/>
  <c r="AY45" s="1"/>
  <c r="AY49" s="1"/>
  <c r="AY51" s="1"/>
  <c r="AY53" s="1"/>
  <c r="M44"/>
  <c r="M21"/>
  <c r="M45" s="1"/>
  <c r="BC21"/>
  <c r="BC45" s="1"/>
  <c r="BC44"/>
  <c r="BC49" s="1"/>
  <c r="G296" i="21"/>
  <c r="G297" s="1"/>
  <c r="H296"/>
  <c r="H297" s="1"/>
  <c r="H79" i="18"/>
  <c r="H80" s="1"/>
  <c r="O74" i="17"/>
  <c r="O75" s="1"/>
  <c r="O123" i="18"/>
  <c r="O124" s="1"/>
  <c r="O1381" i="21"/>
  <c r="O1382" s="1"/>
  <c r="O143" i="28"/>
  <c r="M437" i="16"/>
  <c r="M438" s="1"/>
  <c r="O94" i="17"/>
  <c r="O95" s="1"/>
  <c r="O12" i="18"/>
  <c r="O13" s="1"/>
  <c r="O731" i="20"/>
  <c r="O732" s="1"/>
  <c r="O631"/>
  <c r="O632" s="1"/>
  <c r="O11"/>
  <c r="O12" s="1"/>
  <c r="O1485" i="21"/>
  <c r="O1486" s="1"/>
  <c r="O346"/>
  <c r="O347" s="1"/>
  <c r="O280" i="17"/>
  <c r="O281" s="1"/>
  <c r="O975" i="21"/>
  <c r="O976" s="1"/>
  <c r="O189" i="22"/>
  <c r="O190" s="1"/>
  <c r="O247" i="21"/>
  <c r="O248" s="1"/>
  <c r="O334" i="23"/>
  <c r="O335" s="1"/>
  <c r="O607" i="21"/>
  <c r="O608" s="1"/>
  <c r="O445"/>
  <c r="O446" s="1"/>
  <c r="O138"/>
  <c r="O139" s="1"/>
  <c r="O13" i="23"/>
  <c r="O14" s="1"/>
  <c r="O506"/>
  <c r="O507" s="1"/>
  <c r="G143" i="28"/>
  <c r="M300" i="16"/>
  <c r="M301" s="1"/>
  <c r="O740" i="21"/>
  <c r="O741" s="1"/>
  <c r="O77"/>
  <c r="O78" s="1"/>
  <c r="D12" i="48"/>
  <c r="D14" s="1"/>
  <c r="F8"/>
  <c r="F14" s="1"/>
  <c r="O501" i="20"/>
  <c r="O502" s="1"/>
  <c r="H381" i="23"/>
  <c r="H382" s="1"/>
  <c r="G381"/>
  <c r="G382" s="1"/>
  <c r="BH35" i="43"/>
  <c r="BH33"/>
  <c r="BH34"/>
  <c r="O54" i="17"/>
  <c r="O55" s="1"/>
  <c r="O100" i="18"/>
  <c r="O101" s="1"/>
  <c r="O1184" i="21"/>
  <c r="O1185" s="1"/>
  <c r="O241" i="18"/>
  <c r="O242" s="1"/>
  <c r="O706" i="20"/>
  <c r="O707" s="1"/>
  <c r="O607"/>
  <c r="O608" s="1"/>
  <c r="O1656" i="21"/>
  <c r="O1657" s="1"/>
  <c r="O1126"/>
  <c r="O1127" s="1"/>
  <c r="O95"/>
  <c r="O96" s="1"/>
  <c r="O155" i="20"/>
  <c r="O156" s="1"/>
  <c r="O489" i="21"/>
  <c r="O490" s="1"/>
  <c r="O289" i="23"/>
  <c r="O290" s="1"/>
  <c r="O227" i="21"/>
  <c r="O228" s="1"/>
  <c r="O431" i="23"/>
  <c r="O432" s="1"/>
  <c r="O309"/>
  <c r="O310" s="1"/>
  <c r="O673" i="21"/>
  <c r="O674" s="1"/>
  <c r="O585"/>
  <c r="O586" s="1"/>
  <c r="O395"/>
  <c r="O396" s="1"/>
  <c r="O116"/>
  <c r="O117" s="1"/>
  <c r="O481" i="23"/>
  <c r="O482" s="1"/>
  <c r="G19" i="8"/>
  <c r="G20"/>
  <c r="G420" i="21"/>
  <c r="H420"/>
  <c r="H421" s="1"/>
  <c r="G421"/>
  <c r="E14" i="48"/>
  <c r="O944" i="21"/>
  <c r="O945" s="1"/>
  <c r="O79" i="18"/>
  <c r="O80" s="1"/>
  <c r="C33" i="43"/>
  <c r="C35"/>
  <c r="C34"/>
  <c r="BT35"/>
  <c r="BT33"/>
  <c r="BT34"/>
  <c r="L33"/>
  <c r="L34"/>
  <c r="L35"/>
  <c r="BX33"/>
  <c r="BX34"/>
  <c r="BX35"/>
  <c r="AE35"/>
  <c r="AE34"/>
  <c r="AE33"/>
  <c r="AE41" s="1"/>
  <c r="AE51" s="1"/>
  <c r="AE53" s="1"/>
  <c r="BP33"/>
  <c r="BP34"/>
  <c r="BP35"/>
  <c r="AU33"/>
  <c r="AU35"/>
  <c r="AU34"/>
  <c r="O93" i="20"/>
  <c r="O94" s="1"/>
  <c r="O160" i="21"/>
  <c r="O161" s="1"/>
  <c r="O780" i="23"/>
  <c r="O781" s="1"/>
  <c r="M675" i="16"/>
  <c r="M676" s="1"/>
  <c r="M158"/>
  <c r="M159" s="1"/>
  <c r="O217" i="18"/>
  <c r="O218" s="1"/>
  <c r="O681" i="20"/>
  <c r="O682" s="1"/>
  <c r="O1589" i="21"/>
  <c r="O1590" s="1"/>
  <c r="O529"/>
  <c r="O530" s="1"/>
  <c r="O325" i="17"/>
  <c r="O326" s="1"/>
  <c r="O35"/>
  <c r="O36" s="1"/>
  <c r="O1355" i="21"/>
  <c r="O1356" s="1"/>
  <c r="O370"/>
  <c r="O371" s="1"/>
  <c r="O165" i="23"/>
  <c r="O166" s="1"/>
  <c r="O11" i="21"/>
  <c r="O12" s="1"/>
  <c r="O381" i="23"/>
  <c r="O382" s="1"/>
  <c r="O97"/>
  <c r="O98" s="1"/>
  <c r="O651" i="21"/>
  <c r="O652" s="1"/>
  <c r="O511"/>
  <c r="O512" s="1"/>
  <c r="O321"/>
  <c r="O322" s="1"/>
  <c r="O760" i="23"/>
  <c r="O761" s="1"/>
  <c r="O573"/>
  <c r="O574" s="1"/>
  <c r="O404"/>
  <c r="O405" s="1"/>
  <c r="O680"/>
  <c r="O681" s="1"/>
  <c r="M181" i="16"/>
  <c r="M182" s="1"/>
  <c r="M973"/>
  <c r="M974" s="1"/>
  <c r="G1215" i="21"/>
  <c r="G1216" s="1"/>
  <c r="H1215"/>
  <c r="H1216" s="1"/>
  <c r="H975"/>
  <c r="H976" s="1"/>
  <c r="G975"/>
  <c r="G976" s="1"/>
  <c r="G220" i="20"/>
  <c r="H220"/>
  <c r="H221" s="1"/>
  <c r="G221"/>
  <c r="O1433" i="21"/>
  <c r="O1434" s="1"/>
  <c r="O29"/>
  <c r="O30" s="1"/>
  <c r="O266" i="23"/>
  <c r="O267" s="1"/>
  <c r="M19" i="16"/>
  <c r="M20" s="1"/>
  <c r="O113" i="17"/>
  <c r="O114" s="1"/>
  <c r="O193" i="18"/>
  <c r="O194" s="1"/>
  <c r="O655" i="20"/>
  <c r="O656" s="1"/>
  <c r="O1537" i="21"/>
  <c r="O1538" s="1"/>
  <c r="O420"/>
  <c r="O421" s="1"/>
  <c r="M402" i="16"/>
  <c r="M403" s="1"/>
  <c r="O301" i="17"/>
  <c r="O302" s="1"/>
  <c r="O12"/>
  <c r="O13" s="1"/>
  <c r="O1068" i="21"/>
  <c r="O1069" s="1"/>
  <c r="O296"/>
  <c r="O297" s="1"/>
  <c r="O271"/>
  <c r="O272" s="1"/>
  <c r="O358" i="23"/>
  <c r="O359" s="1"/>
  <c r="O315" i="28"/>
  <c r="O316" s="1"/>
  <c r="O629" i="21"/>
  <c r="O630" s="1"/>
  <c r="O467"/>
  <c r="O468" s="1"/>
  <c r="O183"/>
  <c r="O184" s="1"/>
  <c r="O733" i="23"/>
  <c r="O734" s="1"/>
  <c r="O530"/>
  <c r="O531" s="1"/>
  <c r="O77"/>
  <c r="O78" s="1"/>
  <c r="O1246" i="21"/>
  <c r="O1247" s="1"/>
  <c r="O1097"/>
  <c r="O1098" s="1"/>
  <c r="F706" i="23"/>
  <c r="G706" s="1"/>
  <c r="G703" s="1"/>
  <c r="N706"/>
  <c r="O706" s="1"/>
  <c r="O703" s="1"/>
  <c r="C12" i="48"/>
  <c r="C14" s="1"/>
  <c r="G170" i="18"/>
  <c r="G171" s="1"/>
  <c r="H17" i="28"/>
  <c r="H18" s="1"/>
  <c r="G17"/>
  <c r="G18" s="1"/>
  <c r="H245" i="20"/>
  <c r="H246" s="1"/>
  <c r="G245"/>
  <c r="G246" s="1"/>
  <c r="G123" i="16" l="1"/>
  <c r="M710"/>
  <c r="C87" i="31"/>
  <c r="BO41" i="43"/>
  <c r="BO51" s="1"/>
  <c r="BO53" s="1"/>
  <c r="CB54"/>
  <c r="CB55" s="1"/>
  <c r="C44" i="31"/>
  <c r="C86"/>
  <c r="CA54" i="43"/>
  <c r="CA55" s="1"/>
  <c r="BQ49"/>
  <c r="BX49"/>
  <c r="BF49"/>
  <c r="AB49"/>
  <c r="F41"/>
  <c r="F51" s="1"/>
  <c r="F53" s="1"/>
  <c r="AF41"/>
  <c r="AF51" s="1"/>
  <c r="AF53" s="1"/>
  <c r="X41"/>
  <c r="X51" s="1"/>
  <c r="X53" s="1"/>
  <c r="BE41"/>
  <c r="BE51" s="1"/>
  <c r="BE53" s="1"/>
  <c r="Q41"/>
  <c r="Q51" s="1"/>
  <c r="Q53" s="1"/>
  <c r="BE54"/>
  <c r="BE55" s="1"/>
  <c r="G79" i="18"/>
  <c r="G80" s="1"/>
  <c r="V41" i="43"/>
  <c r="V51" s="1"/>
  <c r="V53" s="1"/>
  <c r="BW41"/>
  <c r="AJ41"/>
  <c r="AJ51" s="1"/>
  <c r="AJ53" s="1"/>
  <c r="AJ54" s="1"/>
  <c r="AJ55" s="1"/>
  <c r="AX41"/>
  <c r="U51"/>
  <c r="U53" s="1"/>
  <c r="S51"/>
  <c r="S53" s="1"/>
  <c r="S54" s="1"/>
  <c r="N41"/>
  <c r="N51" s="1"/>
  <c r="N53" s="1"/>
  <c r="N54" s="1"/>
  <c r="N55" s="1"/>
  <c r="BL41"/>
  <c r="BL51" s="1"/>
  <c r="BL53" s="1"/>
  <c r="BL54" s="1"/>
  <c r="BL55" s="1"/>
  <c r="AB41"/>
  <c r="AB51" s="1"/>
  <c r="AB53" s="1"/>
  <c r="AX51"/>
  <c r="AX53" s="1"/>
  <c r="AX54" s="1"/>
  <c r="AX55" s="1"/>
  <c r="P54"/>
  <c r="P55" s="1"/>
  <c r="K41"/>
  <c r="J41"/>
  <c r="J51" s="1"/>
  <c r="J53" s="1"/>
  <c r="F9" i="47"/>
  <c r="BF51" i="43"/>
  <c r="BF53" s="1"/>
  <c r="F13" i="47"/>
  <c r="F12" s="1"/>
  <c r="BS54" i="43"/>
  <c r="BS55"/>
  <c r="V54"/>
  <c r="V55" s="1"/>
  <c r="AN54"/>
  <c r="AN55" s="1"/>
  <c r="Z54"/>
  <c r="Z55" s="1"/>
  <c r="AV41"/>
  <c r="BC41"/>
  <c r="BC51" s="1"/>
  <c r="BC53" s="1"/>
  <c r="F54"/>
  <c r="F55" s="1"/>
  <c r="W54"/>
  <c r="W55" s="1"/>
  <c r="Q54"/>
  <c r="Q55" s="1"/>
  <c r="O54"/>
  <c r="O55" s="1"/>
  <c r="D54"/>
  <c r="D55" s="1"/>
  <c r="AC54"/>
  <c r="AC55" s="1"/>
  <c r="AK54"/>
  <c r="AK55" s="1"/>
  <c r="BQ51"/>
  <c r="BQ53" s="1"/>
  <c r="BK41"/>
  <c r="AH54"/>
  <c r="AH55" s="1"/>
  <c r="BY41"/>
  <c r="BY51" s="1"/>
  <c r="BY53" s="1"/>
  <c r="AA54"/>
  <c r="AA55" s="1"/>
  <c r="BA54"/>
  <c r="BA55" s="1"/>
  <c r="AZ54"/>
  <c r="AZ55" s="1"/>
  <c r="Y54"/>
  <c r="Y55" s="1"/>
  <c r="BV54"/>
  <c r="BV55" s="1"/>
  <c r="BM54"/>
  <c r="BM55" s="1"/>
  <c r="AI54"/>
  <c r="AI55" s="1"/>
  <c r="BO54"/>
  <c r="BO55" s="1"/>
  <c r="AT54"/>
  <c r="AT55"/>
  <c r="AF54"/>
  <c r="AF55" s="1"/>
  <c r="X54"/>
  <c r="X55" s="1"/>
  <c r="AO54"/>
  <c r="AO55" s="1"/>
  <c r="BU54"/>
  <c r="BU55" s="1"/>
  <c r="AP54"/>
  <c r="AP55" s="1"/>
  <c r="AU41"/>
  <c r="AU51" s="1"/>
  <c r="AU53" s="1"/>
  <c r="L41"/>
  <c r="L51" s="1"/>
  <c r="L53" s="1"/>
  <c r="L54" s="1"/>
  <c r="L55" s="1"/>
  <c r="T41"/>
  <c r="T51" s="1"/>
  <c r="T53" s="1"/>
  <c r="BN41"/>
  <c r="BN51" s="1"/>
  <c r="BN53" s="1"/>
  <c r="H41"/>
  <c r="H51" s="1"/>
  <c r="H53" s="1"/>
  <c r="C15" i="31" s="1"/>
  <c r="BG54" i="43"/>
  <c r="BG55" s="1"/>
  <c r="S55"/>
  <c r="AV49"/>
  <c r="E49"/>
  <c r="E51" s="1"/>
  <c r="E53" s="1"/>
  <c r="BD49"/>
  <c r="BD51" s="1"/>
  <c r="BD53" s="1"/>
  <c r="R49"/>
  <c r="R51" s="1"/>
  <c r="R53" s="1"/>
  <c r="K49"/>
  <c r="K51" s="1"/>
  <c r="K53" s="1"/>
  <c r="BR49"/>
  <c r="BR51" s="1"/>
  <c r="BR53" s="1"/>
  <c r="C77" i="31" s="1"/>
  <c r="BK49" i="43"/>
  <c r="BK51" s="1"/>
  <c r="BK53" s="1"/>
  <c r="BI49"/>
  <c r="BI51" s="1"/>
  <c r="BI53" s="1"/>
  <c r="BP49"/>
  <c r="G49"/>
  <c r="G51" s="1"/>
  <c r="G53" s="1"/>
  <c r="BJ49"/>
  <c r="BJ51" s="1"/>
  <c r="BJ53" s="1"/>
  <c r="BW49"/>
  <c r="BW51" s="1"/>
  <c r="BW53" s="1"/>
  <c r="AY54"/>
  <c r="AY55" s="1"/>
  <c r="M49"/>
  <c r="M51" s="1"/>
  <c r="M53" s="1"/>
  <c r="AU54"/>
  <c r="AU55" s="1"/>
  <c r="BX41"/>
  <c r="BX51" s="1"/>
  <c r="BX53" s="1"/>
  <c r="H144" i="28"/>
  <c r="H145" s="1"/>
  <c r="G144"/>
  <c r="G145" s="1"/>
  <c r="BT41" i="43"/>
  <c r="BT51" s="1"/>
  <c r="BT53" s="1"/>
  <c r="C41"/>
  <c r="C51" s="1"/>
  <c r="C53" s="1"/>
  <c r="BH41"/>
  <c r="BH51" s="1"/>
  <c r="BH53" s="1"/>
  <c r="AE54"/>
  <c r="AE55" s="1"/>
  <c r="BP41"/>
  <c r="BP51" s="1"/>
  <c r="BP53" s="1"/>
  <c r="O144" i="28"/>
  <c r="O145" s="1"/>
  <c r="F259" l="1"/>
  <c r="G259" s="1"/>
  <c r="G258" s="1"/>
  <c r="G260" s="1"/>
  <c r="N259"/>
  <c r="O259" s="1"/>
  <c r="O258" s="1"/>
  <c r="O260" s="1"/>
  <c r="O261" s="1"/>
  <c r="O262" s="1"/>
  <c r="F8" i="47"/>
  <c r="H77" i="31"/>
  <c r="F77"/>
  <c r="F100" i="22"/>
  <c r="G100" s="1"/>
  <c r="F77"/>
  <c r="G77" s="1"/>
  <c r="F54"/>
  <c r="F10"/>
  <c r="G10" s="1"/>
  <c r="G9" s="1"/>
  <c r="G11" s="1"/>
  <c r="N10"/>
  <c r="O10" s="1"/>
  <c r="O9" s="1"/>
  <c r="O11" s="1"/>
  <c r="O12" s="1"/>
  <c r="O13" s="1"/>
  <c r="N54"/>
  <c r="O54" s="1"/>
  <c r="N100"/>
  <c r="O100" s="1"/>
  <c r="N77"/>
  <c r="O77" s="1"/>
  <c r="F292" i="24"/>
  <c r="G292" s="1"/>
  <c r="G290" s="1"/>
  <c r="G296" s="1"/>
  <c r="G297" s="1"/>
  <c r="G298" s="1"/>
  <c r="F270"/>
  <c r="G270" s="1"/>
  <c r="G268" s="1"/>
  <c r="G274" s="1"/>
  <c r="G275" s="1"/>
  <c r="G276" s="1"/>
  <c r="F248"/>
  <c r="G248" s="1"/>
  <c r="G246" s="1"/>
  <c r="G252" s="1"/>
  <c r="G253" s="1"/>
  <c r="G254" s="1"/>
  <c r="F225"/>
  <c r="G225" s="1"/>
  <c r="G223" s="1"/>
  <c r="G229" s="1"/>
  <c r="G230" s="1"/>
  <c r="G231" s="1"/>
  <c r="F202"/>
  <c r="G202" s="1"/>
  <c r="G200" s="1"/>
  <c r="G206" s="1"/>
  <c r="G207" s="1"/>
  <c r="G208" s="1"/>
  <c r="F179"/>
  <c r="G179" s="1"/>
  <c r="G177" s="1"/>
  <c r="G183" s="1"/>
  <c r="G184" s="1"/>
  <c r="G185" s="1"/>
  <c r="F156"/>
  <c r="G156" s="1"/>
  <c r="G154" s="1"/>
  <c r="G160" s="1"/>
  <c r="G161" s="1"/>
  <c r="G162" s="1"/>
  <c r="F132"/>
  <c r="G132" s="1"/>
  <c r="G130" s="1"/>
  <c r="G136" s="1"/>
  <c r="G137" s="1"/>
  <c r="G138" s="1"/>
  <c r="F109"/>
  <c r="G109" s="1"/>
  <c r="G107" s="1"/>
  <c r="G113" s="1"/>
  <c r="G114" s="1"/>
  <c r="G115" s="1"/>
  <c r="F86"/>
  <c r="G86" s="1"/>
  <c r="G84" s="1"/>
  <c r="G90" s="1"/>
  <c r="G91" s="1"/>
  <c r="G92" s="1"/>
  <c r="F63"/>
  <c r="G63" s="1"/>
  <c r="G61" s="1"/>
  <c r="G67" s="1"/>
  <c r="G68" s="1"/>
  <c r="G69" s="1"/>
  <c r="F38"/>
  <c r="G38" s="1"/>
  <c r="G36" s="1"/>
  <c r="G42" s="1"/>
  <c r="G43" s="1"/>
  <c r="G44" s="1"/>
  <c r="F11"/>
  <c r="G11" s="1"/>
  <c r="G9" s="1"/>
  <c r="G15" s="1"/>
  <c r="G16" s="1"/>
  <c r="G17" s="1"/>
  <c r="N30" i="18"/>
  <c r="O30" s="1"/>
  <c r="O28" s="1"/>
  <c r="O33" s="1"/>
  <c r="F699" i="23"/>
  <c r="G699" s="1"/>
  <c r="G697" s="1"/>
  <c r="G707" s="1"/>
  <c r="F620"/>
  <c r="G620" s="1"/>
  <c r="G618" s="1"/>
  <c r="G628" s="1"/>
  <c r="F592"/>
  <c r="G592" s="1"/>
  <c r="G590" s="1"/>
  <c r="G600" s="1"/>
  <c r="F714" i="21"/>
  <c r="G714" s="1"/>
  <c r="G712" s="1"/>
  <c r="G715" s="1"/>
  <c r="F693"/>
  <c r="G693" s="1"/>
  <c r="G690" s="1"/>
  <c r="G694" s="1"/>
  <c r="F804" i="20"/>
  <c r="G804" s="1"/>
  <c r="G802" s="1"/>
  <c r="G809" s="1"/>
  <c r="F778"/>
  <c r="G778" s="1"/>
  <c r="G776" s="1"/>
  <c r="G784" s="1"/>
  <c r="F750"/>
  <c r="G750" s="1"/>
  <c r="G748" s="1"/>
  <c r="G758" s="1"/>
  <c r="F573"/>
  <c r="G573" s="1"/>
  <c r="G571" s="1"/>
  <c r="G581" s="1"/>
  <c r="F546"/>
  <c r="G546" s="1"/>
  <c r="G544" s="1"/>
  <c r="G553" s="1"/>
  <c r="F467"/>
  <c r="G467" s="1"/>
  <c r="G465" s="1"/>
  <c r="G473" s="1"/>
  <c r="F441"/>
  <c r="G441" s="1"/>
  <c r="G439" s="1"/>
  <c r="G447" s="1"/>
  <c r="F415"/>
  <c r="G415" s="1"/>
  <c r="G413" s="1"/>
  <c r="G421" s="1"/>
  <c r="F389"/>
  <c r="G389" s="1"/>
  <c r="G387" s="1"/>
  <c r="G395" s="1"/>
  <c r="F71"/>
  <c r="G71" s="1"/>
  <c r="G69" s="1"/>
  <c r="G72" s="1"/>
  <c r="F49"/>
  <c r="G49" s="1"/>
  <c r="G48" s="1"/>
  <c r="G51" s="1"/>
  <c r="F283" i="18"/>
  <c r="G283" s="1"/>
  <c r="G282" s="1"/>
  <c r="G290" s="1"/>
  <c r="F258"/>
  <c r="G258" s="1"/>
  <c r="G257" s="1"/>
  <c r="G265" s="1"/>
  <c r="F140"/>
  <c r="G140" s="1"/>
  <c r="G139" s="1"/>
  <c r="G146" s="1"/>
  <c r="F52"/>
  <c r="G52" s="1"/>
  <c r="G50" s="1"/>
  <c r="G55" s="1"/>
  <c r="F30"/>
  <c r="G30" s="1"/>
  <c r="G28" s="1"/>
  <c r="G33" s="1"/>
  <c r="F253" i="17"/>
  <c r="G253" s="1"/>
  <c r="G250" s="1"/>
  <c r="G258" s="1"/>
  <c r="F226"/>
  <c r="G226" s="1"/>
  <c r="G224" s="1"/>
  <c r="G233" s="1"/>
  <c r="F202"/>
  <c r="G202" s="1"/>
  <c r="G201" s="1"/>
  <c r="G207" s="1"/>
  <c r="F178"/>
  <c r="G178" s="1"/>
  <c r="G175" s="1"/>
  <c r="G184" s="1"/>
  <c r="F152"/>
  <c r="G152" s="1"/>
  <c r="G149" s="1"/>
  <c r="G158" s="1"/>
  <c r="F131"/>
  <c r="G131" s="1"/>
  <c r="G129" s="1"/>
  <c r="G132" s="1"/>
  <c r="F1012" i="16"/>
  <c r="G1012" s="1"/>
  <c r="G1010" s="1"/>
  <c r="G1016" s="1"/>
  <c r="F256"/>
  <c r="G256" s="1"/>
  <c r="G253" s="1"/>
  <c r="G265" s="1"/>
  <c r="N49" i="20"/>
  <c r="O49" s="1"/>
  <c r="O48" s="1"/>
  <c r="O51" s="1"/>
  <c r="O52" s="1"/>
  <c r="O53" s="1"/>
  <c r="N467"/>
  <c r="O467" s="1"/>
  <c r="O465" s="1"/>
  <c r="O473" s="1"/>
  <c r="N804"/>
  <c r="O804" s="1"/>
  <c r="O802" s="1"/>
  <c r="O809" s="1"/>
  <c r="O810" s="1"/>
  <c r="O811" s="1"/>
  <c r="N152" i="17"/>
  <c r="O152" s="1"/>
  <c r="O149" s="1"/>
  <c r="O158" s="1"/>
  <c r="O159" s="1"/>
  <c r="O160" s="1"/>
  <c r="L256" i="16"/>
  <c r="M256" s="1"/>
  <c r="M253" s="1"/>
  <c r="M265" s="1"/>
  <c r="M266" s="1"/>
  <c r="M267" s="1"/>
  <c r="N441" i="20"/>
  <c r="O441" s="1"/>
  <c r="O439" s="1"/>
  <c r="O447" s="1"/>
  <c r="O448" s="1"/>
  <c r="O449" s="1"/>
  <c r="N140" i="18"/>
  <c r="O140" s="1"/>
  <c r="O139" s="1"/>
  <c r="O146" s="1"/>
  <c r="O147" s="1"/>
  <c r="O148" s="1"/>
  <c r="N226" i="17"/>
  <c r="O226" s="1"/>
  <c r="O224" s="1"/>
  <c r="O233" s="1"/>
  <c r="O234" s="1"/>
  <c r="O235" s="1"/>
  <c r="N546" i="20"/>
  <c r="O546" s="1"/>
  <c r="O544" s="1"/>
  <c r="O553" s="1"/>
  <c r="O554" s="1"/>
  <c r="O555" s="1"/>
  <c r="L1012" i="16"/>
  <c r="M1012" s="1"/>
  <c r="M1010" s="1"/>
  <c r="M1016" s="1"/>
  <c r="M1017" s="1"/>
  <c r="M1018" s="1"/>
  <c r="N258" i="18"/>
  <c r="O258" s="1"/>
  <c r="O257" s="1"/>
  <c r="O265" s="1"/>
  <c r="O266" s="1"/>
  <c r="O267" s="1"/>
  <c r="N415" i="20"/>
  <c r="O415" s="1"/>
  <c r="O413" s="1"/>
  <c r="O421" s="1"/>
  <c r="O422" s="1"/>
  <c r="O423" s="1"/>
  <c r="N620" i="23"/>
  <c r="O620" s="1"/>
  <c r="O618" s="1"/>
  <c r="O628" s="1"/>
  <c r="O629" s="1"/>
  <c r="O630" s="1"/>
  <c r="N699"/>
  <c r="O699" s="1"/>
  <c r="O697" s="1"/>
  <c r="O707" s="1"/>
  <c r="O708" s="1"/>
  <c r="O709" s="1"/>
  <c r="N200" i="28"/>
  <c r="O200" s="1"/>
  <c r="O199" s="1"/>
  <c r="O201" s="1"/>
  <c r="N71" i="20"/>
  <c r="O71" s="1"/>
  <c r="O69" s="1"/>
  <c r="O72" s="1"/>
  <c r="O73" s="1"/>
  <c r="O74" s="1"/>
  <c r="N131" i="17"/>
  <c r="O131" s="1"/>
  <c r="O129" s="1"/>
  <c r="O132" s="1"/>
  <c r="O133" s="1"/>
  <c r="O134" s="1"/>
  <c r="N202"/>
  <c r="O202" s="1"/>
  <c r="O201" s="1"/>
  <c r="O207" s="1"/>
  <c r="O208" s="1"/>
  <c r="O209" s="1"/>
  <c r="N778" i="20"/>
  <c r="O778" s="1"/>
  <c r="O776" s="1"/>
  <c r="O784" s="1"/>
  <c r="O785" s="1"/>
  <c r="O786" s="1"/>
  <c r="N592" i="23"/>
  <c r="O592" s="1"/>
  <c r="O590" s="1"/>
  <c r="O600" s="1"/>
  <c r="O601" s="1"/>
  <c r="O602" s="1"/>
  <c r="N52" i="18"/>
  <c r="O52" s="1"/>
  <c r="O50" s="1"/>
  <c r="O55" s="1"/>
  <c r="N573" i="20"/>
  <c r="O573" s="1"/>
  <c r="O571" s="1"/>
  <c r="O581" s="1"/>
  <c r="O582" s="1"/>
  <c r="O583" s="1"/>
  <c r="N283" i="18"/>
  <c r="O283" s="1"/>
  <c r="O282" s="1"/>
  <c r="O290" s="1"/>
  <c r="O291" s="1"/>
  <c r="O292" s="1"/>
  <c r="N750" i="20"/>
  <c r="O750" s="1"/>
  <c r="O748" s="1"/>
  <c r="O758" s="1"/>
  <c r="O759" s="1"/>
  <c r="O760" s="1"/>
  <c r="N389"/>
  <c r="O389" s="1"/>
  <c r="O387" s="1"/>
  <c r="O395" s="1"/>
  <c r="O396" s="1"/>
  <c r="O397" s="1"/>
  <c r="N178" i="17"/>
  <c r="O178" s="1"/>
  <c r="O175" s="1"/>
  <c r="O184" s="1"/>
  <c r="O185" s="1"/>
  <c r="O186" s="1"/>
  <c r="N648" i="23"/>
  <c r="O648" s="1"/>
  <c r="O646" s="1"/>
  <c r="O657" s="1"/>
  <c r="O658" s="1"/>
  <c r="O659" s="1"/>
  <c r="N693" i="21"/>
  <c r="O693" s="1"/>
  <c r="O690" s="1"/>
  <c r="O694" s="1"/>
  <c r="O695" s="1"/>
  <c r="O696" s="1"/>
  <c r="N253" i="17"/>
  <c r="O253" s="1"/>
  <c r="O250" s="1"/>
  <c r="O258" s="1"/>
  <c r="O259" s="1"/>
  <c r="O260" s="1"/>
  <c r="N714" i="21"/>
  <c r="O714" s="1"/>
  <c r="O712" s="1"/>
  <c r="O715" s="1"/>
  <c r="O716" s="1"/>
  <c r="O717" s="1"/>
  <c r="F15" i="31"/>
  <c r="F648" i="23"/>
  <c r="G648" s="1"/>
  <c r="G646" s="1"/>
  <c r="G657" s="1"/>
  <c r="H15" i="31"/>
  <c r="F200" i="28"/>
  <c r="G200" s="1"/>
  <c r="G199" s="1"/>
  <c r="G201" s="1"/>
  <c r="C35" i="31"/>
  <c r="F218" i="28"/>
  <c r="G218" s="1"/>
  <c r="G217" s="1"/>
  <c r="G222" s="1"/>
  <c r="H44" i="31"/>
  <c r="F44"/>
  <c r="F316" i="22"/>
  <c r="G316" s="1"/>
  <c r="G314" s="1"/>
  <c r="G320" s="1"/>
  <c r="F293"/>
  <c r="G293" s="1"/>
  <c r="G291" s="1"/>
  <c r="G297" s="1"/>
  <c r="F270"/>
  <c r="G270" s="1"/>
  <c r="G268" s="1"/>
  <c r="G274" s="1"/>
  <c r="F249"/>
  <c r="G249" s="1"/>
  <c r="G247" s="1"/>
  <c r="G251" s="1"/>
  <c r="F228"/>
  <c r="G228" s="1"/>
  <c r="G226" s="1"/>
  <c r="G230" s="1"/>
  <c r="F207"/>
  <c r="G207" s="1"/>
  <c r="G205" s="1"/>
  <c r="G209" s="1"/>
  <c r="F143"/>
  <c r="G143" s="1"/>
  <c r="G140" s="1"/>
  <c r="G145" s="1"/>
  <c r="F118"/>
  <c r="G118" s="1"/>
  <c r="G116" s="1"/>
  <c r="G123" s="1"/>
  <c r="F97"/>
  <c r="G97" s="1"/>
  <c r="G95" s="1"/>
  <c r="G101" s="1"/>
  <c r="F74"/>
  <c r="G74" s="1"/>
  <c r="G72" s="1"/>
  <c r="G78" s="1"/>
  <c r="F51"/>
  <c r="F29"/>
  <c r="G29" s="1"/>
  <c r="G28" s="1"/>
  <c r="G32" s="1"/>
  <c r="N249"/>
  <c r="O249" s="1"/>
  <c r="O247" s="1"/>
  <c r="O251" s="1"/>
  <c r="N74"/>
  <c r="O74" s="1"/>
  <c r="O72" s="1"/>
  <c r="O78" s="1"/>
  <c r="O79" s="1"/>
  <c r="O80" s="1"/>
  <c r="N228"/>
  <c r="O228" s="1"/>
  <c r="O226" s="1"/>
  <c r="O230" s="1"/>
  <c r="O231" s="1"/>
  <c r="O232" s="1"/>
  <c r="N316"/>
  <c r="O316" s="1"/>
  <c r="O314" s="1"/>
  <c r="O320" s="1"/>
  <c r="O321" s="1"/>
  <c r="O322" s="1"/>
  <c r="N293"/>
  <c r="O293" s="1"/>
  <c r="O291" s="1"/>
  <c r="O297" s="1"/>
  <c r="O298" s="1"/>
  <c r="O299" s="1"/>
  <c r="N51"/>
  <c r="O51" s="1"/>
  <c r="O49" s="1"/>
  <c r="O55" s="1"/>
  <c r="O56" s="1"/>
  <c r="O57" s="1"/>
  <c r="N207"/>
  <c r="O207" s="1"/>
  <c r="O205" s="1"/>
  <c r="O209" s="1"/>
  <c r="O210" s="1"/>
  <c r="O211" s="1"/>
  <c r="N118"/>
  <c r="O118" s="1"/>
  <c r="O116" s="1"/>
  <c r="O123" s="1"/>
  <c r="N270"/>
  <c r="O270" s="1"/>
  <c r="O268" s="1"/>
  <c r="O274" s="1"/>
  <c r="O275" s="1"/>
  <c r="O276" s="1"/>
  <c r="N29"/>
  <c r="O29" s="1"/>
  <c r="O28" s="1"/>
  <c r="O32" s="1"/>
  <c r="O33" s="1"/>
  <c r="O34" s="1"/>
  <c r="N97"/>
  <c r="O97" s="1"/>
  <c r="O95" s="1"/>
  <c r="O101" s="1"/>
  <c r="O102" s="1"/>
  <c r="O103" s="1"/>
  <c r="N143"/>
  <c r="O143" s="1"/>
  <c r="O140" s="1"/>
  <c r="O145" s="1"/>
  <c r="O146" s="1"/>
  <c r="O147" s="1"/>
  <c r="BF54" i="43"/>
  <c r="BF55" s="1"/>
  <c r="U54"/>
  <c r="U55" s="1"/>
  <c r="J54"/>
  <c r="J55" s="1"/>
  <c r="AV51"/>
  <c r="AV53" s="1"/>
  <c r="BQ54"/>
  <c r="BQ55" s="1"/>
  <c r="T54"/>
  <c r="T55" s="1"/>
  <c r="BC54"/>
  <c r="BC55" s="1"/>
  <c r="AB54"/>
  <c r="AB55" s="1"/>
  <c r="BY54"/>
  <c r="BY55" s="1"/>
  <c r="BN54"/>
  <c r="BN55" s="1"/>
  <c r="H54"/>
  <c r="H55" s="1"/>
  <c r="BW54"/>
  <c r="BW55" s="1"/>
  <c r="G54"/>
  <c r="G55" s="1"/>
  <c r="BI54"/>
  <c r="BI55" s="1"/>
  <c r="BR54"/>
  <c r="BR55" s="1"/>
  <c r="R54"/>
  <c r="R55" s="1"/>
  <c r="E54"/>
  <c r="E55" s="1"/>
  <c r="BJ54"/>
  <c r="BJ55" s="1"/>
  <c r="BK54"/>
  <c r="BK55" s="1"/>
  <c r="K54"/>
  <c r="K55" s="1"/>
  <c r="BD54"/>
  <c r="BD55" s="1"/>
  <c r="M54"/>
  <c r="M55" s="1"/>
  <c r="BP54"/>
  <c r="BP55" s="1"/>
  <c r="BH54"/>
  <c r="BH55" s="1"/>
  <c r="BX54"/>
  <c r="BX55" s="1"/>
  <c r="BT54"/>
  <c r="BT55" s="1"/>
  <c r="C54"/>
  <c r="C55" s="1"/>
  <c r="G51" i="22" l="1"/>
  <c r="J60"/>
  <c r="G54"/>
  <c r="J58"/>
  <c r="J62" s="1"/>
  <c r="H261" i="28"/>
  <c r="H262" s="1"/>
  <c r="G261"/>
  <c r="G262" s="1"/>
  <c r="AV54" i="43"/>
  <c r="AV55" s="1"/>
  <c r="O124" i="22"/>
  <c r="O125" s="1"/>
  <c r="O252"/>
  <c r="O253" s="1"/>
  <c r="G33"/>
  <c r="G34" s="1"/>
  <c r="H33"/>
  <c r="H34" s="1"/>
  <c r="G79"/>
  <c r="G80" s="1"/>
  <c r="H79"/>
  <c r="H80" s="1"/>
  <c r="G102"/>
  <c r="G103" s="1"/>
  <c r="H102"/>
  <c r="H103" s="1"/>
  <c r="G124"/>
  <c r="G125" s="1"/>
  <c r="H124"/>
  <c r="H125" s="1"/>
  <c r="H146"/>
  <c r="H147" s="1"/>
  <c r="G146"/>
  <c r="G147" s="1"/>
  <c r="H210"/>
  <c r="H211" s="1"/>
  <c r="G210"/>
  <c r="G211" s="1"/>
  <c r="H231"/>
  <c r="H232" s="1"/>
  <c r="G231"/>
  <c r="G232" s="1"/>
  <c r="H252"/>
  <c r="H253" s="1"/>
  <c r="G252"/>
  <c r="G253" s="1"/>
  <c r="G275"/>
  <c r="G276" s="1"/>
  <c r="H275"/>
  <c r="H276" s="1"/>
  <c r="G298"/>
  <c r="G299" s="1"/>
  <c r="H298"/>
  <c r="H299" s="1"/>
  <c r="H321"/>
  <c r="H322" s="1"/>
  <c r="G321"/>
  <c r="G322" s="1"/>
  <c r="G223" i="28"/>
  <c r="G224" s="1"/>
  <c r="H223"/>
  <c r="H224" s="1"/>
  <c r="F276"/>
  <c r="G276" s="1"/>
  <c r="G275" s="1"/>
  <c r="G277" s="1"/>
  <c r="N276"/>
  <c r="O276" s="1"/>
  <c r="O275" s="1"/>
  <c r="O277" s="1"/>
  <c r="O278" s="1"/>
  <c r="O279" s="1"/>
  <c r="H35" i="31"/>
  <c r="F35"/>
  <c r="H202" i="28"/>
  <c r="H203" s="1"/>
  <c r="G202"/>
  <c r="G203" s="1"/>
  <c r="H658" i="23"/>
  <c r="H659" s="1"/>
  <c r="G658"/>
  <c r="G659" s="1"/>
  <c r="O56" i="18"/>
  <c r="O57" s="1"/>
  <c r="O202" i="28"/>
  <c r="O203"/>
  <c r="O474" i="20"/>
  <c r="O475" s="1"/>
  <c r="G266" i="16"/>
  <c r="G267" s="1"/>
  <c r="G1017"/>
  <c r="G1018" s="1"/>
  <c r="G133" i="17"/>
  <c r="G134" s="1"/>
  <c r="H133"/>
  <c r="H134" s="1"/>
  <c r="G159"/>
  <c r="G160" s="1"/>
  <c r="H159"/>
  <c r="H160" s="1"/>
  <c r="H185"/>
  <c r="H186" s="1"/>
  <c r="G185"/>
  <c r="G186" s="1"/>
  <c r="H208"/>
  <c r="H209" s="1"/>
  <c r="G208"/>
  <c r="G209" s="1"/>
  <c r="H234"/>
  <c r="H235" s="1"/>
  <c r="G234"/>
  <c r="G235" s="1"/>
  <c r="G259"/>
  <c r="G260" s="1"/>
  <c r="H259"/>
  <c r="H260" s="1"/>
  <c r="G34" i="18"/>
  <c r="G35" s="1"/>
  <c r="H34"/>
  <c r="H35" s="1"/>
  <c r="G56"/>
  <c r="G57" s="1"/>
  <c r="H56"/>
  <c r="H57" s="1"/>
  <c r="H147"/>
  <c r="H148" s="1"/>
  <c r="G147"/>
  <c r="G148" s="1"/>
  <c r="G266"/>
  <c r="G267" s="1"/>
  <c r="H266"/>
  <c r="H267" s="1"/>
  <c r="H291"/>
  <c r="H292" s="1"/>
  <c r="G291"/>
  <c r="G292" s="1"/>
  <c r="F22" i="47"/>
  <c r="G52" i="20"/>
  <c r="G53" s="1"/>
  <c r="H52"/>
  <c r="H53" s="1"/>
  <c r="H73"/>
  <c r="H74" s="1"/>
  <c r="G73"/>
  <c r="G74" s="1"/>
  <c r="H396"/>
  <c r="H397" s="1"/>
  <c r="G396"/>
  <c r="G397" s="1"/>
  <c r="G422"/>
  <c r="G423" s="1"/>
  <c r="H422"/>
  <c r="H423" s="1"/>
  <c r="H448"/>
  <c r="H449" s="1"/>
  <c r="G448"/>
  <c r="G449" s="1"/>
  <c r="H474"/>
  <c r="H475" s="1"/>
  <c r="G474"/>
  <c r="G475" s="1"/>
  <c r="H554"/>
  <c r="H555" s="1"/>
  <c r="G554"/>
  <c r="G555" s="1"/>
  <c r="H582"/>
  <c r="H583" s="1"/>
  <c r="G582"/>
  <c r="G583" s="1"/>
  <c r="G759"/>
  <c r="G760" s="1"/>
  <c r="H759"/>
  <c r="H760" s="1"/>
  <c r="H785"/>
  <c r="H786" s="1"/>
  <c r="G785"/>
  <c r="G786" s="1"/>
  <c r="G810"/>
  <c r="G811" s="1"/>
  <c r="H810"/>
  <c r="H811" s="1"/>
  <c r="G695" i="21"/>
  <c r="G696" s="1"/>
  <c r="H695"/>
  <c r="H696" s="1"/>
  <c r="G716"/>
  <c r="G717" s="1"/>
  <c r="H716"/>
  <c r="H717" s="1"/>
  <c r="G601" i="23"/>
  <c r="G602" s="1"/>
  <c r="H601"/>
  <c r="H602" s="1"/>
  <c r="G629"/>
  <c r="G630" s="1"/>
  <c r="H629"/>
  <c r="H630" s="1"/>
  <c r="G708"/>
  <c r="G709" s="1"/>
  <c r="H708"/>
  <c r="H709" s="1"/>
  <c r="P34" i="18"/>
  <c r="P35" s="1"/>
  <c r="O34"/>
  <c r="O35" s="1"/>
  <c r="G12" i="22"/>
  <c r="G13" s="1"/>
  <c r="H12"/>
  <c r="H13" s="1"/>
  <c r="G49" l="1"/>
  <c r="G55" s="1"/>
  <c r="G12" i="48"/>
  <c r="F20" i="47"/>
  <c r="F19" s="1"/>
  <c r="F17"/>
  <c r="G10" i="48" s="1"/>
  <c r="F15" i="47"/>
  <c r="H278" i="28"/>
  <c r="H279" s="1"/>
  <c r="G278"/>
  <c r="G279" s="1"/>
  <c r="H55" i="22" l="1"/>
  <c r="G56"/>
  <c r="G57" s="1"/>
  <c r="F27" i="47"/>
  <c r="G9" i="48"/>
  <c r="F28" i="47" l="1"/>
  <c r="F29" s="1"/>
  <c r="G11" i="48"/>
  <c r="G14" s="1"/>
  <c r="G15" l="1"/>
  <c r="G16" s="1"/>
</calcChain>
</file>

<file path=xl/comments1.xml><?xml version="1.0" encoding="utf-8"?>
<comments xmlns="http://schemas.openxmlformats.org/spreadsheetml/2006/main">
  <authors>
    <author>Temp</author>
  </authors>
  <commentList>
    <comment ref="H2" authorId="0">
      <text>
        <r>
          <rPr>
            <b/>
            <u/>
            <sz val="8"/>
            <color indexed="10"/>
            <rFont val="Tahoma"/>
            <family val="2"/>
            <charset val="238"/>
          </rPr>
          <t>NAPOMENA:</t>
        </r>
        <r>
          <rPr>
            <sz val="8"/>
            <color indexed="10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Podaci u ćelijama obojenim zelenom bojom povlaće se iz opisa radova!</t>
        </r>
      </text>
    </comment>
    <comment ref="K2" authorId="0">
      <text>
        <r>
          <rPr>
            <b/>
            <u/>
            <sz val="8"/>
            <color indexed="10"/>
            <rFont val="Tahoma"/>
            <family val="2"/>
            <charset val="238"/>
          </rPr>
          <t>NAPOMENA:</t>
        </r>
        <r>
          <rPr>
            <sz val="8"/>
            <color indexed="10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Podaci u ćelijama za radnu snagu, vozila, strojeve i opremu i materijale povlaće se iz pripadajućih datoteka!</t>
        </r>
      </text>
    </comment>
    <comment ref="H6" authorId="0">
      <text>
        <r>
          <rPr>
            <b/>
            <u/>
            <sz val="8"/>
            <color indexed="10"/>
            <rFont val="Tahoma"/>
            <family val="2"/>
            <charset val="238"/>
          </rPr>
          <t>NAPOMENA:</t>
        </r>
        <r>
          <rPr>
            <sz val="8"/>
            <color indexed="10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Podaci u ćelijama obojenim žutom bojom unose se ručno, za svaku stavku posebno!</t>
        </r>
      </text>
    </comment>
    <comment ref="K6" authorId="0">
      <text>
        <r>
          <rPr>
            <b/>
            <u/>
            <sz val="8"/>
            <color indexed="10"/>
            <rFont val="Tahoma"/>
            <family val="2"/>
            <charset val="238"/>
          </rPr>
          <t>NAPOMENA:</t>
        </r>
        <r>
          <rPr>
            <b/>
            <sz val="8"/>
            <color indexed="10"/>
            <rFont val="Tahoma"/>
            <family val="2"/>
            <charset val="238"/>
          </rPr>
          <t xml:space="preserve">
Podaci u ćelijama obojenim ljubičastom bojom mogu se mijenjati samo u ovom obrascu!</t>
        </r>
      </text>
    </comment>
    <comment ref="H11" authorId="0">
      <text>
        <r>
          <rPr>
            <b/>
            <u/>
            <sz val="8"/>
            <color indexed="10"/>
            <rFont val="Tahoma"/>
            <family val="2"/>
            <charset val="238"/>
          </rPr>
          <t>NAPOMENA:</t>
        </r>
        <r>
          <rPr>
            <b/>
            <sz val="8"/>
            <color indexed="10"/>
            <rFont val="Tahoma"/>
            <family val="2"/>
            <charset val="238"/>
          </rPr>
          <t xml:space="preserve">
Ne treba printati!</t>
        </r>
      </text>
    </comment>
  </commentList>
</comments>
</file>

<file path=xl/comments10.xml><?xml version="1.0" encoding="utf-8"?>
<comments xmlns="http://schemas.openxmlformats.org/spreadsheetml/2006/main">
  <authors>
    <author>Sanio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38"/>
          </rPr>
          <t>U OVU TABLICU SE UNOSE 
CIJENE MATERIJALA I PRIJEVOZA
A IZ NJE POVLAČI VRIJEDNOSTI 
U TABLICU "Cjenik M"</t>
        </r>
      </text>
    </comment>
  </commentList>
</comments>
</file>

<file path=xl/comments2.xml><?xml version="1.0" encoding="utf-8"?>
<comments xmlns="http://schemas.openxmlformats.org/spreadsheetml/2006/main">
  <authors>
    <author>Swietelsky</author>
  </authors>
  <commentList>
    <comment ref="E4" authorId="0">
      <text>
        <r>
          <rPr>
            <b/>
            <sz val="8"/>
            <color indexed="10"/>
            <rFont val="Tahoma"/>
            <family val="2"/>
            <charset val="238"/>
          </rPr>
          <t>NAPOMENA:
Podaci u ćelijama obojenim žutom bojom unose se ručno!</t>
        </r>
      </text>
    </comment>
  </commentList>
</comments>
</file>

<file path=xl/comments3.xml><?xml version="1.0" encoding="utf-8"?>
<comments xmlns="http://schemas.openxmlformats.org/spreadsheetml/2006/main">
  <authors>
    <author>Sanio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38"/>
          </rPr>
          <t>U OVU TABLICU POVLAČI IZNOSE IZ STUPCA "G" U LISTU "Cjenik M (pomoćna)"
A IZ NJE POVLAČI CIJENE U ANALIZE CIJENA</t>
        </r>
      </text>
    </comment>
  </commentList>
</comments>
</file>

<file path=xl/comments4.xml><?xml version="1.0" encoding="utf-8"?>
<comments xmlns="http://schemas.openxmlformats.org/spreadsheetml/2006/main">
  <authors>
    <author>Swietelsky</author>
    <author>Temp</author>
  </authors>
  <commentList>
    <comment ref="D7" authorId="0">
      <text>
        <r>
          <rPr>
            <b/>
            <u/>
            <sz val="8"/>
            <color indexed="10"/>
            <rFont val="Tahoma"/>
            <family val="2"/>
            <charset val="238"/>
          </rPr>
          <t xml:space="preserve">NAPOMENA:
</t>
        </r>
        <r>
          <rPr>
            <b/>
            <sz val="8"/>
            <color indexed="10"/>
            <rFont val="Tahoma"/>
            <family val="2"/>
            <charset val="238"/>
          </rPr>
          <t>Podaci u ćelijama obojenim žutom bojom unose se ručno!</t>
        </r>
      </text>
    </comment>
    <comment ref="B10" authorId="1">
      <text>
        <r>
          <rPr>
            <b/>
            <u/>
            <sz val="8"/>
            <color indexed="10"/>
            <rFont val="Tahoma"/>
            <family val="2"/>
            <charset val="238"/>
          </rPr>
          <t xml:space="preserve">NAPOMENA: </t>
        </r>
        <r>
          <rPr>
            <sz val="8"/>
            <color indexed="10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 xml:space="preserve">Prijevoz se vrši sa vozilom do 2 tone i uračunat je u faktoru! </t>
        </r>
      </text>
    </comment>
  </commentList>
</comments>
</file>

<file path=xl/comments5.xml><?xml version="1.0" encoding="utf-8"?>
<comments xmlns="http://schemas.openxmlformats.org/spreadsheetml/2006/main">
  <authors>
    <author>ankicamilicevic</author>
    <author>Swietelsky</author>
  </authors>
  <commentList>
    <comment ref="E9" authorId="0">
      <text>
        <r>
          <rPr>
            <b/>
            <sz val="8"/>
            <color indexed="10"/>
            <rFont val="Tahoma"/>
            <family val="2"/>
            <charset val="238"/>
          </rPr>
          <t>Pretpostavlja se mogućnost promjene PDV-a za rad, materijal i ev. rad strojeva i vozila, pa se u svakoj tablici unosi kao zaseban podatak jer nije povezan!</t>
        </r>
      </text>
    </comment>
    <comment ref="E10" authorId="1">
      <text>
        <r>
          <rPr>
            <b/>
            <u/>
            <sz val="8"/>
            <color indexed="10"/>
            <rFont val="Tahoma"/>
            <family val="2"/>
            <charset val="238"/>
          </rPr>
          <t>NAPOMENA:</t>
        </r>
        <r>
          <rPr>
            <b/>
            <sz val="8"/>
            <color indexed="10"/>
            <rFont val="Tahoma"/>
            <family val="2"/>
            <charset val="238"/>
          </rPr>
          <t xml:space="preserve">
Podaci u ćelijama obojenim žutom bojom unose se ručno!</t>
        </r>
      </text>
    </comment>
  </commentList>
</comments>
</file>

<file path=xl/comments6.xml><?xml version="1.0" encoding="utf-8"?>
<comments xmlns="http://schemas.openxmlformats.org/spreadsheetml/2006/main">
  <authors>
    <author>Swietelsky</author>
  </authors>
  <commentList>
    <comment ref="A2" authorId="0">
      <text>
        <r>
          <rPr>
            <b/>
            <u/>
            <sz val="8"/>
            <color indexed="10"/>
            <rFont val="Tahoma"/>
            <family val="2"/>
            <charset val="238"/>
          </rPr>
          <t>NAPOMENA:</t>
        </r>
        <r>
          <rPr>
            <b/>
            <sz val="8"/>
            <color indexed="10"/>
            <rFont val="Tahoma"/>
            <family val="2"/>
            <charset val="238"/>
          </rPr>
          <t xml:space="preserve">
Podaci u ćelijama obojenim žutom bojom unose se ručno!</t>
        </r>
      </text>
    </comment>
  </commentList>
</comments>
</file>

<file path=xl/comments7.xml><?xml version="1.0" encoding="utf-8"?>
<comments xmlns="http://schemas.openxmlformats.org/spreadsheetml/2006/main">
  <authors>
    <author>Swietelsky</author>
  </authors>
  <commentList>
    <comment ref="A4" authorId="0">
      <text>
        <r>
          <rPr>
            <b/>
            <u/>
            <sz val="8"/>
            <color indexed="10"/>
            <rFont val="Tahoma"/>
            <family val="2"/>
            <charset val="238"/>
          </rPr>
          <t>NAPOMENA:</t>
        </r>
        <r>
          <rPr>
            <b/>
            <sz val="8"/>
            <color indexed="10"/>
            <rFont val="Tahoma"/>
            <family val="2"/>
            <charset val="238"/>
          </rPr>
          <t xml:space="preserve">
Podaci u ćelijama obojenim žutom bojom unose se ručno!</t>
        </r>
      </text>
    </comment>
  </commentList>
</comments>
</file>

<file path=xl/comments8.xml><?xml version="1.0" encoding="utf-8"?>
<comments xmlns="http://schemas.openxmlformats.org/spreadsheetml/2006/main">
  <authors>
    <author>Sanio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U OVU TABLICU POVLAČI IZNOSE IZ RETKA "53" U LISTU "Cijena sata rada"
A IZ NJE POVLAČI CIJENE U LIST "Cjenik VSO"</t>
        </r>
      </text>
    </comment>
  </commentList>
</comments>
</file>

<file path=xl/comments9.xml><?xml version="1.0" encoding="utf-8"?>
<comments xmlns="http://schemas.openxmlformats.org/spreadsheetml/2006/main">
  <authors>
    <author>Sanio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U OVU TABLICU POVLAČI IZNOSE IZ STUPCA "C" U LISTU "Cjenik VSO (pomoćna)"
A IZ NJE POVLAČI CIJENE U ANALIZE CIJENA</t>
        </r>
      </text>
    </comment>
  </commentList>
</comments>
</file>

<file path=xl/sharedStrings.xml><?xml version="1.0" encoding="utf-8"?>
<sst xmlns="http://schemas.openxmlformats.org/spreadsheetml/2006/main" count="8198" uniqueCount="1223">
  <si>
    <t>ŽUPANIJA: LIČKO - SENJSKA</t>
  </si>
  <si>
    <t>OPĆINA PERUŠIĆ</t>
  </si>
  <si>
    <t>Pozicija</t>
  </si>
  <si>
    <t>Opis rada</t>
  </si>
  <si>
    <t>Jedinica
mjere</t>
  </si>
  <si>
    <t>Količina</t>
  </si>
  <si>
    <t>Jedinična cijena</t>
  </si>
  <si>
    <t>Vrijednost radova</t>
  </si>
  <si>
    <t>1.</t>
  </si>
  <si>
    <t>STAJALIŠTA JAVNOG PROMETA</t>
  </si>
  <si>
    <t>1.1.</t>
  </si>
  <si>
    <t>Manji popravci na stajalištima javnog prometa</t>
  </si>
  <si>
    <t>1.1.1.</t>
  </si>
  <si>
    <t>Manji popravci stajališta odovarajućim materijalom: obuhvaća dobavu i ugradnu odgovarajućeg materijala.
Obračun za kompletnu izvršenu uslugu.</t>
  </si>
  <si>
    <t>komplet</t>
  </si>
  <si>
    <t>1.1.2.</t>
  </si>
  <si>
    <t xml:space="preserve">Čišćenje stajališta: obuhvaća pranje stajališta, uklanjanje plakata i sl.              Obračun za kompletno izvršenu uslugu.
</t>
  </si>
  <si>
    <t>2.</t>
  </si>
  <si>
    <t>ODRŽAVANJE JAVNE FONTANE</t>
  </si>
  <si>
    <t>2.1.</t>
  </si>
  <si>
    <t>Održavanje funkcionalnosti javne fontane</t>
  </si>
  <si>
    <t>2.1.1.</t>
  </si>
  <si>
    <t>Pranje fontane: obuhvaća sav rad i materijal.                                                Obračun za kompletno izvršenu uslugu</t>
  </si>
  <si>
    <t>3.</t>
  </si>
  <si>
    <t>JAVNI SAT</t>
  </si>
  <si>
    <t>3.1.</t>
  </si>
  <si>
    <t>Održavanje javog sata: obuhvaća dobavu, sav rad i materijal.        Obračun za kompletno izvršenu uslugu.</t>
  </si>
  <si>
    <t>4.</t>
  </si>
  <si>
    <t>PLOČE SA PLANOM NASELJA I OZNAKE KULTURNIH DOBARA</t>
  </si>
  <si>
    <t>4.1.</t>
  </si>
  <si>
    <t>4.2.</t>
  </si>
  <si>
    <t>5.</t>
  </si>
  <si>
    <t>ODRŽAVANJE SPOMENIKA, PANOA I KLUPA</t>
  </si>
  <si>
    <t>5.1.</t>
  </si>
  <si>
    <t xml:space="preserve">Održavanje spomenika </t>
  </si>
  <si>
    <t>5.1.1.</t>
  </si>
  <si>
    <t>Održavanje spomenika: 
obuhvaća ručno ručno čišćenje i pranje spomenika, košnju okoliša 
Obračun za kompletno izvršenu uslugu.</t>
  </si>
  <si>
    <t>5.1.2.</t>
  </si>
  <si>
    <t>5.1.3.</t>
  </si>
  <si>
    <t>6.</t>
  </si>
  <si>
    <t>ODRŽAVANJE OZNAKA ULICA, PARKOVA I TRGOVA</t>
  </si>
  <si>
    <t>6.1.</t>
  </si>
  <si>
    <t>Održavanje oznaka ulica</t>
  </si>
  <si>
    <t>6.1.1.</t>
  </si>
  <si>
    <t>6.2.</t>
  </si>
  <si>
    <t>6.2.1.</t>
  </si>
  <si>
    <t>6.3.</t>
  </si>
  <si>
    <t>6.3.1.</t>
  </si>
  <si>
    <t>UKUPNO:</t>
  </si>
  <si>
    <t>PDV:</t>
  </si>
  <si>
    <t>SVEUKUPNO:</t>
  </si>
  <si>
    <t>h</t>
  </si>
  <si>
    <t>Ophodarsko vozilo</t>
  </si>
  <si>
    <t>Radnik grupa II</t>
  </si>
  <si>
    <t>Teretni automobil nosivosti 3,5 - 12 t</t>
  </si>
  <si>
    <t>Rovokopač - utovarivač</t>
  </si>
  <si>
    <t>ODRŽAVANJE KOLNIKA</t>
  </si>
  <si>
    <t>Radnik grupa I</t>
  </si>
  <si>
    <t>Utovarivač</t>
  </si>
  <si>
    <t>Specijalni stroj (Unimog)</t>
  </si>
  <si>
    <t>Specijalni stroj (kao Unimog); (min. 81 kW)</t>
  </si>
  <si>
    <t>Četka za kolnik za specijalni stroj (kao Unimog); (min. 2 m)</t>
  </si>
  <si>
    <t>Teretni automobil cisterna</t>
  </si>
  <si>
    <t>Teretni automobil cisterna (min. 112 kW; 6 m3)</t>
  </si>
  <si>
    <t>2.2.</t>
  </si>
  <si>
    <t>Popravci asfaltnog kolnika</t>
  </si>
  <si>
    <t>2.2.1.</t>
  </si>
  <si>
    <t>Manji popravci</t>
  </si>
  <si>
    <t>Popravak udarnih jama: 
obuhvaća popravak udarne jame obradom rubova u pravokutne oblike, uklanjanje asfaltnog materijala, utovar i odvoz uklonjenog materijala na deponiju prosječne udaljenosti 15 km, čišćenje, premazivanje rubova i špricanje jama bitumenskom emulzijom, dobavu i ručnu ugradnju asfaltne mješavine standardne kvalitete (prosječna količina 0,15 t/m2) s nabijanjem. Odabir vrste asfalte mješavine mora odgovarati postojećem završnom sloju asfaltnog kolnika i ne utječe na promjenu jediničnu cijenu.
Obračun po toni ugrađene asfaltne mješavine.</t>
  </si>
  <si>
    <t>Teretni automobil nosivosti 3,5 t</t>
  </si>
  <si>
    <t>Rezač asfalta (min. 6 kW)</t>
  </si>
  <si>
    <t>Vibroploča (min. 2,5 kW)</t>
  </si>
  <si>
    <t>Ručni popravak lokalnog oštećenja kolnika površine do 50 m2 u jednom kilometru:
obuhvaća popravak lokalnih oštećenja asfaltnog kolnika površine do 50 m2 s ručnom ugradnjom asfaltne mješavine standardne kvalitete u sloj prosječne debljine 4 cm. Rad obuhvaća frezanje asfalta, utovar i odvoz uklonjenog materijala na lokaciju koju određuje Naručitelj prosječne udaljenosti 15 km, čišćenje i špricanje površine bitumenskom emulzijom, dobavu i ručnu ugradnju asfaltne mješavine s valjanjem valjkom minimalne mase 6 t. Odabir vrste asfalte mješavine mora odgovarati postojećem završnom sloju asfaltnog kolnika i ne utječe na promjenu jediničnu cijenu.
Obračun po toni ugrađene asfaltne mješavine.</t>
  </si>
  <si>
    <t>Teretni automobil nosivosti 3,5 - 12 t (min. 155 kW)</t>
  </si>
  <si>
    <t>Teretni automobil nosivosti &gt; 12 t (min. 309 kW)</t>
  </si>
  <si>
    <t>Freza za asfalt (min. 1000 mm; 104 kW)</t>
  </si>
  <si>
    <t>Mini utovarivač (min. 53 kW)</t>
  </si>
  <si>
    <t>Četka za mini utovarivač (min. 1,0 m)</t>
  </si>
  <si>
    <t>Ručna prijenosna prskalica za bitumensku emulziju</t>
  </si>
  <si>
    <t>Valjak 2-6 t (min. 42,2 kW)</t>
  </si>
  <si>
    <t>Prikolica za prijevoz stroja nosivosti 7 t</t>
  </si>
  <si>
    <t>Prikolica za prijevoz stroja nosivosti 24 t</t>
  </si>
  <si>
    <t>Ručni popravak lokalnog oštećenja kolnika površine do 50 m2 u jednom kilometru - korištenjem termokontejnera:
obuhvaća popravak lokalnih oštećenja asfaltnog kolnika površine do 50 m2 s ručnom ugradnjom asfaltne mješavine standardne kvalitete u sloj prosječne debljine 4 cm. Rad obuhvaća zasijecanje dijelova asfaltnog kolnika u pravilne pravokutne oblike, uklanjanje ili frezanje asfalta, utovar i odvoz uklonjenog materijala na lokaciju koju određuje Naručitelj prosječne udaljenosti 15 km, čišćenje i špricanje površine bitumenskom emulzijom, dobavu i ručnu ugradnju asfaltne mješavine s valjanjem valjkom minimalne mase 6 t. Odabir vrste asfalte mješavine mora odgovarati postojećem završnom sloju asfaltnog kolnika i ne utječe na promjenu jediničnu cijenu.
Obračun po toni ugrađene asfaltne mješavine.</t>
  </si>
  <si>
    <t>Termokontejner za asfalt (6 t)</t>
  </si>
  <si>
    <t>Strojni popravak lokalnog oštećenja kolnika površine do 50 m2 u jednom kilometru:
obuhvaća popravak lokalnih oštećenja asfaltnog kolnika površine do 50 m2 sa strojnom ugradnjom asfaltne mješavine standardne kvalitete u sloj prosječne debljine 4 cm. Rad obuhvaća frezanje asfalta, utovar i odvoz uklonjenog materijala na lokaciju koju određuje Naručitelj prosječne udaljenosti 15 km, čišćenje i špricanje površine bitumenskom emulzijom, dobavu i strojnu ugradnju asfaltne mješavine s valjanjem valjkom minimalne mase 6 t. Odabir vrste asfalte mješavine mora odgovarati postojećem završnom sloju asfaltnog kolnika i ne utječe na promjenu jediničnu cijenu.
Obračun po toni ugrađene asfaltne mješavine.</t>
  </si>
  <si>
    <t>Mali finišer širine polaganja asfalta 0,5-3,2 m (min. 14,7 kW)</t>
  </si>
  <si>
    <t>Strojni popravak lokalnog oštećenja kolnika površine do 400 m2 u jednom kilometru:
obuhvaća popravak oštećenja asfaltnog kolnika površine do 400 m2 sa strojnom ugradnjom asfaltne mješavine standardne kvalitete u sloj prosječne debljine 4 cm. Rad obuhvaća frezanje asfalta, utovar i odvoz uklonjenog materijala na lokaciju koju određuje Naručitelj prosječne udaljenosti 15 km, čišćenje i špricanje površine bitumenskom emulzijom, dobavu i strojnu ugradnju asfaltne mješavine standardne kvalitete s valjanjem valjkom minimalne mase 6 t. Odabir vrste asfalte mješavine mora odgovarati postojećem završnom sloju asfaltnog kolnika i ne utječe na promjenu jediničnu cijenu.
Obračun po toni ugrađene asfaltne mješavine.</t>
  </si>
  <si>
    <t>Cisterna za bitumensku emulziju s rampom za prskanje (1000 l)</t>
  </si>
  <si>
    <t>Valjak &gt; 6 t (min. 9,4 t; 88 kW)</t>
  </si>
  <si>
    <t>Obrada rubova asfalta nanošenjem odgovarajućih bitumenskih masa za spojnice:
Obuhvaća obradu rubova asfalta nakon frezanja nanošenjem odgovarajućih bitumenskih masa za spojnice prije ugradbe asfaltne mješavine.
Obračun po m obrađenog ruba asfalta.</t>
  </si>
  <si>
    <t>Popravak zaglađenog kolnika: 
obuhvaća površinsko frezanje zaglađenih površina i neravnina asfaltnog kolnika u debljini do 1 cm, utovar i odvoz uklonjenog materijala na lokaciju koju određuje Naručitelj prosječne udaljenosti 15 km te čišćenje kolnika od ostataka isfrezanog asfalta.
Obračun po m2 isfrezane površine kolnika.</t>
  </si>
  <si>
    <t>Popravak uzdužnih i poprečnih pukotina: 
obuhvaća frezanje pukotine u asfaltu radi proširenja na širinu do 15 mm, čišćenje pukotina ispuhivanjem ili pranjem, zapunjavanje odgovarajućom bitumenskom masom za pukotine te završno čišćenje kolnika.
Obračun po m zapunjene pukotine.</t>
  </si>
  <si>
    <t>Freza za fuge SSF 12</t>
  </si>
  <si>
    <t>Stroj za fugiranje RWK 190/150</t>
  </si>
  <si>
    <t>2.2.1.9.</t>
  </si>
  <si>
    <t>Popravak ispuha: 
obuhvaća rezanje rubova u asfaltnom kolniku, iskop uništenog asfaltnog sloja i tampona u ukupnoj debljini do 50 cm, utovar i odvoz uklonjenog materijala na deponiju, planiranje i zbijanje posteljice (Ms≥30 MN/m2), nabavu, dopremu, ugradnju i zbijanje (Ms≥80 MN/m2) drobljenog kamenog materijala u tamponski sloj do razine 6 cm ispod postojeće površine kolnika, čišćenje i nanošenje odgovarajućih bitumenskih masa za spojnice, nabavu, dopremu i ugradnju asfaltne mješavine BNHS 16 u sloju debljine 6 cm s valjanjem valjkom minimalne mase 6 t te završno čišćenje kolnika. 
Obračun po m2 popravljene površine kolnika.</t>
  </si>
  <si>
    <t>Popravak ispuha: 
obuhvaća rezanje rubova u asfaltnom kolniku, iskop uništenog asfaltnog sloja i tampona u ukupnoj debljini do 50 cm, utovar i odvoz uklonjenog materijala na deponiju, planiranje i zbijanje posteljice (Ms≥30 MN/m2), dobavu, ugradnju i zbijanje (Ms≥80 MN/m2) drobljenog kamenog materijala u tamponski sloj do razine 6 cm ispod postojeće površine kolnika, čišćenje i nanošenje odgovarajućih bitumenskih masa za spojnice, dobavu i ugradnju asfaltne mješavine BNHS 16 u sloju debljine 6 cm s valjanjem valjkom minimalne mase 6 t te završno čišćenje kolnika. 
Obračun po m2 popravljene površine kolnika.</t>
  </si>
  <si>
    <t>Rovokopač - utovarivač (min. 74,6 kW; 1,1m3)</t>
  </si>
  <si>
    <t>2.2.2.</t>
  </si>
  <si>
    <t>Veći popravci do 3.000 m2</t>
  </si>
  <si>
    <t>2.2.2.1.</t>
  </si>
  <si>
    <t>Popravak oštećenog kolnika strojnom ugradnjom asfalta  AC 16 base 50/70 AG4 M2 (BNS 16 - karbonat) kao izravnavajućeg sloja do 3.000 m2 po lokaciji:
obuhvaća nabavu, dopremu i ugradnju asfaltne mješavine  AC 16 base 50/70 AG4 M2 (BNS 16) u izravnavajući sloj uz prethodno čišćenje kolnika, špricanje bitumenskom emulzijom.
Obračun po toni ugrađene asfaltne mješavine.</t>
  </si>
  <si>
    <t>Popravak oštećenog kolnika strojnom ugradnjom asfalta BNS 16 (karbonat) kao izravnavajućeg sloja do 3.000 m2 po lokaciji:
obuhvaća dobavu i ugradnju asfaltne mješavine BNS 16 u izravnavajući sloj uz prethodno čišćenje kolnika, špricanje bitumenskom emulzijom.
Obračun po toni ugrađene asfaltne mješavine.</t>
  </si>
  <si>
    <t>Cestar II</t>
  </si>
  <si>
    <t xml:space="preserve">Finišer širine polaganja asfalta 5,0-7,0 m (min. 117 kW) </t>
  </si>
  <si>
    <t>2.2.2.2.</t>
  </si>
  <si>
    <t>Popravak oštećenog kolnika strojnom ugradnjom asfalta AC 22 base 50/70 AG6 M2-E (BNS 22 - karbonat) kao izravnavajućeg sloja do 3.000 m2 po lokaciji:
obuhvaća nabavu, dopremu i ugradnju asfaltne mješavine AC 22 base 50/70 AG6 M2-E (BNS 22) u izravnavajući sloj uz prethodno čišćenje kolnika i špricanje bitumenskom emulzijom.
Obračun po toni ugrađene asfaltne mješavine.</t>
  </si>
  <si>
    <t>Popravak oštećenog kolnika strojnom ugradnjom asfalta BNS 22 (karbonat) kao izravnavajućeg sloja do 3.000 m2 po lokaciji:
obuhvaća dobavu i ugradnju asfaltne mješavine BNS 22 u izravnavajući sloj uz prethodno čišćenje kolnika i špricanje bitumenskom emulzijom.
Obračun po toni ugrađene asfaltne mješavine.</t>
  </si>
  <si>
    <t>AC 22 base Pmb 45/80-65 AG6 M1</t>
  </si>
  <si>
    <t>2.2.2.3.</t>
  </si>
  <si>
    <t>Popravak oštećenog kolnika strojnom ugradnjom asfalta AC 16 surf 50/70 AG4 M4  (AB 16 - karbonat) kao izravnavajućeg sloja do 3.000 m2 po lokaciji:
obuhvaća nabavu, dopremu i ugradnju asfaltne mješavine Asfalt AC 16 surf 50/70 AG4 M4  (AB 16) u izravnavajući sloj uz prethodno čišćenje kolnika i špricanje bitumenskom emulzijom.
Obračun po toni ugrađene asfaltne mješavine.</t>
  </si>
  <si>
    <t>Popravak oštećenog kolnika strojnom ugradnjom asfalta AB 16 (karbonat) kao izravnavajućeg sloja do 3.000 m2 po lokaciji:
obuhvaća dobavu i ugradnju asfaltne mješavine AB 16 u izravnavajući sloj uz prethodno čišćenje kolnika i špricanje bitumenskom emulzijom.
Obračun po toni ugrađene asfaltne mješavine.</t>
  </si>
  <si>
    <t>2.2.2.4.</t>
  </si>
  <si>
    <t>Popravak oštećenog kolnika strojnom ugradnjom asfalta  AC 11 surf 50/70 AG1 M2-E (AB 11E) kao završnog sloja do 3.000 m2 po lokaciji:
obuhvaća nabavu, dopremu i ugradnju asfaltne mješavine AC 11 surf 50/70 AG1 M2-E (AB 11E) u završni sloj debljine 4 cm uz prethodno čišćenje kolnika i špricanje bitumenskom emulzijom.
Obračun po m2 popravljene površine kolnika.</t>
  </si>
  <si>
    <t>Popravak oštećenog kolnika strojnom ugradnjom asfaltbetona AB 11E kao završnog sloja do 3.000 m2 po lokaciji:
obuhvaća dobavu i ugradnju asfaltne mješavine AB 11E u završni sloj debljine 4 cm uz prethodno čišćenje kolnika i špricanje bitumenskom emulzijom.
Obračun po m2 popravljene površine kolnika.</t>
  </si>
  <si>
    <t>2.2.2.5.</t>
  </si>
  <si>
    <t>Popravak oštećenog kolnika strojnom ugradnjom asfaltbetona AB 16E kao završnog sloja kao završnog sloja do 3.000 m2 po lokaciji:
obuhvaća dobavu i ugradnju asfaltne mješavine AB 16E u završni sloj debljine 5 cm uz prethodno čišćenje kolnika i špricanje bitumenskom emulzijom.
Obračun po m2 popravljene površine kolnika.</t>
  </si>
  <si>
    <t>Popravak oštećenog kolnika strojnom ugradnjom asfaltbetona AB 16E kao završnog sloja do 3.000 m2 po lokaciji:
obuhvaća dobavu i ugradnju asfaltne mješavine AB 16E u završni sloj debljine 5 cm uz prethodno čišćenje kolnika i špricanje bitumenskom emulzijom.
Obračun po m2 popravljene površine kolnika.</t>
  </si>
  <si>
    <t>t</t>
  </si>
  <si>
    <t>2.2.2.6.</t>
  </si>
  <si>
    <t>Popravak oštećenog kolnika strojnom ugradnjom asfalta SMA 11 45/80-65 AG1 M2 (HS SMA 11) kao završnog sloja do 3.000 m2 po lokaciji:
obuhvaća nabavu, dopremu i ugradnju asfaltne mješavine SMA 11 45/80-65 AG1 M2 (HS SMA 11) u završni sloj debljine 4 cm uz prethodno čišćenje kolnika i špricanje bitumenskom emulzijom.
Obračun po m2 popravljene površine kolnika.</t>
  </si>
  <si>
    <t>Popravak oštećenog kolnika strojnom ugradnjom asfaltbetona HS SMA 11 kao završnog sloja do 3.000 m2 po lokaciji:
obuhvaća dobavu i ugradnju asfaltne mješavine HS SMA 11 u završni sloj debljine 4 cm uz prethodno čišćenje kolnika i špricanje bitumenskom emulzijom.
Obračun po m2 popravljene površine kolnika.</t>
  </si>
  <si>
    <t>2.2.2.7.</t>
  </si>
  <si>
    <t>Popravak oštećenog kolnika strojnom ugradnjom asfalta SMA 16 45/80-65 AG1 M2 (HS SMA 16) kao završnog sloja do 3.000 m2 po lokaciji:
obuhvaća nabavu, dopremu i ugradnju asfaltne mješavine SMA 16 45/80-65 AG1 M2 (HS SMA 16) u završni sloj debljine 5 cm uz prethodno čišćenje kolnika i špricanje bitumenskom emulzijom.
Obračun po m2 popravljene površine kolnika.</t>
  </si>
  <si>
    <t>Popravak oštećenog kolnika strojnom ugradnjom asfaltbetona HS SMA 16 kao završnog sloja do 3.000 m2 po lokaciji:
obuhvaća dobavu i ugradnju asfaltne mješavine HS SMA 16 u završni sloj debljine 5 cm uz prethodno čišćenje kolnika i špricanje bitumenskom emulzijom.
Obračun po m2 popravljene površine kolnika.</t>
  </si>
  <si>
    <t>2.2.2.8.</t>
  </si>
  <si>
    <t>Popravak oštećenog kolnika strojnom ugradnjom asfalta BBTM 11B 45/80-65 AG2 M2 (THS 11 - eruptivac) kao završnog sloja do 3.000 m2 po lokaciji:
obuhvaća nabavu, dopremu i ugradnju asfaltne mješavine BBTM 11B 45/80-65 AG2 M2 (THS 11 - eruptivac) u završni sloj debljine 3 cm uz prethodno čišćenje kolnika i špricanje bitumenskom emulzijom.
Obračun po m2 popravljene površine kolnika.</t>
  </si>
  <si>
    <t>Popravak oštećenog kolnika strojnom ugradnjom asfalta THS 11 (eruptivac) kao završnog sloja do 3.000 m2 po lokaciji:
obuhvaća dobavu i ugradnju asfaltne mješavine THS 11 (eruptivac) u završni sloj debljine 3 cm uz prethodno čišćenje kolnika i špricanje bitumenskom emulzijom.
Obračun po m2 popravljene površine kolnika.</t>
  </si>
  <si>
    <t>2.2.3.</t>
  </si>
  <si>
    <t>Veći popravci preko 3.000 m2</t>
  </si>
  <si>
    <t>2.2.3.1.</t>
  </si>
  <si>
    <t>Popravak oštećenog kolnika strojnom ugradnjom asfalta  AC 16 base 50/70 AG4 M2 (BNS 16 - karbonat) kao izravnavajućeg sloja od 3.000 m2 do 12.000 m2 po lokaciji:
obuhvaća nabavu, dopremu i ugradnju asfaltne mješavine  AC 16 base 50/70 AG4 M2 (BNS 16) u izravnavajući sloj uz prethodno čišćenje kolnika, špricanje bitumenskom emulzijom.
Obračun po toni ugrađene asfaltne mješavine.</t>
  </si>
  <si>
    <t>Popravak oštećenog kolnika strojnom ugradnjom asfalta BNS 16 (karbonat) kao izravnavajućeg sloja od 3.000 m2 do 12.000 m2 po lokaciji:
obuhvaća dobavu i ugradnju asfaltne mješavine BNS 16 u izravnavajući sloj uz prethodno čišćenje kolnika, špricanje bitumenskom emulzijom i nanošenje odgovarajućih bitumenskih masa za spojnice.
Obračun po toni ugrađene asfaltne mješavine.</t>
  </si>
  <si>
    <t>2.2.3.2.</t>
  </si>
  <si>
    <t>Popravak oštećenog kolnika strojnom ugradnjom asfalta AC 22 base 50/70 AG6 M2-E (BNS 22 - karbonat) kao izravnavajućeg sloja od 3.000 m2 do 12.000 m2 po lokaciji:
obuhvaća nabavu, dopremu i ugradnju asfaltne mješavine AC 22 base 50/70 AG6 M2-E (BNS 22) u izravnavajući sloj uz prethodno čišćenje kolnika i špricanje bitumenskom emulzijom.
Obračun po toni ugrađene asfaltne mješavine.</t>
  </si>
  <si>
    <t>Popravak oštećenog kolnika strojnom ugradnjom asfalta BNS 22 (karbonat) kao izravnavajućeg sloja od 3.000 m2 do 12.000 m2 po lokaciji:
obuhvaća dobavu i ugradnju asfaltne mješavine BNS 22 u izravnavajući sloj uz prethodno čišćenje kolnika, špricanje bitumenskom emulzijom i nanošenje odgovarajućih bitumenskih masa za spojnice.
Obračun po toni ugrađene asfaltne mješavine.</t>
  </si>
  <si>
    <t>2.2.3.3.</t>
  </si>
  <si>
    <t>Popravak oštećenog kolnika strojnom ugradnjom asfalta AC 16 surf 50/70 AG4 M4  (AB 16 - karbonat) kao izravnavajućeg sloja od 3.000 m2 do 12.000 m2 po lokaciji:
obuhvaća nabavu, dopremu i ugradnju asfaltne mješavine Asfalt AC 16 surf 50/70 AG4 M4  (AB 16) u izravnavajući sloj uz prethodno čišćenje kolnika i špricanje bitumenskom emulzijom.
Obračun po toni ugrađene asfaltne mješavine.</t>
  </si>
  <si>
    <t>Popravak oštećenog kolnika strojnom ugradnjom asfalta AB 16 (karbonat) kao izravnavajućeg sloja od 3.000 m2 do 12.000 m2 po lokaciji:
obuhvaća dobavu i ugradnju asfaltne mješavine AB 16 u izravnavajući sloj uz prethodno čišćenje kolnika i špricanje bitumenskom emulzijom.
Obračun po toni ugrađene asfaltne mješavine.</t>
  </si>
  <si>
    <t>2.2.3.4.</t>
  </si>
  <si>
    <t>Popravak oštećenog kolnika strojnom ugradnjom asfalta  AC 11 surf 50/70 AG1 M2-E (AB 11E) kao završnog sloja od 3.000 m2 do 12.000 m2 po lokaciji:
obuhvaća nabavu, dopremu i ugradnju asfaltne mješavine AC 11 surf 50/70 AG1 M2-E (AB 11E) u završni sloj debljine 4 cm uz prethodno čišćenje kolnika i špricanje bitumenskom emulzijom.
Obračun po m2 popravljene površine kolnika.</t>
  </si>
  <si>
    <t>Popravak oštećenog kolnika strojnom ugradnjom asfaltbetona AB 11E kao završnog sloja od 3.000 m2 od 3.000 m2 do 12.000 m2 po lokaciji:
obuhvaća dobavu i ugradnju asfaltne mješavine AB 11E u završni sloj debljine 4 cm uz prethodno čišćenje kolnika i špricanje bitumenskom emulzijom.
Obračun po m2 popravljene površine kolnika.</t>
  </si>
  <si>
    <t>2.2.3.5.</t>
  </si>
  <si>
    <t>Popravak oštećenog kolnika strojnom ugradnjom asfalta  AC 16 surf 50/70 AG1 M2-E (AB 16 E) kao završnog sloja do od 3.000 m2 do 12.000 m2 po lokaciji:
obuhvaća nabavu, dopremu i ugradnju asfaltne mješavine AC 16 surf 50/70 AG1 M2-E (AB 16 E) u završni sloj debljine 5 cm uz prethodno čišćenje kolnika i špricanje bitumenskom emulzijom.
Obračun po m2 popravljene površine kolnika.</t>
  </si>
  <si>
    <t>Popravak oštećenog kolnika strojnom ugradnjom asfaltbetona AB 16E kao završnog sloja od 3.000 m2 do 12.000 m2 po lokaciji:
obuhvaća dobavu i ugradnju asfaltne mješavine AB 16E u završni sloj debljine 5 cm uz prethodno čišćenje kolnika i špricanje bitumenskom emulzijom.
Obračun po m2 popravljene površine kolnika.</t>
  </si>
  <si>
    <t>2.2.3.6.</t>
  </si>
  <si>
    <t>Popravak oštećenog kolnika strojnom ugradnjom asfalta SMA 11 45/80-65 AG1 M2 (HS SMA 11) kao završnog sloja od 3.000 m2 do 12.000 m2 po lokaciji:
obuhvaća nabavu, dopremu i ugradnju asfaltne mješavine SMA 11 45/80-65 AG1 M2 (HS SMA 11) u završni sloj debljine 4 cm uz prethodno čišćenje kolnika i špricanje bitumenskom emulzijom.
Obračun po m2 popravljene površine kolnika.</t>
  </si>
  <si>
    <t>Popravak oštećenog kolnika strojnom ugradnjom asfaltbetona HS SMA 11 kao završnog sloja od 3.000 m2 do 12.000 m2 po lokaciji:
obuhvaća dobavu i ugradnju asfaltne mješavine HS SMA 11 u završni sloj debljine 4 cm uz prethodno čišćenje kolnika i špricanje bitumenskom emulzijom.
Obračun po m2 popravljene površine kolnika.</t>
  </si>
  <si>
    <t>2.2.3.7.</t>
  </si>
  <si>
    <t>Popravak oštećenog kolnika strojnom ugradnjom asfalta SMA 16 45/80-65 AG1 M2 (HS SMA 16) kao završnog sloja od 3.000 m2 do 12.000 m2 po lokaciji:
obuhvaća nabavu, dopremu i ugradnju asfaltne mješavine SMA 16 45/80-65 AG1 M2 (HS SMA 16) u završni sloj debljine 5 cm uz prethodno čišćenje kolnika i špricanje bitumenskom emulzijom.
Obračun po m2 popravljene površine kolnika.</t>
  </si>
  <si>
    <t>Popravak oštećenog kolnika strojnom ugradnjom asfaltbetona HS SMA 16 kao završnog sloja od 3.000 m2 do 12.000 m2 po lokaciji:
obuhvaća dobavu i ugradnju asfaltne mješavine HS SMA 16 u završni sloj debljine 5 cm uz prethodno čišćenje kolnika i špricanje bitumenskom emulzijom.
Obračun po m2 popravljene površine kolnika.</t>
  </si>
  <si>
    <t>2.2.3.8.</t>
  </si>
  <si>
    <t>Popravak oštećenog kolnika strojnom ugradnjom asfalta BBTM 11B 45/80-65 AG2 M2 (THS 11 - eruptivac) kao završnog sloja od 3.000 m2 do 12.000 m2 po lokaciji:
obuhvaća nabavu, dopremu i ugradnju asfaltne mješavine BBTM 11B 45/80-65 AG2 M2 (THS 11 - eruptivac) u završni sloj debljine 3 cm uz prethodno čišćenje kolnika i špricanje bitumenskom emulzijom.
Obračun po m2 popravljene površine kolnika.</t>
  </si>
  <si>
    <t>Popravak oštećenog kolnika strojnom ugradnjom asfalta THS 11 (eruptivac) kao završnog sloja od 3.000 m2 do 12.000 m2 po lokaciji:
obuhvaća dobavu i ugradnju asfaltne mješavine THS 11 (eruptivac) u završni sloj debljine 3 cm uz prethodno čišćenje kolnika i špricanje bitumenskom emulzijom.
Obračun po m2 popravljene površine kolnika.</t>
  </si>
  <si>
    <t>2.2.4.</t>
  </si>
  <si>
    <t>Frezanje asfaltnog kolnika</t>
  </si>
  <si>
    <t>2.2.4.1.</t>
  </si>
  <si>
    <t>Popravak neravnina na kolniku frezanjem prosječne debljine 2 cm: 
obuhvaća frezanje uzdužnih i poprečnih neravnina, odvoz uklonjenog materijala na lokaciju koju određuje Naručitelj, prosječne udaljenosti 15 km te završno čišćenje kolnika od ostataka isfrezanog asfalta. 
Obračun po m2 frezane površine kolnika.</t>
  </si>
  <si>
    <t>2.2.4.2.</t>
  </si>
  <si>
    <t>Popravak neravnina na kolniku frezanjem prosječne debljine 4 cm: 
obuhvaća frezanje uzdužnih i poprečnih neravnina, odvoz uklonjenog materijala na lokaciju koju određuje Naručitelj, prosječne udaljenosti 15 km te završno čišćenje kolnika od ostataka isfrezanog asfalta. 
Obračun po m2 frezane površine kolnika.</t>
  </si>
  <si>
    <t>2.2.4.3.</t>
  </si>
  <si>
    <t>Frezanje kolnika prosječne debljine 4 cm: 
obuhvaća frezanje asfaltnog sloja i odvoz uklonjenog materijala na lokaciju koju određuje Naručitelj, prosječne udaljenosti 15 km te završno čišćenje kolnika od ostataka isfrezanog asfalta. 
Obračun po m2 frezane površine kolnika.</t>
  </si>
  <si>
    <t>2.2.4.4.</t>
  </si>
  <si>
    <t>Frezanje kolnika prosječne debljine 6 cm:
obuhvaća frezanje asfaltnog sloja i odvoz uklonjenog materijala na lokaciju koju određuje Naručitelj, prosječne udaljenosti 15 km te završno čišćenje kolnika od ostataka isfrezanog asfalta. 
Obračun po m2 frezane površine kolnika.</t>
  </si>
  <si>
    <t>2.3.</t>
  </si>
  <si>
    <t>Popravci kolnika od kamenih materijala</t>
  </si>
  <si>
    <t>2.3.1.</t>
  </si>
  <si>
    <t>Dovoz kamenog materijala: 
obuhvaća nabavu i dopremu kamenog materijala s istovarom. 
Obračun po m3 dovezenog kamenog materijala.</t>
  </si>
  <si>
    <t>2.3.2.</t>
  </si>
  <si>
    <t>Popravak udarnih jama: 
obuhvaća ručno prikupljanje postojećeg kamenog materijala s rubova kolnika, prebacivanje i ugradnju prikupljenog materijala u udarnu jamu. 
Obračun po m3 ugrađenog kamenog materijala.</t>
  </si>
  <si>
    <t>2.3.3.</t>
  </si>
  <si>
    <t>Profiliranje kolnika: 
obuhvaća strojno profiliranje kolnika i bankina. 
Obračun po m2 isprofiliranog kolnika.</t>
  </si>
  <si>
    <t>Grejder (min. 114 kW)</t>
  </si>
  <si>
    <t>2.3.4.</t>
  </si>
  <si>
    <t>Strojna ugradnja kamenih materijala: 
obuhvaća razastiranje dovezenog kamenog materijala s profiliranjem (cijena nabave i dopreme kamenog materijala ne obračunava se u ovoj stavci). 
Obračun po m3 ugrađenog kamenog materijala.</t>
  </si>
  <si>
    <t>2.3.5.</t>
  </si>
  <si>
    <t>Popravak ispuha: 
obuhvaća iskop degradiranog kamenog materijala u debljini do 35 cm, utovar i odvoz iskopanog materijala na deponiju, planiranje i zbijanje posteljice (Ms≥30 MN/m2), zatim nabavu, dopremu, ugradnju i zbijanje (Ms≥80 MN/m2) drobljenog kamenog materijala u tamponski sloj. 
Obračun po m2 popravljene površine kolnika.</t>
  </si>
  <si>
    <t>Popravak ispuha: 
obuhvaća iskop degradiranog kamenog materijala u debljini do 35 cm, utovar i odvoz iskopanog materijala na deponiju, planiranje i zbijanje posteljice (Ms≥30 MN/m2), zatim dobavu, ugradnju i zbijanje (Ms≥80 MN/m2) drobljenog kamenog materijala u tamponski sloj. 
Obračun po m2 popravljene površine kolnika.</t>
  </si>
  <si>
    <t>ODRŽAVANJE BANKINA I BERME</t>
  </si>
  <si>
    <t>Ručno uklanjanje nadvišenih dijelova bankina: 
obuhvaća lokalno, ručno uklanjanje nadvišenih dijelova bankine (prosječne debljine 5 cm) te utovar i odvoz uklonjenog materijala na prosječnu udaljenost 5 km. 
Obračun po m2 uređene bankine.</t>
  </si>
  <si>
    <t>3.2.</t>
  </si>
  <si>
    <t>Ručni popravak oštećenih bankina:
obuhvaća nabavu i dovoz miješanog kamenog materijala te razastiranje, profiliranje i zbijanje materijala. 
Obračun po m3 ugrađenog materijala.</t>
  </si>
  <si>
    <t>Valjak do 2 t (min. 21 kW)</t>
  </si>
  <si>
    <t>Prikolica za prijevoz stroja nosivosti 3,5 t</t>
  </si>
  <si>
    <t>3.3.</t>
  </si>
  <si>
    <t>Ručno prosijecanje nadvišenih dijelova bankina radi osiguranja otjecanja vode s kolnika:
obuhvaća lokalno prosijecanje bankine širine min. 30 cm radi omogućavanja otjecanja vode s kolnika.
Obračun po m izvedenog prosijecanja.</t>
  </si>
  <si>
    <t>3.4.</t>
  </si>
  <si>
    <t>Strojno uklanjanje nadvišenih dijelova bankina frezom: 
obuhvaća strojno uklanjanje nadvišenih dijelova bankine (prosječne debljine 5 cm) s mjestimičnim ručnim uklanjanjem nadvišenih dijelova bankine oko prometnih znakova, smjerokaznih stupića, zaštitnih ograda i sl. te utovar i odvoz uklonjenog materijala na prosječnu udaljenost 5 km. 
Obračun po m2 uređene bankine.</t>
  </si>
  <si>
    <t>Freza za uklanjanje nadvišenih dijelova bankine</t>
  </si>
  <si>
    <t>3.5.</t>
  </si>
  <si>
    <t>Strojno uklanjanje nadvišenih dijelova bankina specijalnim strojem: 
obuhvaća strojno uklanjanje nadvišenih dijelova bankine (prosječne debljine 5 cm) s mjestimičnim ručnim uklanjanjem nadvišenih dijelova bankine oko prometnih znakova, smjerokaznih stupića, zaštitnih ograda i sl. te utovar i odvoz uklonjenog materijala na prosječnu udaljenost 5 km. 
Obračun po m2 uređene bankine.</t>
  </si>
  <si>
    <t>Strojno uklanjanje nadvišenih dijelova bankina specijalnim strojem (MULAGOM): 
obuhvaća strojno uklanjanje nadvišenih dijelova bankine (prosječne debljine 5 cm) s mjestimičnim ručnim uklanjanjem nadvišenih dijelova bankine oko prometnih znakova, smjerokaznih stupića, zaštitnih ograda i sl. te utovar i odvoz uklonjenog materijala na prosječnu udaljenost 5 km. 
Obračun po m2 uređene bankine.</t>
  </si>
  <si>
    <t>Specijalni stroj (Mulag); (min. 120 kW)</t>
  </si>
  <si>
    <t>3.6.</t>
  </si>
  <si>
    <t>Strojno uklanjanje nadvišenih dijelova bankina grejderom: 
obuhvaća strojno uklanjanje nadvišenih dijelova bankine (prosječne debljine 5 cm) s mjestimičnim ručnim uklanjanjem nadvišenih dijelova bankine oko prometnih znakova, smjerokaznih stupića, zaštitnih ograda i sl. sa planiranjem uklonjenog materijala .
Obračun po m2 uređene bankine.</t>
  </si>
  <si>
    <t>3.7.</t>
  </si>
  <si>
    <t>Strojno uklanjanje nadvišenih dijelova berme: 
obuhvaća strojno uklanjanje nadvišenih dijelova berme s mjestimičnim ručnim uklanjanjem i planiranjem nadvišenih dijelova berme oko prometnih znakova, smjerokaznih stupića, zaštitnih ograda i sl. te utovar i odvoz uklonjenog materijala na prosječnu udaljenost 5 km. 
Obračun po m3 uklonjenog materijala.</t>
  </si>
  <si>
    <t>3.8.</t>
  </si>
  <si>
    <t>Popravak oštećenih betonskih pasica do 30 m duljine po lokaciji: 
obuhvaća uklanjanje oštećenih dijelova pasice, uređenje podloge, izradu oplate, nabavu, dopremu i ugradnju betona C30/37 otpornog na smrzavanje i soli, njegu betona, demontažu oplate,  utovar i prijevoz uklonjenog materijala na deponiju prosječne udaljenosti 15 km te ostali rad i materijal na ugradnji. 
Obračun po m3 ugrađenog betona.</t>
  </si>
  <si>
    <t>Popravak oštećenih betonskih pasica do 30 m duljine po lokaciji: 
obuhvaća uklanjanje oštećenih dijelova pasice, uređenje podloge, izradu oplate, dobavu i ugradnju betona C30/37 otpornog na smrzavanje i soli, njegu betona, demontažu oplate,  utovar i prijevoz uklonjenog materijala na deponiju prosječne udaljenosti 15 km te ostali rad i materijal na ugradnji. 
Obračun po m3 ugrađenog betona.</t>
  </si>
  <si>
    <t>Prijenosni agregat za struju s priključcima (min. 6,5 kW)</t>
  </si>
  <si>
    <t>3.9.</t>
  </si>
  <si>
    <t>Popravak oštećenih betonskih pasica duljine preko 30 m do 100 m po lokaciji: 
obuhvaća uklanjanje oštećenih dijelova pasice, uređenje podloge, izradu oplate, nabavu, dopremu i ugradnju betona C30/37 otpornog na smrzavanje i soli, njegu betona, demontažu oplate, utovar i prijevoz uklonjenog materijala na deponiju prosječne udaljenosti 15 km te ostali rad i materijal na ugradnji. 
Obračun po m3 ugrađenog betona.</t>
  </si>
  <si>
    <t>Popravak oštećenih betonskih pasica preko 30 m duljine po lokaciji: 
obuhvaća uklanjanje oštećenih dijelova pasice, uređenje podloge, izradu oplate, dobavu i ugradnju betona C30/37 otpornog na smrzavanje i soli, njegu betona, demontažu oplate, utovar i prijevoz uklonjenog materijala na deponiju prosječne udaljenosti 15 km te ostali rad i materijal na ugradnji. 
Obračun po m3 ugrađenog betona.</t>
  </si>
  <si>
    <t>3.10.</t>
  </si>
  <si>
    <t>Dogradnja bankina zemljanim materijalom:
obuhvaća nabavu, dopremu i ugradnju zemljanog materijala.
Obračun po m3 dovezenog i ugrađenog materijala.</t>
  </si>
  <si>
    <t>Strojna dogradnja bankina zemljanim materijalom:
obuhvaća nabavu, dopremu i ugradnju zemljanog materijala.
Obračun po m3 dovezenog i ugrađenog materijala.</t>
  </si>
  <si>
    <t>3.11.</t>
  </si>
  <si>
    <t>Dogradnja bankina mješanim kamenim materijalom:
obuhvaća nabavu, dopremu i ugradnju mješanog kamenog materijala na mjestima većih popravaka asfaltnog kolnika.
Obračun po m3 dovezenog i ugrađenog materijala.</t>
  </si>
  <si>
    <t>Strojna dogradnja bankina mješanim kamenim materijalom:
obuhvaća nabavu, dopremu i ugradnju mješanog kamenog materijala na mjestima većih popravaka asfaltnog kolnika.
Obračun po m3 dovezenog i ugrađenog materijala.</t>
  </si>
  <si>
    <t>Stroj za izradu bankina</t>
  </si>
  <si>
    <t>3.12.</t>
  </si>
  <si>
    <t>Dogradnja berme: 
obuhvaća strojnu dogradnju berme s nabavom i dovozom potrebnog materijala te razastiranje, profiliranje i zbijanje materijala. 
Obračun po m3 materijala prema dostavnici.</t>
  </si>
  <si>
    <t>Strojna dogradnja berme: 
obuhvaća strojnu dogradnju berme s nabavom i dovozom potrebnog materijala te razastiranje, profiliranje i zbijanje materijala. 
Obračun po m3 materijala prema dostavnici.</t>
  </si>
  <si>
    <t>3.13.</t>
  </si>
  <si>
    <t>Proširenje berme u zemljanom materijalu:
obuhvaća strojni iskop, utovar i odvoz materijala na prosječnu udaljenost 5 km.
Obračun po m3 uklonjenog materijala.</t>
  </si>
  <si>
    <t>Strojno proširenje berme u zemljanom materijalu:
obuhvaća strojni iskop, utovar i odvoz materijala na prosječnu udaljenost 5 km.
Obračun po m3 uklonjenog materijala.</t>
  </si>
  <si>
    <t>Rovokopač (bager) na kotačima (min. 113 kW; 1,5m3)</t>
  </si>
  <si>
    <t>3.14.</t>
  </si>
  <si>
    <t>Proširenje berme u kamenom materijalu:
obuhvaća strojni iskop, utovar i odvoz materijala na prosječnu udaljenost 5 km.
Obračun po m3 uklonjenog materijala.</t>
  </si>
  <si>
    <t>Strojno proširenje berme u kamenom materijalu:
obuhvaća strojni iskop, utovar i odvoz materijala na prosječnu udaljenost 5 km.
Obračun po m3 uklonjenog materijala.</t>
  </si>
  <si>
    <t>3.15.</t>
  </si>
  <si>
    <t>Manji popravak betonskih pasica dogradnjom: 
obuhvaća pripremu podloge, izradu oplate, nabavu, dopremu i ugradnju betona C30/37 otpornog na smrzavanje i soli, njegu betona, demontažu oplate te ostali rad i materijal na ugradnji. 
Obračun po m3 dograđene pasice.</t>
  </si>
  <si>
    <t>Dogradnja betonskih pasica: 
obuhvaća pripremu podloge, izradu oplate, dobavu i ugradnju betona C30/37 otpornog na smrzavanje i soli, njegu betona, demontažu oplate te ostali rad i materijal na ugradnji. 
Obračun po m3 dograđene pasice.</t>
  </si>
  <si>
    <t>ODRŽAVANJE USJEKA, ZASJEKA I NASIPA</t>
  </si>
  <si>
    <t>Ručno čišćenje usjeka, zasjeka i nasipa od otpadaka: 
obuhvaća ručno čišćenje i skupljanje otpada u plastične vreće te utovar i odvoz otpada na deponiju prosječne udaljenosti 15 km. 
Obračun po utrošenim satima na čišćenju.</t>
  </si>
  <si>
    <t>Uklanjanje nestabilnog materijala s pokosa usjeka i zasjeka: 
obuhvaća mjestimično strojno uklanjanje nestabilnog materijala s pokosa usjeka i zasjeka rovokopačem te utovar i odvoz uklonjenog materijala na prosječnu udaljenost 5 km.
Obračun po m3.</t>
  </si>
  <si>
    <t xml:space="preserve">Uklanjanje nestabilnog materijala s pokosa usjeka i zasjeka: 
obuhvaća uklanjanje nestabilnog materijala s pokosa usjeka i zasjeka te utovar i odvoz uklonjenog materijala na prosječnu udaljenost 5 km. 
Obračun prema stvarnim troškovima. </t>
  </si>
  <si>
    <t>4.3.</t>
  </si>
  <si>
    <t>Uklanjanje materijala nakupljenih iza zaštitnih žičanih mreža pokosa: 
obuhvaća otvaranje mreža, uklanjanje nakupljenog materijala, sidrenje mreža te utovar i odvoz uklonjenog materijala na prosječnu udaljenost 5 km. 
Obračun po m3 uklonjenog materijala.</t>
  </si>
  <si>
    <t>4.4.</t>
  </si>
  <si>
    <t>Popravak zaštitne žičane mreže pokosa: 
obuhvaća uklanjanje oštećenog žičanog pletiva s pokosa, nabavu, dopremu i ugradnju novog nedostajućeg dijela žičanog pletiva, uključujući ostali potreban rad i materijal za njeno pričvršćenje. 
Obračun po m2 ugrađenog žičanog pletiva.</t>
  </si>
  <si>
    <t>Popravak oštećenih dijelova zaštitne žičane mreže pokosa: 
obuhvaća uklanjanje oštećenog žičanog pletiva s pokosa, dobavu i ugradnju novog nedostajućeg dijela žičanog pletiva, uključujući ostali potreban rad i materijal za njeno pričvršćenje. 
Obračun po m2 ugrađenog žičanog pletiva.</t>
  </si>
  <si>
    <t>4.5.</t>
  </si>
  <si>
    <t>Popravak zaštitne žičane ograde na bermi:
obuhvaća uklanjanje oštećenog žičanog pletiva, nabavu, dopremu i ugradnju novog nedostajućeg dijela žičanog pletiva, uključujući ostali potreban rad i materijal za njeno pričvršćenje. 
Obračun po m2 ugrađenog žičanog pletiva.</t>
  </si>
  <si>
    <t>Popravak oštećene zaštitne žičane mreže na bermi:
obuhvaća uklanjanje oštećenog žičanog pletiva, dobavu i ugradnju novog nedostajućeg dijela žičanog pletiva, uključujući ostali potreban rad i materijal za njeno pričvršćenje. 
Obračun po m2 ugrađenog žičanog pletiva.</t>
  </si>
  <si>
    <t>4.6.</t>
  </si>
  <si>
    <t>Popravak manjih oštećenja dijelova trupa ceste: 
obuhvaća lokalni popravak manjih oštećenja nasipa, zasjeka ili usjeka izradom stepenica te nabavu i dopremu odgovarajućeg materijala sa zbijanjem u slojevima.
Obračun po m3 materijala prema dostavnici.</t>
  </si>
  <si>
    <t>Popravak manjih oštećenja dijelova trupa ceste: 
obuhvaća lokalni popravak manjih oštećenja nasipa, zasjeka ili usjeka izradom stepenica i dobavu odgovarajućeg materijala sa zbijanjem u slojevima.
Obračun po m3 materijala prema dostavnici.</t>
  </si>
  <si>
    <t>4.7.</t>
  </si>
  <si>
    <t>Popravak manjih površina zatravljenih pokosa nasipa, zasjeka i usjeka: 
obuhvaća lokalni popravak erodiranih dijelova pokosa (do 20 m2), nabavu, dovoz i ugradnju potrebnog humusnog materijala (0,10 m3/m2) te sjetvu trave.
Obračun po m2 zatravljene površine.</t>
  </si>
  <si>
    <t>4.8.</t>
  </si>
  <si>
    <t>Manji popravak zaštitne žičane mreže na pokosu postavljanjem nove:
obuhvaća nabavu, dopremu i postavljanje nove žičane mreže uključujući ostali potreban rad i materijal.
Obračun po m2 pokrivenog pokosa.</t>
  </si>
  <si>
    <t>Dogradnja zaštitne žičane mreže na pokosu:
obuhvaća dobavu i postavljanje nove žičane mreže uključujući ostali potreban rad i materijal.
Obračun po m2 pokrivenog pokosa.</t>
  </si>
  <si>
    <t>4.9.</t>
  </si>
  <si>
    <t>Manji popravak zaštitne žičane ograde na bermi postavlajnjem nove:
obuhvaća izradu temelja za stupove te nabavu, dopremu i postavu žičanog pletiva, stupova i ostalog materijala za njeno učvršćenje radi spriječavanja osipanja kamenog materijala sa pokosa.
Obračun po m2 ugrađenog žičanog pletiva.</t>
  </si>
  <si>
    <t>Dogradnja zaštitne žičane mreže na bermi:
obuhvaća izradu temelja za stupove te dobavu i postavu žičanog pletiva, stupova i ostalog materijala za njeno učvršćenje radi spriječavanja osipanja kamenog materijala sa pokosa.
Obračun po m2 ugrađenog žičanog pletiva.</t>
  </si>
  <si>
    <t>4.10.</t>
  </si>
  <si>
    <t>Dogradnja trupa ceste miješanim kamenim materijalom:
obuhvaća nabavu, dopremu, razastiranje, profiliranje i zbijanje materijala (Ms≥45MN/m2) u slojevima radi ublažavanja oštrih krivina, uređenja poprečnih nagiba, uređenja stajališta uz cestu, poboljšanja sustava odvodnje i sl.
Obračun po m3 materijala prema dostavnici.</t>
  </si>
  <si>
    <t>Dogradnja trupa ceste miješanim kamenim materijalom:
obuhvaća dobavu, razastiranje, profiliranje i zbijanje materijala (Ms≥45MN/m2) u slojevima radi ublažavanja oštrih krivina, uređenja poprečnih nagiba, uređenja stajališta uz cestu, poboljšanja sustava odvodnje i sl.
Obračun po m3 materijala prema dostavnici.</t>
  </si>
  <si>
    <t>4.11.</t>
  </si>
  <si>
    <t>Dogradnja tamponskog sloja od kamenog materijala:
obuhvaća nabavu, dopremu, razastiranje, profiliranje i zbijanje materijala (Ms≥100 MN/m2) u slojevima.
Obračun po m3 ugrađenog materijala.</t>
  </si>
  <si>
    <t>Dogradnja tamponskog sloja od kamenog materijala:
obuhvaća dobavu, razastiranje, profiliranje i zbijanje materijala (Ms≥100 MN/m2) u slojevima.
Obračun po m3 ugrađenog materijala.</t>
  </si>
  <si>
    <t>4.12.</t>
  </si>
  <si>
    <t>Zaštita pokosa nasipa, usjeka i zasjeka zatravljivanjem:
obuhvaća iskop humusa na pozajmištu, transport iskopanog materijala na udaljenost do 5 km te ugradnju u debljini od 10 do 15 cm i sjetvu trave.
Obračun po m3 ugrađenog materijala.</t>
  </si>
  <si>
    <t>4.13.</t>
  </si>
  <si>
    <t>Hortikulturno održavanje zelenih površina cestovnog zemljišta kao npr. odmorišta, razdjelnih otoka, kružnih tokova i slično:
obuhvaća okopavanje sadnica, prihranjivanje sadnica umjetnim gnojivom u doba vegetacije s prosječnim utroškom umjetnog gnojiva 45,53 g/m2, zalijevanje sadnica vodom u količini 2,0 l/m2 te zamjena osušenih sadnica u količini od 0,02 sadnice/m2.
Obračun po m2.</t>
  </si>
  <si>
    <t>Hortikulturno uređenje i održavanje pokosa, odmorišta, razdjelnih otoka i slično:
obuhvaća sve radove na hortikulturnom uređenju prema zahtjevu Naručitelja.
Obračun prema stvarnim troškovima.</t>
  </si>
  <si>
    <t>cca</t>
  </si>
  <si>
    <t>Travna mješavina</t>
  </si>
  <si>
    <t>51 kn/m2</t>
  </si>
  <si>
    <t>ODRŽAVANJE OBJEKATA ZA ODVODNJU</t>
  </si>
  <si>
    <t>Čišćenje objekata za odvodnju</t>
  </si>
  <si>
    <t>Ručno čišćenje cestovnih jaraka: 
obuhvaća ručno čišćenje dna i pokosa jarka uklanjanjem materijala (prosječan iskop 0,10 m3/m) s odlaganjem na cestovno zemljište i planiranjem.
Obračun po m očišćenog jarka.</t>
  </si>
  <si>
    <t>Ručno čišćenje cestovnih jaraka: 
obuhvaća ručno čišćenje dna i pokosa jarka uklanjanjem materijala prosječne debljine 10 cm sa odlaganjem na cestovno zemljište i planiranjem.
Obračun po m očišćenog jarka.</t>
  </si>
  <si>
    <t>Ručno uklanjanje nanosa, osulina i ostalog materijala iz cestovnih jaraka: 
obuhvaća ručno uklanjanje nanesenog materijala iz jarka, profiliranje jarka te utovar i odvoz uklonjenog materijala na prosječnu udaljenost 5 km.
Obračun po m3 uklonjenog materijala.</t>
  </si>
  <si>
    <t>Strojno produbljivanje i profiliranje cestovnih jaraka:
obuhvaća strojno produbljivanje i profiliranje jarka (prosječan iskop 0,20 m3/m) te utovar i odvoz uklonjenog materijala na prosječnu udaljenost 5 km.
Obračun po m uređenog jarka.</t>
  </si>
  <si>
    <t>5.1.4.</t>
  </si>
  <si>
    <t>Strojni iskop cestovnih jaraka:
obuhvaća strojni iskop i profiliranje jarka (prosječan iskop iznad 0,20 m3/m) te utovar i odvoz iskopanog materijala na prosječnu udaljenost 5 km.
Obračun po m3 iskopanog materijala.</t>
  </si>
  <si>
    <t>5.1.5.</t>
  </si>
  <si>
    <t>Čišćenje rigola: 
obuhvaća čišćenje rigola od blata, sipine i ostalog nanesenog materijala (prosječno 0,01 m3/m) te utovar i odvoz materijala na prosječnu udaljenost 5 km. 
Obračun po m očišćenog rigola.</t>
  </si>
  <si>
    <t>5.1.6.</t>
  </si>
  <si>
    <t>Čišćenje pokrivenih rigola ili kanala: 
obuhvaća skidanje pokrovnog elementa rigola ili kanala, vađenje nanosa iz rigola ili kanala (prosječno 0,08 m3/m), utovar i odvoz materijala na prosječnu udaljenost 5 km, vraćanje pokrovnog elementa s obradom spojnica zaljevanjem cementnim mortom.
Obračun po m očišćenog rigola ili kanala.</t>
  </si>
  <si>
    <t>Čišćenje pokrivenih rigola ili kanala: 
obuhvaća demontiranje pokrovnog elementa rigola ili kanala, vađenje nanosa iz rigola ili kanala (prosječno 0,08 m3/m), utovar i odvoz materijala na prosječnu udaljenost 5 km, vraćanje pokrovnog elementa sa obradom spojnica zaljevanjem cementnim mortom.
Obračun po m očišćenog rigola ili kanala.</t>
  </si>
  <si>
    <t>5.1.7.</t>
  </si>
  <si>
    <t>Čišćenje propusta od nanosa: 
obuhvaća čišćenje propusta od nanosa, prikupljanje uklonjenog materijala te utovar i odvoz uklonjenog materijala na prosječnu udaljenost 5 km.
Obračun po m3 uklonjenog materijala.</t>
  </si>
  <si>
    <t>5.1.8.</t>
  </si>
  <si>
    <t>Čišćenje slivnika, revizionih okana, taložnica i sličnih građevina: 
obuhvaća ručno čišćenje slivnika, revizionih okana, taložnica i sličnih građevina vađenjem nanosa te utovar i odvoz izvađenog materijala na deponiju prosječne udaljenosti 15 km.
Obračun po m3 izvađenog materijala.</t>
  </si>
  <si>
    <t>5.1.9.</t>
  </si>
  <si>
    <t>Čišćenje sustava odvodnje vodom pod pritiskom:
obuhvaća čišćenje sustava odvodnje specijalnim strojem koji koristi tehničku vodu pod pritiskom.
Obračun po satu rada.</t>
  </si>
  <si>
    <t>5.1.10.</t>
  </si>
  <si>
    <t>Čišćenje separatora, taložnica, laguna i sličnih objekata odvodnje:
obuhvaća čišćenje separatora, taložnica, laguna i sličnih objekata za odvodnju specijalnim vozilom - cisternom pražnjenjem neopasnog taloga s prijevozom neopasnog taloga na prosječnu udaljenost do 5 km. tekućine i njenim zbrinjavanjem te uklanjanje krutog otpada i mulja uz odgovarajući propisani tretman za tu vrstu otpada.
Obračun po m3.</t>
  </si>
  <si>
    <t>Čišćenje separatora, taložnica, laguna i sličnih objekata odvodnje:
obuhvaća čišćenje separatora, taložnica, laguna i sličnih objekata za odvodnju pražnjenjem tekućine i njenim zbrinjavanjem te uklanjanje krutog otpada i mulja uz odgovarajući propisani tretman za tu vrstu otpada.
Obračun prema stvarnim troškovima.</t>
  </si>
  <si>
    <t>5.2.</t>
  </si>
  <si>
    <t>Popravci objekata za odvodnju</t>
  </si>
  <si>
    <t>5.2.1.</t>
  </si>
  <si>
    <r>
      <t xml:space="preserve">Zamjena oštećenog poklopca revizionog okna: 
obuhvaća uklanjanje oštećenog okvira i poklopca,  izradu nove nosive konstrukcije od betona (klase C25/30, prosječne količine 0,07 m3/kom), postavljanje novog okvira i poklopca, uključivo potreban rad i ostali materijal na ugradnji. </t>
    </r>
    <r>
      <rPr>
        <b/>
        <sz val="10"/>
        <color indexed="10"/>
        <rFont val="Arial"/>
        <family val="2"/>
        <charset val="238"/>
      </rPr>
      <t xml:space="preserve">U jediničnoj cijeni nije uračunata nabava okvira i poklopca. </t>
    </r>
    <r>
      <rPr>
        <b/>
        <sz val="10"/>
        <color indexed="17"/>
        <rFont val="Arial"/>
        <family val="2"/>
        <charset val="238"/>
      </rPr>
      <t xml:space="preserve">
Obračun po komadu zamijenjenog poklopca.</t>
    </r>
  </si>
  <si>
    <t>Zamjena oštećenog poklopca revizionog okna: 
obuhvaća uklanjanje oštećenog okvira i poklopca,  izradu nove nosive konstrukcije od betona (klase C25/30, prosječne količine 0,07 m3/kom), postavljanje novog okvira i poklopca, uključivo potreban rad i ostali materijal na ugradnji. U jediničnoj cijeni nije uračunata nabava okvira i poklopca. 
Obračun po komadu zamijenjenog poklopca.</t>
  </si>
  <si>
    <t>Pokretni kompresor s priključcima (min. 61 kW)</t>
  </si>
  <si>
    <t>5.2.2.</t>
  </si>
  <si>
    <r>
      <t xml:space="preserve">Zamjena oštećenog poklopca revizijskog okna u kolniku sa učvršćivanjem brzovezajućim materijalom: 
obuhvaća uklanjanje oštećenog okvira i poklopca,  izradu nove nosive konstrukcije (materijal na bazi brzovezujućeg cementa prosječne količine 0,07 m3/kom), postavljanje novog okvira i poklopca, uključivo  potreban rad i ostali materijal na ugradnji. </t>
    </r>
    <r>
      <rPr>
        <b/>
        <sz val="10"/>
        <color indexed="10"/>
        <rFont val="Arial"/>
        <family val="2"/>
        <charset val="238"/>
      </rPr>
      <t xml:space="preserve">U jediničnoj cijeni nije uračunata nabava okvira i poklopca. </t>
    </r>
    <r>
      <rPr>
        <b/>
        <sz val="10"/>
        <color indexed="17"/>
        <rFont val="Arial"/>
        <family val="2"/>
        <charset val="238"/>
      </rPr>
      <t xml:space="preserve">
Obračun po komadu zamijenjenog poklopca.</t>
    </r>
  </si>
  <si>
    <t>Zamjena oštećenog poklopca revizijskog okna u kolniku sa učvršćivanjem brzovezajućim materijalom: 
obuhvaća uklanjanje oštećenog okvira i poklopca,  izradu nove nosive konstrukcije (materijal na bazi brzovezujućeg cementa prosječne količine 0,07 m3/kom), postavljanje novog okvira i poklopca, uključivo  potreban rad i ostali materijal na ugradnji. U jediničnoj cijeni nije uračunata nabava okvira i poklopca. 
Obračun po komadu zamijenjenog poklopca.</t>
  </si>
  <si>
    <t>5.2.3.</t>
  </si>
  <si>
    <r>
      <t xml:space="preserve">Zamjena oštećene slivničke rešetke: 
obuhvaća uklanjanje oštećenog okvira i rešetke, izradu nove nosive konstrukcije od betona (klase C25/30, prosječne količine 0,05 m3/kom), postavljanje novog okvira i poklopca, uključivo potreban rad i ostali materijal na ugradnji. </t>
    </r>
    <r>
      <rPr>
        <b/>
        <sz val="10"/>
        <color indexed="10"/>
        <rFont val="Arial"/>
        <family val="2"/>
        <charset val="238"/>
      </rPr>
      <t xml:space="preserve">U jediničnoj cijeni nije uračunata nabava okvira i rešetke. </t>
    </r>
    <r>
      <rPr>
        <b/>
        <sz val="10"/>
        <color indexed="17"/>
        <rFont val="Arial"/>
        <family val="2"/>
        <charset val="238"/>
      </rPr>
      <t xml:space="preserve">
Obračun po komadu zamijenjene rešetke.</t>
    </r>
  </si>
  <si>
    <t>Zamjena oštećene slivničke rešetke: 
obuhvaća uklanjanje oštećenog okvira i rešetke, izradu nove nosive konstrukcije od betona (klase C25/30, prosječne količine 0,05 m3/kom), postavljanje novog okvira i poklopca, uključivo potreban rad i ostali materijal na ugradnji. U jediničnoj cijeni nije uračunata nabava okvira i rešetke. 
Obračun po komadu zamijenjene rešetke.</t>
  </si>
  <si>
    <t>5.2.4.</t>
  </si>
  <si>
    <r>
      <t xml:space="preserve">Zamjena oštećene slivničke rešetke sa učvršćivanjem brzovezajućim materijalom: 
obuhvaća uklanjanje oštećenog okvira i rešetke,  izradu nove nosive konstrukcije (materijal na bazi brzovezujućeg cementa prosječne količine 0,05 m3/kom), postavljanje novog okvira i rešetke, uključivo  potreban rad i ostali materijal na ugradnji. </t>
    </r>
    <r>
      <rPr>
        <b/>
        <sz val="10"/>
        <color indexed="10"/>
        <rFont val="Arial"/>
        <family val="2"/>
        <charset val="238"/>
      </rPr>
      <t xml:space="preserve">U jediničnoj cijeni nije uračunata nabava okvira i rešetke. </t>
    </r>
    <r>
      <rPr>
        <b/>
        <sz val="10"/>
        <color indexed="17"/>
        <rFont val="Arial"/>
        <family val="2"/>
        <charset val="238"/>
      </rPr>
      <t xml:space="preserve">
Obračun po komadu zamijenjene rešetke.</t>
    </r>
  </si>
  <si>
    <t>Zamjena oštećene slivničke rešetke sa učvršćivanjem brzovezajućim materijalom: 
obuhvaća uklanjanje oštećenog okvira i rešetke,  izradu nove nosive konstrukcije (materijal na bazi brzovezujućeg cementa prosječne količine 0,05 m3/kom), postavljanje novog okvira i rešetke, uključivo  potreban rad i ostali materijal na ugradnji. U jediničnoj cijeni nije uračunata nabava okvira i rešetke. 
Obračun po komadu zamijenjene rešetke.</t>
  </si>
  <si>
    <t>5.2.5.</t>
  </si>
  <si>
    <r>
      <t xml:space="preserve">Korekcija visine revizijskog okna ili slivnika: 
obuhvaća uklanjanje postojećeg okvira i poklopca ili slivničke rešetke, izradu nove nosive konstrukcije od betona (klase C25/30, prosječne količine 0,14 m3/kom), </t>
    </r>
    <r>
      <rPr>
        <b/>
        <sz val="10"/>
        <color indexed="10"/>
        <rFont val="Arial"/>
        <family val="2"/>
        <charset val="238"/>
      </rPr>
      <t>vraćanje postojećeg okvira i poklopca ili slivničke rešetke,</t>
    </r>
    <r>
      <rPr>
        <b/>
        <sz val="10"/>
        <color indexed="17"/>
        <rFont val="Arial"/>
        <family val="2"/>
        <charset val="238"/>
      </rPr>
      <t xml:space="preserve"> uključivo potreban rad i ostali materijal na ugradnji. 
Obračun po komadu visinski korigiranog revizijskog okna ili slivnika.</t>
    </r>
  </si>
  <si>
    <t>Korekcija visine revizijskog okna ili slivnika: 
obuhvaća uklanjanje postojećeg okvira i poklopca ili slivničke rešetke, izradu nove nosive konstrukcije od betona (klase C25/30, prosječne količine 0,14 m3/kom), vraćanje postojećeg okvira i poklopca ili slivničke rešetke, uključivo potreban rad i ostali materijal na ugradnji. 
Obračun po komadu visinski korigiranog revizijskog okna ili slivnika.</t>
  </si>
  <si>
    <t>5.2.6.</t>
  </si>
  <si>
    <r>
      <t xml:space="preserve">Korekcija visine revizijskog okna sa učvršćivanjem brzovezajućim materijalom: 
obuhvaća uklanjanje postojećeg okvira i poklopca,  izradu nove nosive konstrukcije (materijal na bazi brzovezujućeg cementa prosječne količine 0,14 m3/kom), </t>
    </r>
    <r>
      <rPr>
        <b/>
        <sz val="10"/>
        <color indexed="10"/>
        <rFont val="Arial"/>
        <family val="2"/>
        <charset val="238"/>
      </rPr>
      <t>vraćanje postojećeg okvira i poklopca,</t>
    </r>
    <r>
      <rPr>
        <b/>
        <sz val="10"/>
        <color indexed="17"/>
        <rFont val="Arial"/>
        <family val="2"/>
        <charset val="238"/>
      </rPr>
      <t xml:space="preserve"> uključivo   potreban rad i ostali materijal na ugradnji.
Obračun po komadu visinski korigiranog revizijskog okna. </t>
    </r>
  </si>
  <si>
    <t xml:space="preserve">Korekcija visine revizijskog okna sa učvršćivanjem brzovezajućim materijalom: 
obuhvaća uklanjanje postojećeg okvira i poklopca,  izradu nove nosive konstrukcije (materijal na bazi brzovezujućeg cementa prosječne količine 0,14 m3/kom), vraćanje postojećeg okvira i poklopca, uključivo   potreban rad i ostali materijal na ugradnji.
Obračun po komadu visinski korigiranog revizijskog okna. </t>
  </si>
  <si>
    <t>5.2.7.</t>
  </si>
  <si>
    <r>
      <t xml:space="preserve">Korekcija visine  slivnika sa učvršćivanjem brzovezajućim materijalom: 
obuhvaća uklanjanje postojećeg okvira i rešetke  izradu nove nosive konstrukcije (materijal na bazi brzovezujućeg cementa prosječne količine 0,10 m3/kom), </t>
    </r>
    <r>
      <rPr>
        <b/>
        <sz val="10"/>
        <color indexed="10"/>
        <rFont val="Arial"/>
        <family val="2"/>
        <charset val="238"/>
      </rPr>
      <t>vraćanje postojećeg okvira i rešetke,</t>
    </r>
    <r>
      <rPr>
        <b/>
        <sz val="10"/>
        <color indexed="17"/>
        <rFont val="Arial"/>
        <family val="2"/>
        <charset val="238"/>
      </rPr>
      <t xml:space="preserve"> uključivo  potreban rad i ostali materijal na ugradnji.
Obračun po komadu visinski korigiranog  slivnika.</t>
    </r>
  </si>
  <si>
    <t>Korekcija visine  slivnika sa učvršćivanjem brzovezajućim materijalom: 
obuhvaća uklanjanje postojećeg okvira i rešetke  izradu nove nosive konstrukcije (materijal na bazi brzovezujućeg cementa prosječne količine 0,10 m3/kom), vraćanje postojećeg okvira i rešetke, uključivo  potreban rad i ostali materijal na ugradnji.
Obračun po komadu visinski korigiranog  slivnika.</t>
  </si>
  <si>
    <t>5.2.8.</t>
  </si>
  <si>
    <t>Popravak oštećenih betonskih rigola do 30 m duljine po lokaciji: 
obuhvaća uklanjanje oštećenih dijelova rigola,uređenje podloge, izradu oplate, nabavu, dopremu i ugradnju betona (klase C30/37, prosječne količine 0,12 m3/m) otpornog na smrzavanje i soli, demontažu oplate, utovar i odvoz uklonjenog materijala na deponiju prosječne udaljenosti 15 km te ostali rad i materijal  na ugradnji. 
Obračun po m popravljenog rigola.</t>
  </si>
  <si>
    <t>Popravak oštećenih betonskih rigola do 30 m duljine po lokaciji: 
obuhvaća uklanjanje oštećenih dijelova rigola,uređenje podloge, izradu oplate, dobavu i ugradnju betona (klase C30/37, prosječne količine 0,12 m3/m) otpornog na smrzavanje i soli, demontažu oplate, utovar i odvoz uklonjenog materijala na deponiju prosječne udaljenosti 15 km te ostali rad i materijal  na ugradnji. 
Obračun po m popravljenog rigola.</t>
  </si>
  <si>
    <t>5.2.9.</t>
  </si>
  <si>
    <t>Popravak oštećenih betonskih rigola duljine od 30 m do 100 m po lokaciji: 
obuhvaća uklanjanje oštećenih dijelova rigola, uređenje podloge, izradu oplate, nabavu, dopremu i ugradnju betona (klase C30/37, prosječne količine 0,12 m3/m ) otpornog na smrzavanje i soli, demontažu oplate, utovar i odvoz uklonjenog materijala na deponiju prosječne udaljenosti 15 km te ostali rad i materijal  na ugradnji. 
Obračun po m popravljenog rigola.</t>
  </si>
  <si>
    <t>Popravak oštećenih betonskih rigola preko 30 m duljine po lokaciji: 
obuhvaća uklanjanje oštećenih dijelova rigola,uređenje podloge, izradu oplate, dobavu i ugradnju betona (klase C30/37, prosječne količine 0,12 m3/m ) otpornog na smrzavanje i soli, demontažu oplate, utovar i odvoz uklonjenog materijala na deponiju prosječne udaljenosti 15 km te ostali rad i materijal  na ugradnji. 
Obračun po m popravljenog rigola.</t>
  </si>
  <si>
    <t>5.2.10.</t>
  </si>
  <si>
    <t>Popravak oštećenih rubnjaka do 30 m duljine po lokaciji: 
obuhvaća uklanjanje oštećenih rubnjaka, uređenje podloge, nabavu i dopremu rubnjaka dimenzija 15/25 ili 18/24 cm od betona klase C30/37 otpornog na smrzavanje i soli, ugradnju na podlogu od betona (klase C12/15, prosječne količine 0,07 m3/m), uređenje spojnica cementnim mortom, utovar i odvoz uklonjenog materijala na deponiju prosječne udaljenosti 15 km te  ostali rad i materijal na ugradnji. 
Obračun po m popravljenog rubnjaka.</t>
  </si>
  <si>
    <t>Popravak oštećenih rubnjaka do 30 m duljine po lokaciji: 
obuhvaća uklanjanje oštećenih rubnjaka, uređenje podloge, dobavu rubnjaka dimenzija 15/25 ili 18/24 cm od betona klase C30/37 otpornog na smrzavanje i soli, ugradnju na podlogu od betona (klase C12/15, prosječne količine 0,07 m3/m), uređenje spojnica cementnim mortom, utovar i odvoz uklonjenog materijala na deponiju prosječne udaljenosti 15 km te  ostali rad i materijal na ugradnji. 
Obračun po m popravljenog rubnjaka.</t>
  </si>
  <si>
    <t>5.2.11.</t>
  </si>
  <si>
    <t>Popravak oštećenih rubnjaka duljine preko 30 m do 100 m po lokaciji: 
obuhvaća uklanjanje oštećenih rubnjaka, uređenje podloge, nabavu i dopremu rubnjaka dimenzije 15/25 ili 18/24 cm od betona klase C30/37 otpornog na smrzavanje i soli, ugradnju na podlogu od betona (klase C12/15, prosječne količine 0,07 m3/m), uređenje spojnica cementnim mortom, utovar i odvoz uklonjenog materijala na deponiju prosječne udaljenosti 15 km te  ostali rad i materijal na ugradnji. 
Obračun po m popravljenog rubnjaka.</t>
  </si>
  <si>
    <t>Popravak oštećenih rubnjaka preko 30 m duljine po lokaciji: 
obuhvaća uklanjanje oštećenih rubnjaka, uređenje podloge, dobavu rubnjaka dimenzije 15/25 ili 18/24 cm od betona klase C30/37 otpornog na smrzavanje i soli, ugradnju na podlogu od betona (klase C12/15, prosječne količine 0,07 m3/m), uređenje spojnica cementnim mortom, utovar i odvoz uklonjenog materijala na deponiju prosječne udaljenosti 15 km te  ostali rad i materijal na ugradnji. 
Obračun po m popravljenog rubnjaka.</t>
  </si>
  <si>
    <t>5.2.12.</t>
  </si>
  <si>
    <t>Popravak oštećenog opločenja dna jaraka i površina ispred uljeva i izljeva propusta: 
obuhvaća čišćenje i razvrstavanje kamena s oštećenih površina za ponovnu postavu, nabavu, dopremu i ugradnju drobljenog kamenog materijala u sloju prosječne debljine 5 cm, uređenje podloge, nabavu i dopremu  nedostatnog  kamena (prosječne količine 0,05 m3/m2), namještanje kamene obloge sa utapanjem u plastični beton (klase C16/20, prosječne količine 0,10 m3/m2) sa zapunjavanjem reški između kamena te  ostali rad i materijal na ugradnji. 
Obračun po m2 popravljenog opločenja.</t>
  </si>
  <si>
    <t>Popravak oštećenog opločenja dna jaraka i površina ispred uljeva i izljeva propusta: 
obuhvaća čišćenje i razvrstavanje kamena sa oštećenih površina za ponovnu postavu, dobavu i ugradnju drobljenog kamenog materijala u sloju prosječne debljine 5 cm, uređenje podloge, dobavu  nedostatnog  kamena (prosječne količine 0,05 m3/m2), namještanje kamene obloge sa utapanjem u plastični beton (klase C16/20, prosječne količine 0,10 m3/m2) sa zapunjavanjem reški između kamena te  ostali rad i materijal na ugradnji. 
Obračun po m2 popravljenog opločenja.</t>
  </si>
  <si>
    <t>5.2.13.</t>
  </si>
  <si>
    <t>Popravak manjih pojedinačnih oštećenja na betonskim dijelovima propusta: 
obuhvaća uklanjanje oštećenog betona, nabavu, dopremu i postavljanje oplate, eventualni popravak armature, nabavu, dopremu i ugradnju betona klase C25/30, demontažu oplate te  ostali rad i materijal na ugradnji.  
Obračun po m3 ugrađenog betona.</t>
  </si>
  <si>
    <t>5.2.14.</t>
  </si>
  <si>
    <t>Popravak manjih pojedinačnih oštećenja na betonskim dijelovima propusta: 
obuhvaća uklanjanje oštećenog betona, dobavu i postavljanje oplate, eventualni popravak armature, dobavu i ugradnju betona klase C25/30, demontažu oplate te  ostali rad i materijal na ugradnji.  
Obračun po m3 ugrađenog betona.</t>
  </si>
  <si>
    <t>5.3.</t>
  </si>
  <si>
    <t>Dogradnja sustava za odvodnju</t>
  </si>
  <si>
    <t>5.3.1.</t>
  </si>
  <si>
    <t>Manji popravak sustava za odvodnju izradom novog revizijskog okna :
obuhvaća iskop za izradu novog revizijskog okna prosječne dubine 1,50 m, svijetlog otvora 60/60 cm, nabavu, dopremu i ugradnju betona klase C25/30 sa stijenkama i dnom debljine 20 cm, zatim nabavu, dopremu i ugradnju okvira i poklopca revizionog okna u betonu klase C25/30, zatrpavanje oko vanjskog plašta, utovar i odvoz viška iskopanog  materijala na prosječnu udaljenost 5,0 km te  ostali rad i materijal na ugradnji.
Obračun po komadu.</t>
  </si>
  <si>
    <t>Izrada novog revizijskog okna :
obuhvaća iskop za izradu novog revizijskog okna prosječne dubine 1,50 m, svijetlog otvora 60/60 cm, dobavu i ugradnja  betona klase C25/30 sa stijenkama i dnom debljine 20 cm, ugradnju novog poklopca revizionog okna sa nosivom konstrukcijom u betonu klase C25/30 cm, zatrpavanje oko vanjskog plašta, utovar i odvoz viška  iskopanog  materijala na prosječnu udaljenost 5,0 km te  ostali rad i materijal na ugradnji. U jediničnoj cijeni nije uračunata nabava okvira i poklopca.
Obračun po komadu izređenog revizijskog okna.</t>
  </si>
  <si>
    <t>5.3.2.</t>
  </si>
  <si>
    <t>Manji popravak sustava za odvodnju izradom novog slivnika:
obuhvaća iskop za  slivnik,ugradnju betonskih cijevi profila 50 cm  dubine 1,50 m, podlogu debljine 20 cm i oblogu oko cijevi debljine 15 cm od betona klase C16/20, izradu betonske nosive konstrukcije okvira u betonu klase C25/30, nabavu, dopremu i ugradnju kompletne slivničke rešetke, zatrpavanje oko plašta obloge cijevi kamenim materijalom, utovar i odvoz viška iskopanog materijala na prosječnu udaljenost 5,0 km te  ostali rad i materijal na ugradnji.
Obračun po komadu.</t>
  </si>
  <si>
    <t>Izrada novog slivnika:
obuhvaća iskop za  slivnik,ugradnju betonskih cijevi profila 50 cm  dubine 1,50 m, podlogu debljine 20 cm i oblogu oko cijevi debljine 15 cm od betona klase C16/20, izradu betonske nosive konstrukcije okvira  u betonu klase C25/30, ugradnju nove slivničke rešetke sa šarnirom, zatrpavanje oko plašta obloge cijevi kamenim materijalom, utovar i odvoz viška iskopanog  materijala na prosječnu udaljenost 5,0 km te  ostali rad i materijal na ugradnji. U jediničnoj cijeni nije uračunata nabava okvira i rešetke.
Obračun po komadu izrađenog slivnika.</t>
  </si>
  <si>
    <t>5.3.3.</t>
  </si>
  <si>
    <t>Manji popravak sustava za odvodnju izradom betonskog rigola širine 75 cm:
obuhvaća profiliranje terena sa uređenjem podloge, izradu oplate, nabavu, dopremu i ugradnju betona klase C30/37 u debljini 15 cm, otpornog na smrzavanje i soli, demontažu oplate, njegu betona te  ostali rad i materijal  na ugradnji.  
Obračun po m izrađenog rigola:</t>
  </si>
  <si>
    <t>Izrada betonskog rigola širine 75 cm:
obuhvaća profiliranje terena sa uređenjem podloge, izradu oplate, dobavu i ugradnju betona klase C30/37 u debljini 15 cm, otpornog na smrzavanje i soli, demontažu oplate, njegu betona te  ostali rad i materijal  na ugradnji.  
Obračun po m izrađenog rigola:</t>
  </si>
  <si>
    <t>5.3.4.</t>
  </si>
  <si>
    <t>Manji popravak površinske odvodnje postavljanjem rubnjaka dimenzija 15/25 cm ili 18/24 cm:
obuhvaća uređenje podloge te nabavu i dopremu rubnjaka dimenzija 15/25 ili 18/24 cm od betona C30/37 otpornog na smrzavanje i soli, ugradnju na podlogu od betona C12/15 (prosječne količine 0,07 m3/m), uređenje spojnica cementnim mortom te  ostali rad i materijal na ugradnji.
Obračun po m  postavljenog rubnjaka.</t>
  </si>
  <si>
    <t>Postavljanje rubnjaka dimenzija 15/25 cm ili 18/24 cm:
obuhvaća uređenje podloge, dobavu rubnjaka dimenzija 15/25 ili 18/24 cm od betona C30/37 otpornog na smrzavanje i soli, ugradnju na podlogu od betona C12/15 (prosječne količine 0,07 m3/m), uređenje spojnica cementnim mortom te  ostali rad i materijal na ugradnji.
Obračun po m  postavljenog rubnjaka.</t>
  </si>
  <si>
    <t>5.3.5.</t>
  </si>
  <si>
    <t>Manji popravak površinske odvodnje postavljanjem rubnjaka dimenzija 10/20 cm ili sl.:
obuhvaća uređenje podloge, nabavu i dopremu rubnjaka dimenzija 10/20 cm ili sl. od betona klase C30/37 otpornog na smrzavanje i soli, ugradnju na podlogu od betona (klase C12/15 prosječne količine 0,05 m3/m), uređenje spojnica cementnim mortom te  ostali rad i materijal na ugradnji.
Obračun po m postavljenog rubnjaka.</t>
  </si>
  <si>
    <t>Postavljanje rubnjaka dimenzija 10/20 cm ili sl.:
obuhvaća uređenje podloge, dobavu rubnjaka dimenzija 10/20 cm ili sl. od betona klase C30/37 otpornog na smrzavanje i soli, ugradnju na podlogu od betona (klase C12/15 prosječne količine 0,05 m3/m), uređenje spojnica cementnim mortom te  ostali rad i materijal na ugradnji.
Obračun po m postavljenog rubnjaka.</t>
  </si>
  <si>
    <t>5.3.6.</t>
  </si>
  <si>
    <t>Manji popravak sustava za odvodnju postavljanjem kanalica dimenzija 40/12/50 cm uz kolnik, na podlogu od betona:
obuhvaća uređenje podloge, namještanje jednostavne oplate, ugradnju podložnog betona (klase C12/15 prosječne količine 0,04 m3/m), nabavu, dopremu i ugradnju betonskih kanalica dimenzija 40/12/50 cm od betona klase C30/37 otpornog na smrzavanje i soli, zalijevanje spojnica cementnim mortom te  ostali rad i materijal na ugradnji.
Obračun po m postavljene kanalice.</t>
  </si>
  <si>
    <t>Postavljanje kanalica dimenzija 40/12/50 cm uz kolnik, na podlogu od betona:
obuhvaća uređenje podloge, namještanje jednostavne oplate, ugradnju podložnog betona (klase C12/15 prosječne količine 0,04 m3/m), dobavu i ugradnju betonskih kanalica dimenzija 40/12/50 cm od betona klase C30/37 otpornog na smrzavanje i soli, zalijevanje spojnica cementnim mortom te  ostali rad i materijal na ugradnji.
Obračun po m postavljene kanalice.</t>
  </si>
  <si>
    <t>5.3.7.</t>
  </si>
  <si>
    <t>Postavljanje kanalica dimenzije 65/28/50 cm na pokosima, na podlogu od betona:
obuhvaća uređenje podloge, namještanje jednostavne oplate, ugradnju podložnog (betona klase C12/15 prosječne količine 0,04 m3/m), nabavu, dopremu i ugradnju betonskih kanalica  dimenzija 65/28/50 cm od betona klase C30/37 otpornog na smrzavanje i soli, zalijevanje spojnica cementnim mortom te  ostali rad i materijal na ugradnji.
Obračun po m postavljene kanalice.</t>
  </si>
  <si>
    <t>Postavljanje kanalica dimenzije 65/28/50 cm na pokosima, na podlogu od betona:
obuhvaća uređenje podloge, namještanje jednostavne oplate, ugradnju podložnog (betona klase C12/15 prosječne količine 0,04 m3/m), dobavu i ugradnju betonskih kanalica  dimenzija 65/28/50 cm od betona klase C30/37 otpornog na smrzavanje i soli, zalijevanje spojnica cementnim mortom te  ostali rad i materijal na ugradnji.
Obračun po m postavljene kanalice.</t>
  </si>
  <si>
    <t>5.3.8.</t>
  </si>
  <si>
    <t>Postavljanje kanalica dimenzije 80/30/50 cm i sl., na podlogu od betona:
obuhvaća uređenje podloge, namještanje jednostavne oplate, ugradnju podložnog betona klase C12/15 prosječne količine 0,04 m3/m), nabavu, dopremu i ugradnju betonskih kanalica dimenzija 80/30/50 cm i sl.,od betona klase C30/37 otpornog na smrzavanje i soli,  zalijevanje spojnica cementnim mortom te ostali rad i materijal na ugradnji.
Obračun po m postavljene kanalice.</t>
  </si>
  <si>
    <t>Postavljanje kanalica dimenzije 80/30/50 cm i sl., na podlogu od betona:
obuhvaća uređenje podloge, namještanje jednostavne oplate, ugradnju podložnog betona klase C12/15 prosječne količine 0,04 m3/m), dobavu i ugradnju betonskih kanalica dimenzija 80/30/50 cm i sl.,od betona klase C30/37 otpornog na smrzavanje i soli,  zalijevanje spojnica cementnim mortom te  ostali rad i materijal na ugradnji.
Obračun po m postavljene kanalice.</t>
  </si>
  <si>
    <t>5.3.9.</t>
  </si>
  <si>
    <t xml:space="preserve">Popravak uljeva i izljeva propusta izradom novog opločenja: 
obuhvaća iskop (prosječne količine 0,25 m3/m2), pripremu podloge nabavom, dopremom i ugradnjom drobljenog kamenog materijala u sloju prosječne debljine 10 cm, nabavu i dopremu kamena (prosječne količine 0,15 m3/m2), namještanje kamene obloge sa utapanjem u plastični beton (klase C16/20, prosječne količine 0,10 m3/m2) sa zapunjavanjem reški između kamena, izradu potrebnih pragova (prosječne količine 0,05 m3/m2)  te  ostali rad i materijal na ugradnji.
Obračun po m2 novog opločenja.                                                                                                   </t>
  </si>
  <si>
    <t xml:space="preserve">Izrada novog opločenja dna jaraka i površina ispred uljeva i izljeva propusta: 
obuhvaća iskop (prosječne količine 0,25 m3/m2), pripremu podloge dobavom i ugradnjom drobljenog kamenog materijala u sloju prosječne debljine 10 cm, dobavu kamena (prosječne količine 0,15 m3/m2), namještanje kamene obloge sa utapanjem u plastični beton (klase C16/20, prosječne količine 0,10 m3/m2) sa zapunjavanjem reški između kamena, izradu potrebnih pragova (prosječne količine 0,05 m3/m2)  te  ostali rad i materijal na ugradnji.
Obračun po m2 novog opločenja.                                                                                                   </t>
  </si>
  <si>
    <t>5.3.10.</t>
  </si>
  <si>
    <t>Izrada glave propusta:
obuhvaća iskop za temelje i zidove (prosječne količine 1 m3/m3 betona), nabavu, dopremu i ugradnju odgovarajuće oplate, armature i betona klase C25/30 te utovar i odvoz iskopanog materijala prosječne udaljenosti 5 km te  ostali rad i materijal na ugradnji.
Obračun po m3 ugrađenog betona.</t>
  </si>
  <si>
    <t>5.3.11.</t>
  </si>
  <si>
    <t>Izrada drenaže od PVC cijevi promjera 125 mm:
obuhvaća strojni iskop rova u zemljanom materijalu (prosječne količine 0,15 m3/m), profiliranje dna rova, izradu podloge od betona (klasa C12/15, prosječne količine 0,03 m3/m), nabavu, dopremu i polaganje drenažne cijevi u rov, zatrpavanje drenažne cijevi kamenim materijalom granulacije 30-60 mm (prosječne količine 0,1 m3/m) te utovar i odvoz viška materijala na prosječnu udaljenosti 5 km.
Obračun po m kompletno izvedene drenaže.</t>
  </si>
  <si>
    <t>5.3.12.</t>
  </si>
  <si>
    <t>ODRŽAVANJE OPREME CESTE</t>
  </si>
  <si>
    <t>Ograde, smjerokazni stupići, katadiopteri</t>
  </si>
  <si>
    <t>Čišćenje smjerokaznog stupića: 
obuhvaća čišćenje odnosno pranje cijelog smjerokaznog stupića. 
Obračun po komadu kompletno očišćenog smjerokaznog stupića.</t>
  </si>
  <si>
    <t>Radnik grupa III</t>
  </si>
  <si>
    <t>6.1.2.</t>
  </si>
  <si>
    <t>Čišćenje katadioptera: 
obuhvaća čišćenje odnosno pranje katadioptera. 
Obračun po komadu očišćenog katadioptera.</t>
  </si>
  <si>
    <t>6.1.3.</t>
  </si>
  <si>
    <t>Čišćenje zaštitnih ograda: 
obuhvaća strojno čišćenje odnosno pranje zaštitnih ograda. 
Obračun po m očišćene metalne zaštitne ograde.</t>
  </si>
  <si>
    <t>6.1.4.</t>
  </si>
  <si>
    <t>Ličenje metalnih zaštitnih ograda: 
obuhvaća čišćenje plašta i nosača ograde, nabavu, dopremu i pripremu boje te ličenje ograde odgovarajućom bojom, uključujući uklanjanje i vraćanje katadioptera te ostali potreban rad i materijal.
Obračun po m2 razvijene oličene površine.</t>
  </si>
  <si>
    <t>Ličenje metalnih zaštitnih ograda: 
obuhvaća uklanjanje i vraćanje katadioptera, čišćenje plašta i nosača ograde, dobavu i pripremu boje te ličenje ograde odgovarajućom bojom, uključujući ostali potreban rad i materijal.
Obračun po m2 razvijene oličene površine.</t>
  </si>
  <si>
    <t>6.1.5.</t>
  </si>
  <si>
    <t>Ispravljanje smjerokaznog stupića: 
obuhvaća ručno ispravljanje nakrivljenog smjerokaznog stupića po vertikali i smjeru s utvrđivanjem temelja. 
Obračun po komadu ispravljenog smjerokaznog stupića.</t>
  </si>
  <si>
    <t>Ispravljanje smjerokaznog stupića: 
obuhvaća ispravljanje nakrivljenog smjerokaznog stupića po vertikali i smjeru s utvrđivanjem temelja. 
Obračun po komadu ispravljenog smjerokaznog stupića.</t>
  </si>
  <si>
    <t>6.1.6.</t>
  </si>
  <si>
    <t>Ispravljanje metalnih zaštitnih ograda: 
obuhvaća demontažu iskrivljenih dijelova ograde, ispravljanje i ponovnu montažu te poravnanje po horizontali i vertikali. 
Obračun po m popravljene metalne zaštitne ograde.</t>
  </si>
  <si>
    <t>Manji popravak metalnih zaštitnih ograda: 
obuhvaća demontažu iskrivljenih dijelova ograde, ispravljanje i ponovnu montažu te poravnanje po horizontali i vertikali. 
Obračun po m popravljene metalne zaštitne ograde.</t>
  </si>
  <si>
    <t>6.1.7.</t>
  </si>
  <si>
    <t>Manji popravak žičanih zaštitnih ograda: 
obuhvaća manji popravak žičanog pletiva, zatezanje opuštenih zateznica, poravnanje i učvršćenje stupova. 
Obračun po m2 popravljene žičane zaštitne ograde.</t>
  </si>
  <si>
    <t>6.1.8.</t>
  </si>
  <si>
    <t>Zamjena oštećenog smjerokaznog stupića: 
obuhvaća vađenje oštećenog smjerokaznog stupića, utovar i odvoz izvađenog smjerokaznog stupića na lokaciju koju određuje Naručitelj te dopremu i ugradnju novog smjerokaznog stupića.
Obračun po komadu zamijenjenog smjerokaznog stupića.</t>
  </si>
  <si>
    <t>6.1.9.</t>
  </si>
  <si>
    <t>Zamjena oštećenih dijelova žičane zaštitne ograde: 
obuhvaća uklanjanje oštećenih dijelova ograde, utovar i odvoz uklonjenih oštećenih dijelova na deponiju, nabavu, dopremu i ugradnju novih dijelova ograde, stupova, žičanog pletiva, zateznica, uključujući učvršćenje stupova i zatezanje zateznica. 
Obračun po m2 zamijenjenog dijela žičane zaštitne ograde.</t>
  </si>
  <si>
    <t>Zamjena oštećenih dijelova žičane zaštitne ograde: 
obuhvaća uklanjanje oštećenih dijelova ograde, utovar i odvoz uklonjenih oštećenih dijelova na deponiju, dobavu i ugradnju novih dijelova ograde, stupova, žičanog pletiva, zateznica, uključujući učvršćenje stupova i zatezanje zateznica. 
Obračun po m2 zamijenjenog dijela žičane zaštitne ograde.</t>
  </si>
  <si>
    <t>6.1.10.</t>
  </si>
  <si>
    <t>Izrada (nabava) i ugradnja temelja smjerokaznog stupića:
obuhvaća izradu ili nabavu i dopremu temelja (klasa betona C16/20 prosječne količine 0,01 m3/kom) s ugradnjom uz prethodno uređenje temeljne jame. 
Obračun po komadu ugrađenog temelja.</t>
  </si>
  <si>
    <t>6.1.11.</t>
  </si>
  <si>
    <t>Demontaža metalne zaštitne ograde sa stupovima u betonskoj podlozi:
obuhvaća rezanje stupova zaštitne ograde ili odvijanje pričvrsnih vijaka, uklanjanje dijelova ograde, utovar i odvoz uklonjenih dijelova ograde na lokaciju koju određuje Naručitelj, prosječne udaljenosti 15 km.
Obračun po m demontirane ograde.</t>
  </si>
  <si>
    <t>6.1.12.</t>
  </si>
  <si>
    <t>Demontaža metalne zaštitne ograde u zemljanoj ili kamenoj podlozi:
obuhvaća vađenje stupova metalne zaštitne ograde, poravnanje terena nakon vađenja, uklanjanje ostalih dijelova ograde, utovar i odvoz uklonjenih dijelova ograde na lokaciju koju određuje Naručitelj, prosječne udaljenosti 15 km.
Obračun po m demontirane ograde.</t>
  </si>
  <si>
    <t>6.1.13.</t>
  </si>
  <si>
    <t>Postavljanje metalne zaštitne ograde sa stupovima u zemljanoj ili kamenoj podlozi u duljini do 20 m po lokaciji: 
obuhvaća nabavu i dopremu plašta JO ili JDO, stupa i ostalog materijala potrebnog za montažu ograde, ugradnju stupova sa pobijanjem i poravnanjem po vertikali i horizontali.
Obračun po m ugrađenog plašta odbojne ograde.</t>
  </si>
  <si>
    <t>Ugradnja metalne zaštitne ograde sa stupovima u zemljanoj ili kamenoj podlozi u duljini do 20 m po lokaciji: 
obuhvaća dobavu plašta JO ili JDO, stupa i ostalog materijala potrebnog za montažu ograde, ugradnju stupova sa pobijanjem i poravnanjem po vertikali i horizontali.
Obračun po m ugrađenog plašta odbojne ograde.</t>
  </si>
  <si>
    <t>6.1.14.</t>
  </si>
  <si>
    <t>Postavljanje metalne zaštitne ograde sa stupovima u betonskoj podlozi u duljini do 20 m po lokaciji: 
obuhvaća nabavu i dopremu plašta JO ili JDO, stupa i ostalog materijala potrebnog za montažu ograde, ugradnju stupova na razmaku od 4,0 m u betonskoj pasici (prosječne dubine 20 cm) sa zaljevanjem rupa cementnim mortom i poravnanje po vertikali i horizontali.
Obračun po m ugrađenog plašta odbojne ograde.</t>
  </si>
  <si>
    <t>Ugradnja metalne zaštitne ograde sa stupovima u betonskoj podlozi u duljini do 20 m po lokaciji: 
obuhvaća dobavu plašta JO ili JDO, stupa i ostalog materijala potrebnog za montažu ograde, ugradnju stupova na razmaku od 4,0 m u betonskoj pasici (prosječne dubine 20 cm) sa zaljevanjem rupa cementnim mortom i poravnanje po vertikali i horizontali.
Obračun po m ugrađenog plašta odbojne ograde.</t>
  </si>
  <si>
    <t>6.1.15.</t>
  </si>
  <si>
    <t>Postavljanje metalne zaštitne ograde s vijcima i sidrenim pločama u betonsku podlogu u duljini do 20 m po lokaciji: 
obuhvaća nabavu i dopremu plašta JO ili JDO, stupa i ostalog materijala potrebnog za montažu ograde, ugradnju stupova bušenjem rupa, učvršćenje stupova vijčanom vezom te poravnanje po vertikali i horizontali.
Obračun po m ugrađenog plašta odbojne ograde.</t>
  </si>
  <si>
    <t>Ugradnja metalne zaštitne ograde vijčanom vezom u betonsku podlogu u duljini do 20 m po lokaciji: 
obuhvaća dobavu plašta JO ili JDO, stupa i ostalog materijala potrebnog za montažu ograde, ugradnju stupova bušenjem rupa, učvršćenje stupova vijčanom vezom te poravnanje po vertikali i horizontali.
Obračun po m ugrađenog plašta odbojne ograde.</t>
  </si>
  <si>
    <t>6.1.16.</t>
  </si>
  <si>
    <t>Postavljanje konzolne metalne zaštitne ograde sa stupovima u betonskoj podlozi u duljini do 20 m po lokaciji: 
obuhvaća nabavu i dopremu plašta JO ili JDO, stupa i ostalog materijala potrebnog za montažu ograde, uključujući iskop betona i kolnika, postavu "Z" stupova i zaljevanje betonom (klase C25/30, prosječne količine 0,02 m3) i poravnanje po vertikali i horizontali.
Obračun po m ugrađenog plašta odbojne ograde.</t>
  </si>
  <si>
    <t>Ugradnja konzolne metalne zaštitne ograde sa stupovima u betonskoj podlozi u duljini do 20 m po lokaciji: 
obuhvaća dobavu plašta JO ili JDO, stupa i ostalog materijala potrebnog za montažu ograde, uključujući iskop betona i kolnika, postavu "Z" stupova i zaljevanje betonom (klase C25/30, prosječne količine 0,02 m3) i poravnanje po vertikali i horizontali.
Obračun po m ugrađenog plašta odbojne ograde.</t>
  </si>
  <si>
    <t>6.1.17.</t>
  </si>
  <si>
    <t>Postavljanje metalne zaštitne ograde sa stupovima u zemljanoj ili kamenoj podlozi u duljini preko 20 m do 100 m po lokaciji: 
obuhvaća nabavu i dopremu plašta JO ili JDO, stupa i ostalog materijala potrebnog za montažu ograde, ugradnju stupova sa pobijanjem i poravnanjem po vertikali i horizontali.
Obračun po m ugrađenog plašta odbojne ograde.</t>
  </si>
  <si>
    <t>Ugradnja metalne zaštitne ograde sa stupovima u zemljanoj ili kamenoj podlozi u duljini preko 20 m po lokaciji: 
obuhvaća dobavu plašta JO ili JDO, stupa i ostalog materijala potrebnog za montažu ograde, ugradnju stupova sa pobijanjem i poravnanjem po vertikali i horizontali.
Obračun po m ugrađenog plašta odbojne ograde.</t>
  </si>
  <si>
    <t>6.1.18.</t>
  </si>
  <si>
    <t>Postavljanje metalne zaštitne ograde sa stupovima u betonskoj podlozi u duljini preko 20 m do 100 m po lokaciji: 
obuhvaća nabavu i dopremu plašta JO ili JDO, stupa i ostalog materijala potrebnog za montažu ograde, ugradnju stupova na razmaku od 4,0 m u betonskoj pasici (prosječne dubine 20 cm) sa zaljevanjem rupa cementnim mortom i poravnanje po vertikali i horizontali.
Obračun po m ugrađenog plašta odbojne ograde.</t>
  </si>
  <si>
    <t>Ugradnja metalne zaštitne ograde sa stupovima u betonskoj podlozi u duljini preko 20 m po lokaciji: 
obuhvaća dobavu plašta JO ili JDO, stupa i ostalog materijala potrebnog za montažu ograde, ugradnju stupova na razmaku od 4,0 m u betonskoj pasici (prosječne dubine 20 cm) sa zaljevanjem rupa cementnim mortom i poravnanje po vertikali i horizontali.
Obračun po m ugrađenog plašta odbojne ograde.</t>
  </si>
  <si>
    <t>6.1.19.</t>
  </si>
  <si>
    <t>Ugradnja metalne zaštitne ograde u betonsku podlogu sa vijčanom vezom u duljini preko 20 m po lokaciji: 
obuhvaća nabavu i dopremu plašta JO ili JDO, stupa i ostalog materijala potrebnog za montažu ograde, ugradnju stupova bušenjem rupa, učvršćenje stupova vijčanom vezom te poravnanje po vertikali i horizontali.
Obračun po m ugrađenog plašta odbojne ograde.</t>
  </si>
  <si>
    <t>Ugradnja metalne zaštitne ograde u betonsku podlogu sa vijčanom vezom u duljini preko 20 m po lokaciji: 
obuhvaća dobavu plašta JO ili JDO, stupa i ostalog materijala potrebnog za montažu ograde, ugradnju stupova bušenjem rupa, učvršćenje stupova vijčanom vezom te poravnanje po vertikali i horizontali.
Obračun po m ugrađenog plašta odbojne ograde.</t>
  </si>
  <si>
    <t>6.1.20.</t>
  </si>
  <si>
    <t>Postavljanje konzolne metalne zaštitne ograde s vijcima i sidrenim pločama u betonskoj podlozi u duljini preko 20 m do 100 m po lokaciji: 
obuhvaća nabavu i dopremu plašta JO ili JDO, stupa i ostalog materijala potrebnog za montažu ograde, uključujući iskop betona i kolnika, postavu "Z" stupova i zaljevanje betonom (klase C25/30, prosječne količine 0,02 m3) i poravnanje po vertikali i horizontali.
Obračun po m ugrađenog plašta odbojne ograde.</t>
  </si>
  <si>
    <t>Ugradnja konzolne metalne zaštitne ograde sa stupovima u betonskoj podlozi u duljini preko 20 m po lokaciji: 
obuhvaća dobavu plašta JO ili JDO, stupa i ostalog materijala potrebnog za montažu ograde, uključujući iskop betona i kolnika, postavu "Z" stupova i zaljevanje betonom (klase C25/30, prosječne količine 0,02 m3) i poravnanje po vertikali i horizontali.
Obračun po m ugrađenog plašta odbojne ograde.</t>
  </si>
  <si>
    <t>6.1.21.</t>
  </si>
  <si>
    <t>Postavljanje betonske zaštitne ograde New Jersey:
obuhvaća nabavu, dopremu i postavljanje zaštitne ograde New Jersey na uređenu podlogu sa popunjavanjem spojnica cementnim mortom.
Obračun po m postavljene zaštitne ograde.</t>
  </si>
  <si>
    <t>Postavljanje betonske zaštitne ograde New Yersey:
obuhvaća dobavu i postavljanje zaštitne ograde New Yersey na uređenu podlogu sa popunjavanjem spojnica cementnim mortom.
Obračun po m postavljene zaštitne ograde.</t>
  </si>
  <si>
    <t>Teretni automobil nosivosti 3,5-12 t sa dizalicom (min. 155 kW; kran nosivosti 7 t)</t>
  </si>
  <si>
    <t>6.1.22.</t>
  </si>
  <si>
    <t>Postavljanje reflektirajuće oznake (katadioptera) na zaštitnu ogradu: 
obuhvaća postavljanje reflektirajućih oznaka na zaštitne ograde, uključujući nabavu i dopremu katadioptera te sav ostali potreban rad i vezni materijal. 
Obračun po komadu postavljene reflektirajuće oznake (katadioptera).</t>
  </si>
  <si>
    <t>Postavljanje reflektirajuće oznake (katadioptera) na zaštitnu ogradu: 
obuhvaća postavljanje reflektirajućih oznaka na zaštitne ograde, uključujući  potreban rad i vezni materijal. 
Obračun po komadu postavljene reflektirajuće oznake (katadioptera).</t>
  </si>
  <si>
    <t>6.1.23.</t>
  </si>
  <si>
    <t>Postavljanje reflektirajuće oznake (katadioptera) na zid i slične površine: 
obuhvaća postavljanje reflektirajućih oznaka na zid i slične površine, uključujući nabavu i dopremu katadioptera te sav ostali potreban rad i vezni materijal. 
Obračun po komadu postavljene reflektirajuće oznake (katadioptera).</t>
  </si>
  <si>
    <t>Postavljanje reflektirajuće oznake (katadioptera) na zid i slične površine: 
obuhvaća postavljanje reflektirajućih oznaka na zid i slične površine, uključujući  potreban rad i vezni materijal. 
Obračun po komadu postavljene reflektirajuće oznake (katadioptera).</t>
  </si>
  <si>
    <t>Vertikalna prometna signalizacija i oprema</t>
  </si>
  <si>
    <t>Čišćenje prometnog znaka površine do 2 m2: 
obuhvaća čišćenje s pranjem površina prometnog znaka i stupa. 
Obračun po komadu kompletno očišćenog prometnog znaka.</t>
  </si>
  <si>
    <t>Čišćenje prometnog znaka: 
obuhvaća čišćenje odnosno pranje površina prometnog znaka i stupa. 
Obračun po komadu kompletno očišćenog prometnog znaka.</t>
  </si>
  <si>
    <t xml:space="preserve">norma </t>
  </si>
  <si>
    <t>2005.</t>
  </si>
  <si>
    <t>6.2.2.</t>
  </si>
  <si>
    <t>Čišćenje prometne ploče površine od 2 m2 do 8 m2: 
obuhvaća čišćenje s pranjem površina prometne ploče i stupa. 
Obračun po komadu kompletno očišćene prometne ploče.</t>
  </si>
  <si>
    <t>Čišćenje prometne ploče: 
obuhvaća čišćenje odnosno pranje površina prometne ploče i stupa. 
Obračun po komadu kompletno očišćene prometne ploče.</t>
  </si>
  <si>
    <t>6.2.3.</t>
  </si>
  <si>
    <t>Ispravljanje prometnog znaka: 
obuhvaća ispravljanje prometnog znaka i stupa prometnog znaka po vertikali i smjeru te učvršćenje.
Obračun po komadu popravljenog prometnog znaka.</t>
  </si>
  <si>
    <t>Popravak prometnog znaka: 
obuhvaća ispravljanje prometnog znaka i stupa prometnog znaka po vertikali i smjeru te učvršćenje.
Obračun po komadu popravljenog prometnog znaka.</t>
  </si>
  <si>
    <t>6.2.4.</t>
  </si>
  <si>
    <t>Ispravljanje prometne ploče: 
obuhvaća ispravljanje prometne ploče i stupa prometne ploče po vertikali i smjeru te učvršćenje. 
Obračun po komadu popravljene prometne ploče.</t>
  </si>
  <si>
    <t>Popravak prometne ploče: 
obuhvaća ispravljanje prometne ploče i stupa prometne ploče po vertikali i smjeru te učvršćenje. 
Obračun po komadu popravljene prometne ploče.</t>
  </si>
  <si>
    <t>6.2.5.</t>
  </si>
  <si>
    <t>Zamjena prometnog znaka: 
obuhvaća uklanjanje prometnog znaka sa stupa, nabavu, dopremu i montažu novog prometnog znaka te utovar i odvoz uklonjenog znaka na lokaciju koju određuje Naručitelj, prosječne udaljenosti 15 km.
Obračun po komadu.</t>
  </si>
  <si>
    <t>Zamjena prometnog znaka: 
obuhvaća uklanjanje prometnog znaka sa stupa, montažu novog prometnog znaka bez troška materijala te utovar i odvoz uklonjenog znaka na lokaciju koju određuje Naručitelj, prosječne udaljenosti 15 km.
Obračun po komadu zamijenjenog prometnog znaka.</t>
  </si>
  <si>
    <t>kom</t>
  </si>
  <si>
    <t>6.2.6.</t>
  </si>
  <si>
    <t>Zamjena prometne ploče do 2 m2: 
obuhvaća uklanjanje prometne ploče sa stupova, nabavu, dopremu i montažu nove prometne ploče te utovar i odvoz uklonjene ploče na lokaciju koju određuje Naručitelj, prosječne udaljenosti 15 km. 
Obračun po komadu.</t>
  </si>
  <si>
    <t>Zamjena prometne ploče do 2 m2: 
obuhvaća uklanjanje prometne ploče sa stupova, montažu nove prometne ploče bez troška materijala te utovar i odvoz uklonjene ploče na lokaciju koju određuje Naručitelj, prosječne udaljenosti 15 km. 
Obračun po komadu zamijenjene prometne ploče.</t>
  </si>
  <si>
    <t>6.2.7.</t>
  </si>
  <si>
    <t>Zamjena prometne ploče od 2 - 8 m2: 
obuhvaća uklanjanje prometne ploče sa stupova, nabavu, dopremu i montažu nove prometne ploče te utovar i odvoz uklonjene ploče na lokaciju koju određuje Naručitelj, prosječne udaljenosti 15 km.
Obračun po komadu.</t>
  </si>
  <si>
    <t>Zamjena prometne ploče od 2 - 8 m2: 
obuhvaća uklanjanje prometne ploče sa stupova, montažu nove prometne ploče bez troška materijala te utovar i odvoz uklonjene ploče na lokaciju koju određuje Naručitelj, prosječne udaljenosti 15 km.
Obračun po komadu montirane prometne ploče.</t>
  </si>
  <si>
    <t>6.2.8.</t>
  </si>
  <si>
    <t>Zamjena prometne ploče veće od 8 m2: 
obuhvaća uklanjanje prometne ploče sa stupova, nabavu, dopremu i montažu nove prometne ploče te utovar i odvoz uklonjene ploče na lokaciju koju određuje Naručitelj, prosječne udaljenosti 15 km.
Obračun po komadu.</t>
  </si>
  <si>
    <t>Zamjena prometne ploče veće od 8 m2: 
obuhvaća uklanjanje prometne ploče sa stupova, montažu nove prometne ploče bez troška materijala te utovar i odvoz uklonjene ploče na lokaciju koju određuje Naručitelj, prosječne udaljenosti 15 km.
Obračun po komadu montirane prometne ploče.</t>
  </si>
  <si>
    <t>6.2.9.</t>
  </si>
  <si>
    <t>Strojni iskop za temelje prometnih znakova u kamenom materijalu:
obuhvaća strojni iskop u kamenom materijalu sa odvozom viška materijala na prosječnu udaljenost 5 km.
Obračun po m3 iskopanog materijala.</t>
  </si>
  <si>
    <t>Strojni iskop temeljne jame u kamenom materijalu:
obuhvaća strojni iskop u kamenom materijalu sa odvozom viška materijala na prosječnu udaljenost 5 km.
Obračun po m3 iskopanog materijala.</t>
  </si>
  <si>
    <t>Pneumatski čekić</t>
  </si>
  <si>
    <t>6.2.10.</t>
  </si>
  <si>
    <t>Strojni iskop za temelje prometnih znakova u zemljanom materijalu:
obuhvaća strojni iskop u zemljanom materijalu sa odvozom viška materijala na prosječnu udaljenost 5 km.
Obračun po m3 iskopanog materijala.</t>
  </si>
  <si>
    <t>Strojni iskop temeljne jame u zemljanom materijalu:
obuhvaća strojni iskop u zemljanom materijalu sa odvozom viška materijala na prosječnu udaljenost 5 km.
Obračun po m3 iskopanog materijala.</t>
  </si>
  <si>
    <t>6.2.11.</t>
  </si>
  <si>
    <t>Izrada ili nabava i ugradnja temelja prometnih znakova ili ploča:
obuhvaća izradu ili nabavu i dopremu temelja (prosječne količine 0,0325 m3 betona klase C16/20) s ugradnjom uz prethodno uređenje postojeće temeljne jame. 
Obračun po komadu ugrađenog temelja.</t>
  </si>
  <si>
    <t>6.2.12.</t>
  </si>
  <si>
    <t>Izrada trakastih i drugih temelja prometnih znakova ili ploča:
obuhvaća izradu trakastih i drugih temelja klase betona C16/20, uz prethodno uređenje postojeće temeljne jame, te potrebnu oplatu i ostali rad i materijal.
Obračun po m3 izrađenog temelja.</t>
  </si>
  <si>
    <t>6.2.13.</t>
  </si>
  <si>
    <t xml:space="preserve">Demontaža stupova prometnih znakova ili ploča: 
obuhvaća demontažu oštećenog stupa te utovar i odvoz oštećenog stupa na lokaciju koju određuje Naručitelj, prosječne udaljenosti 15 km. 
Obračun po komadu demontiranog stupa. </t>
  </si>
  <si>
    <t>6.2.14.</t>
  </si>
  <si>
    <t>Ugradnja stupova prometnih znakova i ploča: 
obuhvaća nabavu i dopremu stupa s ugradnjom u temelj (u cijeni nije uključena cijena temelja).
Obračun po m ugrađenog stupa.</t>
  </si>
  <si>
    <t>Ugradnja stupova prometnih znakova i ploča: 
obuhvaća dopremu stupa s ugradnjom u temelj (u cijeni nije uključena cijena stupa i temelja).
Obračun po m ugrađenog stupa.</t>
  </si>
  <si>
    <t>6.2.15.</t>
  </si>
  <si>
    <t>Ugradnja INP nosača za prometne ploče:
obuhvaća nabavu i dopremu INP nosača s ugradnjom u trakasti temelj (u cijeni nije uključena cijena temelja).
Obračun po m ugrađenog nosača.</t>
  </si>
  <si>
    <t>Ugradnja INP nosača za prometne ploče:
obuhvaća dopremu INP nosača s ugradnjom u trakasti temelj (u cijeni nije uključena cijena stupa i temelja).
Obračun po m ugrađenog nosača.</t>
  </si>
  <si>
    <t>Oznake na kolniku</t>
  </si>
  <si>
    <t>Uzdužne oznake na kolniku</t>
  </si>
  <si>
    <t>6.3.1.1.</t>
  </si>
  <si>
    <t>Pune crte</t>
  </si>
  <si>
    <t>6.3.1.1.1.</t>
  </si>
  <si>
    <t>Obnavljanje pune razdjelne crte širine 15 cm (220/400 μm): 
obuhvaća obnavljanje crte samohodnim strojem s automatskom regulacijom nanošenja boje debljine suhog sloja 220 μm (0,63 kg/m2) odnosno vlažnog sloja 400 μm i dodatkom staklenih kuglica veličine 100-600 μm ili 125-800 μm u količini od 325 g/m2.
Obračun po m obnovljene crte.</t>
  </si>
  <si>
    <t>6.3.1.1.4.</t>
  </si>
  <si>
    <t>Samohodni stroj za oznake na kolniku</t>
  </si>
  <si>
    <t>Trokolica</t>
  </si>
  <si>
    <t>6.3.1.1.2.</t>
  </si>
  <si>
    <t>Obnavljanje pune razdjelne crte širine 15 cm (330/600 μm): 
obuhvaća obnavljanje crte samohodnim strojem s automatskom regulacijom nanošenja boje debljine suhog sloja 330 μm (0,94 kg/m2) odnosno vlažnog sloja 600 μm i dodatkom staklenih kuglica za vlažne uvjete veličine 200-1400 μm u količini od 600 g/m2. 
Obračun po m obnovljene crte.</t>
  </si>
  <si>
    <t>6.3.1.1.5.</t>
  </si>
  <si>
    <t>6.3.1.1.3.</t>
  </si>
  <si>
    <t>Obnavljanje pune razdjelne crte širine 20 cm (220/400 μm): 
obuhvaća obnavljanje crte samohodnim strojem s automatskom regulacijom nanošenja boje debljine suhog sloja 220 μm (0,63 kg/m2) odnosno vlažnog sloja 400 μm i dodatkom staklenih kuglica veličine 100-600 μm ili 125-800 μm u količini od 325 g/m2.
Obračun po m obnovljene crte.</t>
  </si>
  <si>
    <t>6.3.1.1.6.</t>
  </si>
  <si>
    <t>Obnavljanje pune razdjelne crte širine 20 cm (330/600 μm): 
obuhvaća obnavljanje crte samohodnim strojem s automatskom regulacijom nanošenja boje debljine suhog sloja 330 μm (0,94 kg/m2) odnosno vlažnog sloja 600 μm i dodatkom staklenih kuglica za vlažne uvjete veličine 200-1400 μm u količini od 600 g/m2. 
Obračun po m obnovljene crte.</t>
  </si>
  <si>
    <t>6.3.1.1.7.</t>
  </si>
  <si>
    <t>Obnavljanje pune rubne crte širine 15 cm (220/400 μm):
obuhvaća obnavljanje crte samohodnim strojem s automatskom regulacijom nanošenja boje debljine suhog sloja 220 μm (0,63 kg/m2) odnosno vlažnog sloja 400 μm i dodatkom staklenih kuglica veličine 100-600 μm ili 125-800 μm u količini od 325 g/m2.
Obračun po m obnovljene crte.</t>
  </si>
  <si>
    <t>6.3.1.1.11.</t>
  </si>
  <si>
    <t>Obnavljanje pune rubne crte širine 15 cm (330/600 μm): 
obuhvaća obnavljanje crte samohodnim strojem s automatskom regulacijom nanošenja boje debljine suhog sloja 330 μm (0,94 kg/m2) odnosno vlažnog sloja 600 μm i dodatkom staklenih kuglica za vlažne uvjete veličine 200-1400 μm u količini od 600 g/m2. 
Obračun po m obnovljene crte.</t>
  </si>
  <si>
    <t>6.3.1.1.12.</t>
  </si>
  <si>
    <t>Obnavljanje pune rubne crte širine 20 cm (220/400 μm): 
obuhvaća obnavljanje crte samohodnim strojem s automatskom regulacijom nanošenja boje debljine suhog sloja 220 μm (0,63 kg/m2) odnosno vlažnog sloja 400 μm i dodatkom staklenih kuglica veličine 100-600 μm ili 125-800 μm u količini od 325 g/m2.
Obračun po m obnovljene crte.</t>
  </si>
  <si>
    <t>6.3.1.1.13.</t>
  </si>
  <si>
    <t>6.3.1.1.8.</t>
  </si>
  <si>
    <t>Obnavljanje pune rubne crte širine 20 cm (330/600 μm): 
obuhvaća obnavljanje crte samohodnim strojem s automatskom regulacijom nanošenja boje debljine suhog sloja 330 μm (0,94 kg/m2) odnosno vlažnog sloja 600 μm i dodatkom staklenih kuglica za vlažne uvjete veličine 200-1400 μm u količini od 600 g/m2. 
Obračun po m obnovljene crte.</t>
  </si>
  <si>
    <t>6.3.1.1.14.</t>
  </si>
  <si>
    <t>6.3.1.2.</t>
  </si>
  <si>
    <t>Isprekidane crte</t>
  </si>
  <si>
    <t>6.3.1.2.1.</t>
  </si>
  <si>
    <t>Obnavljanje isprekidane razdjelne crte širine 15 cm (220/400 μm): 
obuhvaća obnavljanje crte samohodnim strojem s automatskom regulacijom nanošenja boje debljine suhog sloja 220 μm (0,63 kg/m2) odnosno vlažnog sloja 400 μm i dodatkom staklenih kuglica veličine 100-600 μm ili 125-800 μm u količini od 325 g/m2.
Obračun po m obnovljene crte.</t>
  </si>
  <si>
    <t>6.3.1.2.4.</t>
  </si>
  <si>
    <t>6.3.1.2.2.</t>
  </si>
  <si>
    <t>Obnavljanje isprekidane razdjelne crte širine 15 cm (330/600 μm): 
obuhvaća obnavljanje crte samohodnim strojem s automatskom regulacijom nanošenja boje debljine suhog sloja 330 μm (0,94 kg/m2) odnosno vlažnog sloja 600 μm i dodatkom staklenih kuglica za vlažne uvjete veličine 200-1400 μm u količini od 600 g/m2. 
Obračun po m obnovljene crte.</t>
  </si>
  <si>
    <t>6.3.1.2.5.</t>
  </si>
  <si>
    <t>6.3.1.2.3.</t>
  </si>
  <si>
    <t>Obnavljanje isprekidane razdjelne crte širine 20 cm (220/400 μm): 
obuhvaća obnavljanje crte samohodnim strojem s automatskom regulacijom nanošenja boje debljine suhog sloja 220 μm (0,63 kg/m2) odnosno vlažnog sloja 400 μm i dodatkom staklenih kuglica veličine 100-600 μm ili 125-800 μm u količini od 325 g/m2.
Obračun po m obnovljene crte.</t>
  </si>
  <si>
    <t>6.3.1.2.6.</t>
  </si>
  <si>
    <t>Obnavljanje isprekidane razdjelne crte širine 20 cm (330/600 μm): 
obuhvaća obnavljanje crte samohodnim strojem s automatskom regulacijom nanošenja boje debljine suhog sloja 330 μm (0,94 kg/m2) odnosno vlažnog sloja 600 μm i dodatkom staklenih kuglica za vlažne uvjete veličine 200-1400 μm u količini od 600 g/m2. 
Obračun po m obnovljene crte.</t>
  </si>
  <si>
    <t>6.3.1.2.7.</t>
  </si>
  <si>
    <t>Obnavljanje isprekidane rubne crte širine 15 cm (220/400 μm): 
obuhvaća obnavljanje crte samohodnim strojem s automatskom regulacijom nanošenja boje debljine suhog sloja 220 μm (0,63 kg/m2) odnosno vlažnog sloja 400 μm i dodatkom staklenih kuglica veličine 100-600 μm ili 125-800 μm u količini od 325 g/m2.
Obračun po m obnovljene crte.</t>
  </si>
  <si>
    <t>6.3.1.2.11.</t>
  </si>
  <si>
    <t>Obnavljanje isprekidane rubne crte širine 15 cm (330/600 μm): 
obuhvaća obnavljanje crte samohodnim strojem s automatskom regulacijom nanošenja boje debljine suhog sloja 330 μm (0,94 kg/m2) odnosno vlažnog sloja 600 μm i dodatkom staklenih kuglica za vlažne uvjete veličine 200-1400 μm u količini od 600 g/m2. 
Obračun po m obnovljene crte.</t>
  </si>
  <si>
    <t>6.3.1.2.12.</t>
  </si>
  <si>
    <t>Obnavljanje isprekidane rubne crte širine 20 cm (220/400 μm): 
obuhvaća obnavljanje crte samohodnim strojem s automatskom regulacijom nanošenja boje debljine suhog sloja 220 μm (0,63 kg/m2) odnosno vlažnog sloja 400 μm i dodatkom staklenih kuglica veličine 100-600 μm ili 125-800 μm u količini od 325 g/m2.
Obračun po m obnovljene crte.</t>
  </si>
  <si>
    <t>6.3.1.2.13.</t>
  </si>
  <si>
    <t>6.3.2.</t>
  </si>
  <si>
    <t>Poprečne oznake na kolniku</t>
  </si>
  <si>
    <t>6.3.2.1.</t>
  </si>
  <si>
    <t>Obnavljanje pješačkog prijelaza (220/400 μm): 
obuhvaća obnavljanje pješačkog prijelaza nanošenjem boje debljine suhog sloja 220 μm (0,63 kg/m2) odnosno vlažnog sloja 400 μm ručno vođenim strojem s bezračnim ("Airless") rasprskavajućim pištoljem i dodatkom staklenih kuglica veličine 100-600 μm ili 125-800 μm u količini od 325 g/m2.
Obračun po bruto površini obnovljenog pješačkog prijelaza.</t>
  </si>
  <si>
    <t>6.3.2.2.</t>
  </si>
  <si>
    <t>Ručno vođeni stroj za nanošenje boje sa bezračnim "Airless" rasprskavajućim pištoljem</t>
  </si>
  <si>
    <t>Obnavljanje pješačkog prijelaza (330/600 μm): 
obuhvaća obnavljanje pješačkog prijelaza nanošenjem boje debljine suhog sloja 330 μm (0,94 kg/m2) odnosno vlažnog sloja 600 μm ručno vođenim strojem s bezračnim ("Airless") rasprskavajućim pištoljem i dodatkom staklenih perli za vlažne uvjete veličine 200-1400 μm u količini od 600 g/m2. 
Obračun po bruto površini obnovljenog pješačkog prijelaza.</t>
  </si>
  <si>
    <t>6.3.2.3.</t>
  </si>
  <si>
    <t>Obnavljanje pune poprečne i kose oznake (220/400 μm): 
obuhvaća obnavljanje pune poprečne i kose oznake (crte zaustavljanja, kosnika, graničnika i sl.) nanošenjem boje debljine suhog sloja 220 μm (0,63 kg/m2) odnosno vlažnog sloja 400 μm ručno vođenim strojem s bezračnim ("Airless") rasprskavajućim pištoljem i dodatkom staklenih kuglica veličine 100-600 μm ili 125-800 μm u količini od 325 g/m2.
Obračun po neto obnovljenoj površini oznake.</t>
  </si>
  <si>
    <t>6.3.2.4.</t>
  </si>
  <si>
    <t>Obnavljanje pune poprečne i kose oznake (330/600 μm): 
obuhvaća obnavljanje pune poprečne i kose oznake (crte zaustavljanja, kosnika, graničnika i sl.) nanošenjem boje debljine suhog sloja 330 μm (0,94 kg/m2) odnosno vlažnog sloja 600 μm ručno vođenim strojem s bezračnim ("Airless") rasprskavajućim pištoljem i dodatkom staklenih perli za vlažne uvjete veličine 200-1400 μm u količini od 600 g/m2. 
Obračun po neto obnovljenoj površini oznake.</t>
  </si>
  <si>
    <t>6.3.2.5.</t>
  </si>
  <si>
    <t>Obnavljanje isprekidane poprečne oznake (220/400 μm):
obuhvaća obnavljanje isprekidane poprečne oznake (crte zaustavljanja, prijelaza biciklističke staze preko kolnika i sl.) nanošenjem boje debljine suhog sloja 220 μm (0,63 kg/m2) odnosno vlažnog sloja 400 μm ručno vođenim strojem s bezračnim ("Airless") rasprskavajućim pištoljem i dodatkom staklenih kuglica veličine 100-600 μm ili 125-800 μm u količini od 325 g/m2.
Obračun po bruto obnovljenoj površini.</t>
  </si>
  <si>
    <t>6.3.2.6.</t>
  </si>
  <si>
    <t>Obnavljanje isprekidane poprečne oznake (330/600 μm):
obuhvaća obnavljanje isprekidane poprečne oznake (crte zaustavljanja, prijelaza biciklističke staze preko kolnika i sl.) nanošenjem boje debljine suhog sloja 330 μm (0,94 kg/m2) odnosno vlažnog sloja 600 μm ručno vođenim strojem s bezračnim ("Airless") rasprskavajućim pištoljem i dodatkom staklenih perli za vlažne uvjete veličine 200-1400 μm u količini od 600 g/m2. 
Obračun po bruto obnovljenoj površini.</t>
  </si>
  <si>
    <t>6.3.2.7.</t>
  </si>
  <si>
    <t>6.3.3.</t>
  </si>
  <si>
    <t>Ostale oznake na kolniku</t>
  </si>
  <si>
    <t>6.3.3.1.</t>
  </si>
  <si>
    <t>Obnavljanje strelica za obvezan smjer kretanja vozila (220/400 µm): 
obuhvaća obnavljanje strelica za obvezan smjer kretanja vozila nanošenjem boje debljine suhog sloja 220 μm (0,63 kg/m2) odnosno vlažnog sloja 400 μm ručno vođenim strojem s bezračnim ("Airless") rasprskavajućim pištoljem i dodatkom staklenih kuglica veličine 100-600 μm ili 125-800 μm u količini od 325 g/m2.
Obračun po m2 neto obnovljene strelice.</t>
  </si>
  <si>
    <t>6.3.3.2.</t>
  </si>
  <si>
    <t>Obnavljanje polja za usmjeravanje prometa (220/400 μm): 
obuhvaća obnavljanje polja za usmjeravanje prometa nanošenjem boje debljine suhog sloja 220 μm (0,63 kg/m2) odnosno vlažnog sloja 400 μm ručno vođenim strojem s bezračnim ("Airless") rasprskavajućim pištoljem i dodatkom staklenih kuglica veličine 100-600 μm ili 125-800 μm u količini od 325 g/m2.
Obračun po bruto površini obnovljenog polja unutar rubnih crta.</t>
  </si>
  <si>
    <t>6.3.3.3.</t>
  </si>
  <si>
    <t>Obnavljanje pojedinačnih natpisa "STOP", "TRAM", "ŠKOLA", "VLAK", "BUS", "TAXI" i sl. (220/400 µm):
obuhvaća obnavljanje pojedinačnih natpisa nanošenjem boje debljine suhog sloja 220 μm (0,63 kg/m2) odnosno vlažnog sloja 400 μm ručno vođenim strojem s bezračnim ("Airless") rasprskavajućim pištoljem i dodatkom staklenih kuglica veličine 100-600 μm ili 125-800 μm u količini od 325 g/m2.
Obračun po m2 bruto površine obnovljenog natpisa.</t>
  </si>
  <si>
    <t>6.3.3.4.</t>
  </si>
  <si>
    <t>Obnavljanje oznaka na prometnim površinama za posebne namjene (220/400 µm):  
obuhvaća obnavljanje oznaka na prometnim površinama za posebne namjene (oznaka "X", oznaka na autobusnim stajalištima i druge slične oznake bez natpisa) nanošenjem boje debljine suhog sloja 220 μm (0,63 kg/m2) odnosno vlažnog sloja 400 μm ručno vođenim strojem s bezračnim ("Airless") rasprskavajućim pištoljem i dodatkom staklenih kuglica veličine 100-600 μm ili 125-800 μm u količini od 325 g/m2.
Obračun po m2 neto obnovljene oznake.</t>
  </si>
  <si>
    <t>6.3.3.5.</t>
  </si>
  <si>
    <t>Obnavljanje oznake "mjesto rezervirano za invalide" (220/400 μm): 
obuhvaća obnavljanje oznake "mjesto rezervirano za invalide" nanošenjem boje debljine suhog sloja 220 μm (0,63 kg/m2) odnosno vlažnog sloja 400 μm ručno vođenim strojem s bezračnim ("Airless") rasprskavajućim pištoljem i dodatkom staklenih kuglica veličine 100-600 μm ili 125-800 μm u količini od 325 g/m2.
Obračun po komadu obnovljene oznake.</t>
  </si>
  <si>
    <t>6.3.3.6.</t>
  </si>
  <si>
    <t>Obnavljanje mjesta za parkiranje osobnih vozila (220/400 μm): 
obuhvaća obnavljanje oznake mjesta za parkiranje osobnih vozila nanošenjem boje debljine suhog sloja 220 μm (0,63 kg/m2) odnosno vlažnog sloja 400 μm ručno vođenim strojem s bezračnim ("Airless") rasprskavajućim pištoljem i dodatkom staklenih kuglica veličine 100-600 μm ili 125-800 μm u količini od 325 g/m2.
Obračun po komadu obnovljenog mjesta za parkiranje.</t>
  </si>
  <si>
    <t>6.3.3.7.</t>
  </si>
  <si>
    <t>Obnavljanje mjesta za parkiranje autobusa (220/400 μm): 
obuhvaća obnavljanje oznake mjesta za parkiranje autobusa nanošenjem boje debljine suhog sloja 220 μm (0,63 kg/m2) odnosno vlažnog sloja 400 μm ručno vođenim strojem s bezračnim ("Airless") rasprskavajućim pištoljem i dodatkom staklenih kuglica veličine 100-600 μm ili 125-800 μm u količini od 325 g/m2.
Obračun po komadu obnovljenog mjesta za parkiranje.</t>
  </si>
  <si>
    <t>6.3.4.</t>
  </si>
  <si>
    <t>Ostali radovi na oznakama na kolniku</t>
  </si>
  <si>
    <t>6.3.4.1.</t>
  </si>
  <si>
    <t>Markiranje oznaka: 
obuhvaća ručno markiranje oznaka na mjestima gdje su stare oznake u potpunosti istrošene ili na dijelovima kolnika koji su obnovljeni. 
Obračun po utrošenim satima na markiranju oznaka.</t>
  </si>
  <si>
    <t>radnik grupa I</t>
  </si>
  <si>
    <t>6.3.4.2.</t>
  </si>
  <si>
    <t>Uklanjanje manjih površina oznaka frezanjem: 
obuhvaća uklanjanje oznaka ručno pokretanom frezom uz završno čišćenje kolnika.  
Obračun po m2 uklonjene oznake.</t>
  </si>
  <si>
    <t>Skidač oznaka na kolniku (min. 4,5 kW)</t>
  </si>
  <si>
    <t>6.3.4.3.</t>
  </si>
  <si>
    <t>Uklanjanje većih površina oznaka vodom pod visokim pritiskom: 
obuhvaća uklanjanje oznaka vodom pod visokim pritiskom uz završno čišćenje kolnika.
Obračun po m2.</t>
  </si>
  <si>
    <t>Uklanjanje većih površina oznaka vodom pod visokim pritiskom: 
obuhvaća uklanjanje oznaka vodom pod visokim pritiskom uz završno čišćenje kolnika.
Obračun prema stvarnim troškovima.</t>
  </si>
  <si>
    <t>6.3.4.4.</t>
  </si>
  <si>
    <t>Izrada i obnavljanje oznaka na kolniku ostalim tehnologijama: 
obuhvaća izradu stalnih i privremenih oznaka na kolniku od plastične mase.
Obračun po m2.</t>
  </si>
  <si>
    <t xml:space="preserve">Izrada i obnavljanje oznaka na kolniku ostalim tehnologijama: 
obuhvaća izradu stalnih i privremenih oznaka na kolniku ostalim tehnologijama kao što su plastične mase (hladna plastika,  topla plastika), razne vrste traka i sl.   
Obračun prema stvarnim troškovima. </t>
  </si>
  <si>
    <t>7.</t>
  </si>
  <si>
    <t>KOŠNJA TRAVE I ODRŽAVANJE ZELENILA</t>
  </si>
  <si>
    <t>7.1.</t>
  </si>
  <si>
    <t>Ručna košnja trave: 
obuhvaća ručnu košnju na manjim površinama i mjestima gdje nije moguća strojna košnja, 
Obračun po m2 pokošene površine.</t>
  </si>
  <si>
    <t>Radna snaga:</t>
  </si>
  <si>
    <t>Vozila, strojevi i oprema:</t>
  </si>
  <si>
    <t>Ručni trimer za travu</t>
  </si>
  <si>
    <t>7.2.</t>
  </si>
  <si>
    <t>Ručno krčenje grmlja i šiblja: 
obuhvaća ručno krčenje grmlja i šiblja na  manjim površinama i mjestima gdje nije moguće strojno krčiti sa prikupljanjem, utovarom i odvozom obrezanog raslinja na deponiju prosječne udaljenosti 15 km.
Obračun po m2 iskrčene površine.</t>
  </si>
  <si>
    <t>Traktor (min. 76 kW)</t>
  </si>
  <si>
    <t xml:space="preserve">Motorna pila (min. 1,6 kW; dužine 35 cm) </t>
  </si>
  <si>
    <t>Traktorska prikolica (min. 3,5 t; kiper)</t>
  </si>
  <si>
    <t>7.3.</t>
  </si>
  <si>
    <t>Strojna košnja trave na bankinama ili bermama:
obuhvaća strojnu košnju trave na bankinama i bermama s mjestimičnom košnjom ručnim motornim kosilicama oko smjerokaznih stupića, prometnih znakova, zaštitnih ograda i sl.
Obračun po m2 pokošene površine.</t>
  </si>
  <si>
    <t>Hidraulička ruka sa kosilicom za specijalni stroj (kao Unimog); (min. 6 m)</t>
  </si>
  <si>
    <t>Hidraulička ruka sa kosilicom za traktor (min. 6 m)</t>
  </si>
  <si>
    <t>7.4.</t>
  </si>
  <si>
    <t>Strojna košnja trave na pokosu nasipa i usjeka:
obuhvaća strojnu košnju trave na pokosima nasipa, zasjeka ili usjeka te ostalih površina po nalogu Naručitelja. 
Obračun po m2 pokošene površine.</t>
  </si>
  <si>
    <t>Strojna košnja trave izvan bankina ili bermi:
obuhvaća strojnu košnju trave na pokosima nasipa, zasjeka ili usjeka te ostalih površina po nalogu Naručitelja. 
Obračun po m2 pokošene površine.</t>
  </si>
  <si>
    <t>7.5.</t>
  </si>
  <si>
    <t>Strojna košnja trave s mjestimično kamenih površina nepravilnog oblika:
obuhvaća strojnu košnju trave s mjestimično kamenih površina nepravilnog oblika. 
Obračun po m2 pokošene površine.</t>
  </si>
  <si>
    <t>Strojna košnja trave na površinama sa mjestimično sraslim kamenjem:
obuhvaća strojnu košnju trave na površinama sa mjestimično sraslim kamenjem. 
Obračun po m2 pokošene površine.</t>
  </si>
  <si>
    <t>7.6.</t>
  </si>
  <si>
    <t>Skupljanje i odvoz pokošene trave: 
obuhvaća skupljanje i odvoz pokošene trave na deponiju prosječne udaljenosti 15 km. Rad se obavlja istovremeno sa stavkama 7.1., 7.2., 7.3., 7.4. i 7.5. na lokacijama koje određuje Naručitelj.
Obračun po m2 pokošene površine.</t>
  </si>
  <si>
    <t>Priključak za specijalni stroj (kao Unimog) - usisavač trave</t>
  </si>
  <si>
    <t>Priključak za traktor - usisavač trave</t>
  </si>
  <si>
    <t>Priključak za specijalni stroj (kao Unimog)  - prikolica za skupljanje usisane trave</t>
  </si>
  <si>
    <t>Priključak za traktor - prikolica za skupljanje usisane trave</t>
  </si>
  <si>
    <t>7.7.</t>
  </si>
  <si>
    <t>Strojno obrezivanje grmlja, živice i šiblja: 
obuhvaća strojno obrezivanje grmlja, živice i šiblja sa prikupljanjem, utovarom i odvozom obrezanog raslinja na deponiju prosječne udaljenosti 15 km. 
Obračun po m2 obrezane površine.</t>
  </si>
  <si>
    <t>Hidraulička ruka sa škarama za rezanje granja za specijalni stroj (kao Unimog)</t>
  </si>
  <si>
    <t>7.8.</t>
  </si>
  <si>
    <t>Strojno obrezivanje grmlja, živice i šiblja s usitnjavanjem: 
obuhvaća strojno obrezivanje grmlja, živice i šiblja s usitnjavanjem obrezanog raslinja na mjestu obrezivanja.
Obračun po m2 obrezane površine.</t>
  </si>
  <si>
    <t>Strojno obrezivanje i drobljenje grmlja, živice i šiblja: 
obuhvaća strojno obrezivanje grmlja, živice i šiblja sa drobljenjem obrezanog raslinja na mjestu obrezivanja.
Obračun po m2 obrezane površine.</t>
  </si>
  <si>
    <t>Mlin za granje (drobilica)</t>
  </si>
  <si>
    <t>7.9.</t>
  </si>
  <si>
    <t>Strojno krčenje grmlja i šiblja mlatilicom: 
obuhvaća strojno krčenje grmlja i šiblja mlatilicom. 
Obračun po m2 iskrčene površine.</t>
  </si>
  <si>
    <t>Strojno krčenje grmlja i šiblja mlatilicom: 
obuhvaća strojno krčenje grmlja i šiblja bagerom sa mlatilicom. 
Obračun po m2 iskrčene površine.</t>
  </si>
  <si>
    <t>Malčer - rotositnilica za bager (min. 130 cm)</t>
  </si>
  <si>
    <t>7.10.</t>
  </si>
  <si>
    <t>Sječenje stabala ili grana promjera 11-20 cm: 
obuhvaća sječenje stabala ili grana promjera 11-20 cm na dužinu od 1,0 m, sa prikupljanjem, utovarom i odvozom posječenih stabala ili grane na deponiju prosječne udaljenosti 15 km.
Obračun po komadu posječenog stabla ili grane.</t>
  </si>
  <si>
    <t>7.11.</t>
  </si>
  <si>
    <t>Sječenje stabala ili grana promjera 21-30 cm: 
obuhvaća sječenje stabala ili grana promjera 21-30 cm na dužinu od 1,0 m, sa prikupljanjem, utovarom i odvozom posječenih stabala ili grane na deponiju prosječne udaljenosti 15 km.
Obračun po komadu posječenog stabla ili grane.</t>
  </si>
  <si>
    <t>7.12.</t>
  </si>
  <si>
    <t>Sječenje stabala ili grana promjera  preko 30 cm: 
obuhvaća sječenje stabala ili grana promjera preko 30 cm na dužinu od 1,0 m, sa prikupljanjem, utovarom i odvozom posječenih stabala ili grane na deponiju prosječne udaljenosti 15 km.
Obračun po komadu posječenog stabla ili grane.</t>
  </si>
  <si>
    <t>7.13.</t>
  </si>
  <si>
    <t>Strojno vađenje panjeva promjera 11-20 cm: 
obuhvaća  strojno vađenje panjeva sa zatrpavanjem nastale jame te utovar i odvoz na deponiju prosječne udaljenosti 15 km.
Obračun po komadu izvađenog panja.</t>
  </si>
  <si>
    <t>Strojno vađenje panjeva promjera 11-20 cm: 
obuhvaća  strojno vađenje panjeva, zatrpavanje kratera te utovar i odvoz na deponiju prosječne udaljenosti 15 km.
Obračun po komadu izvađenog panja.</t>
  </si>
  <si>
    <t>7.14.</t>
  </si>
  <si>
    <t>Strojno vađenje panjeva promjera 21-30 cm: 
obuhvaća  strojno vađenje panjeva sa zatrpavanjem nastale jame te utovar i odvoz na deponiju prosječne udaljenosti 15 km.
Obračun po komadu izvađenog panja.</t>
  </si>
  <si>
    <t>Strojno vađenje panjeva promjera 21-30 cm: 
obuhvaća  strojno vađenje panjeva, zatrpavanje kratera te utovar i odvoz na deponiju prosječne udaljenosti 15 km.
Obračun po komadu izvađenog panja.</t>
  </si>
  <si>
    <t>7.15.</t>
  </si>
  <si>
    <t>Strojno vađenje panjeva promjera preko 30 cm: 
obuhvaća  strojno vađenje panjeva sa zatrpavanjem nastale jame te utovar i odvoz na deponiju prosječne udaljenosti 15 km.
Obračun po komadu izvađenog panja.</t>
  </si>
  <si>
    <t>Strojno vađenje panjeva promjera preko 30 cm: 
obuhvaća  strojno vađenje panjeva, zatrpavanje kratera te utovar i odvoz na deponiju prosječne udaljenosti 15 km.
Obračun po komadu izvađenog panja.</t>
  </si>
  <si>
    <t>8.</t>
  </si>
  <si>
    <t>ODRŽAVANJE OBJEKATA (mostova, vijadukata, nadvožnjaka, podvožnjaka, nathodnika, pothodnika, tunela, galerija, autobusnih stajališta, odmorišta i sl.)</t>
  </si>
  <si>
    <t xml:space="preserve">8.1. </t>
  </si>
  <si>
    <t>Čišćenje objekata</t>
  </si>
  <si>
    <t>8.1.1.</t>
  </si>
  <si>
    <t xml:space="preserve">Ručno čišćenje objekta:
obuhvaća čišćenje voznih, pješačkih i ostalih površina objekta od nanosa i smeća, čišćenje rigola, slivnika, ležajnih klupa i ostalih prostora neposredno ispod i uz objekt s uklanjanjem raslinja na čunjevima i ispod objekta te odvoz skupljenog materijala na deponiju prosječne udaljenosti 15 km.
Obračun po utrošenim satima na čišćenju.                                                                                </t>
  </si>
  <si>
    <t>8.1.2.</t>
  </si>
  <si>
    <t>Čišćenje korita vodotoka od naplavina: 
obuhvaća čišćenje naplavina zadržanih uz stupove i upornjake objekta iz vodnog toka oslobađanjem nanosa i puštanjem naplavina niz vodotok, s interventnom grupom koju čine 3 cestara opremljena motornim čamcem, motornom pilom i priručnim alatom.
Obračun po satu rada.</t>
  </si>
  <si>
    <t>Čišćenje korita vodotoka od naplavina: 
obuhvaća čišćenje naplavina zadržanih uz stupove i upornjake objekta oslobađanjem nanosa i puštanjem niz vodotok.  
Obračun prema stvarnim troškovima.</t>
  </si>
  <si>
    <t>Opis</t>
  </si>
  <si>
    <t>Jed.
mjere</t>
  </si>
  <si>
    <t>Normativ</t>
  </si>
  <si>
    <t>Jed.
cijena</t>
  </si>
  <si>
    <t>Iznos</t>
  </si>
  <si>
    <t>Motorni čamac</t>
  </si>
  <si>
    <t>Materijali:</t>
  </si>
  <si>
    <t>8.1.3.</t>
  </si>
  <si>
    <t>Čišćenje drenažnih otvora, barbakana i sličnih uređaja za odvodnju objekta: 
obuhvaća čišćenje i izbacivanje nanosa s odlaganjem materijala izvan objekta.
Obračun po utrošenim satima na čišćenju.</t>
  </si>
  <si>
    <t>8.1.4.</t>
  </si>
  <si>
    <t>Čišćenje dilatacije: 
obuhvaća ručno čišćenje i uklanjanje kamene sitneži, prašine i ostalog nanosa iz reški dilatacije, po potrebi ispiranje vodom pod pritiskom nakon čišćenja, premazivanje dijelova dilatacije odgovarajućim zaštitnim sredstvom. Strojevi, oprema i materijal se obračunava zasebno prema specifikaciji.
Obračun po m očišćene dilatacije.</t>
  </si>
  <si>
    <t>Pumpa za vodu (min. 6 kW)</t>
  </si>
  <si>
    <t>8.1.5.</t>
  </si>
  <si>
    <t>Čišćenje ostalih površina izvan kolnika:
obuhvaća čišćenje parkirališta, odmorišta, autobusnih stajališta i sličnih površina, uklanjanje predmeta i materijala s tih površina te utovar i odvoz materijala na deponiju prosječne udaljenosti 15 km.
Obračun po utrošenim satima na čišćenju.</t>
  </si>
  <si>
    <t>8.1.6.</t>
  </si>
  <si>
    <t>Čišćenje zidova za zaštitu od buke:
obuhvaća čišćenje površina elemenata zaštite od buke upotrebom odgovarajuće opreme i sredstava za čišćenje. Strojevi, oprema i materijal se obračunava zasebno prema specifikaciji.
Obračun po utrošenim satima na čišćenju.</t>
  </si>
  <si>
    <t>Čišćenje elemenata zaštite od buke:
obuhvaća čišćenje površina elemenata zaštite od buke upotrebom odgovarajuće opreme i sredstava za čišćenje. Strojevi, oprema i materijal se obračunava zasebno prema specifikaciji.
Obračun po utrošenim satima na čišćenju.</t>
  </si>
  <si>
    <t>8.1.7.</t>
  </si>
  <si>
    <t>Čišćenje prostora nad portalom tunela: 
obuhvaća ručno čišćenje prostora nad portalom tunela iz hidraulične košare od nestabilnih dijelova zemlje, kamenja, raslinja i sl. te utovar i odvoz uklonjenog materijala na prosječnu udaljenost 5 km. 
Obračun po satu rada.</t>
  </si>
  <si>
    <t>Čišćenje prostora nad portalom tunela: 
obuhvaća čišćenje prostora nad portalom tunela od nestabilnih dijelova zemlje, kamenja, raslinja i sl. te utovar i odvoz uklonjenog materijala na prosječnu udaljenost 5 km. 
Obračun prema stvarnim troškovima.</t>
  </si>
  <si>
    <t>Hidraulična košara</t>
  </si>
  <si>
    <t>8.1.8.</t>
  </si>
  <si>
    <t>Pranje obloge tunela i galerija: 
obuhvaća pranje obloge specijalnim strojem s odgovarajućim priključkom, vodom uz uporabu ekološkog deterdženta.
Obračun po m2 oprane obloge.</t>
  </si>
  <si>
    <t>Pranje obloge tunela i galerija: 
obuhvaća pranje specijalnim strojem s odgovarajućim priključkom. 
Obračun po m2 oprane obloge.</t>
  </si>
  <si>
    <t>8.2.</t>
  </si>
  <si>
    <t>Popravci objekata</t>
  </si>
  <si>
    <t>8.2.1.</t>
  </si>
  <si>
    <t>Popravci manjih oštećenja na asfaltnom kolniku, pješačkim stazama objekta:
obuhvaća popravke manjih oštećenja asfaltnom mješavinom istovjetnom s postojećom.
Obračun po m2.</t>
  </si>
  <si>
    <t>Popravci manjih oštećenja na kolniku, pješačkim stazama i ostalim površinama objekta:
obuhvaća popravke manjih oštećenja s odgovarajućim materijalima i tehnologijom.
Obračun prema stvarnim troškovima.</t>
  </si>
  <si>
    <t>8.2.2.</t>
  </si>
  <si>
    <t>Popravak sljubnica i pukotina: 
obuhvaća čišćenje sljubnica, čišćenje i obradu pukotina te popravak odgovarajućom tehnologijom i materijalima. 
Obračun prema stvarnim troškovima.</t>
  </si>
  <si>
    <t>kg</t>
  </si>
  <si>
    <t>8.2.3.</t>
  </si>
  <si>
    <t>Popravak obloženih dijelova čunja nasipa i krila objekta: 
obuhvaća uklanjanje nestabilnog materijala, pripremu podloge, nabavu, dopremu i ugradnju odgovarajućeg materijala te ostali rad i materijal na popravku. 
Obračun po m2.</t>
  </si>
  <si>
    <t>Popravak obloženih dijelova čunja nasipa i krila objekta: 
obuhvaća uklanjanje nestabilnog materijala, pripremu podloge, dobavu i ugradnju odgovarajućeg materijala te ostali rad i materijal na popravku. 
Obračun prema stvarnim troškovima.</t>
  </si>
  <si>
    <t>m3</t>
  </si>
  <si>
    <t>8.2.4.</t>
  </si>
  <si>
    <t>Popravak manjih pojedinačnih oštećenja na betonskim dijelovima objekta: 
obuhvaća uklanjanje oštećenog betona, obradu oštećene površine prije ugradnje betona, izradu i postavljanje oplate, nabavu, dopremu i ugradnju betona klase C30/37, odvoz otpadnog materijala na deponiju prosječne udaljenosti 15 km te ostali rad i materijal na popravku. 
Obračun po m3 ugrađenog betona.</t>
  </si>
  <si>
    <t>Popravak manjih pojedinačnih oštećenja na betonskim dijelovima objekta: 
obuhvaća uklanjanje oštećenog betona, obradu oštećene površine prije ugradnje betona, izradu i postavljanje oplate, dobavu i ugradnju betona klase C30/37, odvoz otpadnog materijala na deponiju prosječne udaljenosti 15 km te ostali rad i materijal na popravku. 
Obračun po m3 ugrađenog betona.</t>
  </si>
  <si>
    <t>8.2.5.</t>
  </si>
  <si>
    <t>Popravak dilatacijskih reški zapunjavanjem: 
obuhvaća čišćenje dilatacijskih reški na objektu te zapunjavanje reparaturnim mortom (prosječne količine 0,50 kg/m) te ostali rad i materijal na popravku. 
Obračun po m očišćene i zapunjene reške.</t>
  </si>
  <si>
    <t>8.2.6.</t>
  </si>
  <si>
    <t>Popravak kamenog suhozida preslagivanjem: 
obuhvaća prikupljanje i čišćenje obrušenog kamena, pripremu podloge te ponovno namještanje uz dodatak novog kamena (prosječne količine 0,30 kg/m3 zida), dotjerivanje vidne površine te ostali rad i materijal na popravku.
Obračun po m3 popravljenog kamenog suhozida.</t>
  </si>
  <si>
    <t>8.2.7.</t>
  </si>
  <si>
    <t>Popravak zida od kamena: 
obuhvaća prikupljanje obrušenog kamena, nabavu i dopremu novog kamena (prosječne količine 0,30 m3/m3 zida), nabavu i dopremu betona (klase C16/20, prosječne količine 0,30 m3/m3 zida), ugradnju kamena u beton uz dotjerivanje lica zida i zapunjavanje spojnica cementnim mortom te ostali rad i materijal na popravku.
Obračun po m3 popravljenog zida od kamena.</t>
  </si>
  <si>
    <t>Popravak zida od kamena: 
obuhvaća prikupljanje obrušenog kamena, dobavu novog kamena (prosječne količine 0,30 m3/m3 zida), dobavu betona (klase C16/20, prosječne količine 0,30 m3/m3 zida), ugradnju kamena u beton uz dotjerivanje lica zida i zapunjavanje spojnica cementnim mortom te ostali rad i materijal na popravku.
Obračun po m3 popravljenog zida od kamena.</t>
  </si>
  <si>
    <t>8.2.8.</t>
  </si>
  <si>
    <t>Popravak zida od betona:
obuhvaća obradu oštećene površine betona, izradu i namještanje oplate, nabavu, dopremu i ugradnju betona klase C25/30 te ostali rad i materijal na popravku.
Obračun po m3 ugrađenog betona.</t>
  </si>
  <si>
    <t>Popravak zida od betona:
obuhvaća obradu oštećene površine betona, izradu i namještanje oplate, dobavu i ugradnju betona klase C25/30 te ostali rad i materijal na popravku.
Obračun po m3 ugrađenog betona.</t>
  </si>
  <si>
    <t>8.2.9.</t>
  </si>
  <si>
    <t>Popravak gabionskih zidova:
obuhvaća uklanjanje rasutog gabionskog zida, nabavu, dopremu i postavu nove košare te vraćanje kamenog materijala u košaru i mješanog kamenog materijala u zaleđe.
Obračun po m3 izrađenih zidova.</t>
  </si>
  <si>
    <t>8.2.10.</t>
  </si>
  <si>
    <t>Popravak gabionskih zidova:
obuhvaća uklanjanje rasutog gabionskog zida, dobavu i postavu nove košare te vraćanje kamenog materijala u košaru i mješanog kamenog materijala u zaleđe.
Obračun po m3 izrađenih zidova.</t>
  </si>
  <si>
    <t>Popravak lokalnih oštećenja betonske površine: 
obuhvaća uklanjanje i ispiranje nestabilnih dijelova betona, obradu površina u pravilnim pravokutnim formama, čišćenje, popravak i zaštitu ogoljele armature, nanošenje odgovarajućeg reparaturnog morta - materijala na bazi brzovezajućeg cementa (prosječne debljine 2,5 cm) te ostali rad i materijal potreban na popravku.
Obračun po m2 popravljene betonske površine.</t>
  </si>
  <si>
    <t>8.2.11.</t>
  </si>
  <si>
    <t>Popravak dijelova metalne ograde: 
obuhvaća popravak manjih dijelova metalne ograde uz pješačke staze i na parapetima objekta, sve potrebne predradnje, uključivo i potrebne dijelove metalne ograde i materijala s izvedbom antikorozivne zaštite (nanošenje boje ili cinčanje) te ostali rad i materijal potreban na popravku.
Obračun po kg ugrađenog materijala.</t>
  </si>
  <si>
    <t>8.2.12.</t>
  </si>
  <si>
    <t>Popravak dijelova metalne ograde: 
obuhvaća popravak ili zamjenu manjih dijelova metalne ograde uz pješačke staze i na parapetima objekta, sve potrebne predradnje, materijal i antikorozivnu zaštitu (nanošenje boje ili cinčanje) te ostali rad i materijal potreban na popravku.
Obračun po kg ugrađenog materijala.</t>
  </si>
  <si>
    <t>Popravak dilatacije: 
obuhvaća interventni djelomični popravak dilatacije objekta na olabavljenim, prelomljenim ili oštećenim dijelovima dilatacije s interventnom grupom koju čine 2 cestara, vozilo do 3,5 t s aparatom za autogeno zavarivanje.
Obračun po satu rada.</t>
  </si>
  <si>
    <t>8.2.13.</t>
  </si>
  <si>
    <t>Popravak dilatacije: 
obuhvaća interventne popravke i aktivnosti na saniranju olabavljenih, prelomljenih ili oštećenih dijelova dilatacije te  ostali potreban rad i materijal na popravku.
Obračun prema stvarnim troškovima.</t>
  </si>
  <si>
    <t>Obnova antikorozivne zaštite bitumenskim lakom metalnog uljeva, metalnog rubnjaka i drugih metalnih dijelova objekta: 
obuhvaća čišćenje i pripremu površina slivnika te nanošenje premaza odgovarajućeg bitumenskog laka. 
Obračun po m2 zaštićene metalne površine.</t>
  </si>
  <si>
    <t>8.2.16.</t>
  </si>
  <si>
    <t>Obnova antikorozivne zaštite bitumenskim lakom: 
obuhvaća čišćenje i pripremu površina slivnika, metalnog uljeva, metalnog rubnjaka i drugih metalnih dijelova objekta te nanošenje premaza odgovarajućeg bitumenskog laka. 
Obračun po m2 zaštićene metalne površine.</t>
  </si>
  <si>
    <t>8.2.14.</t>
  </si>
  <si>
    <t>Popravak antikorozivne zaštite na manjim dijelovima zaštitnih čeličnih ograda ili drugih čeličnih dijelova objekta: 
obuhvaća čišćenje korozijom zahvaćenih dijelova objekta do metalnog sjaja, nanošenje temeljnog i još dva sloja boje u minimalnoj debljini 120 μm te ostali rad i materijal na popravku. 
Obračun po m2 razvijene popravljene površine.</t>
  </si>
  <si>
    <t>8.2.17.</t>
  </si>
  <si>
    <t>Popravak antikorozivne zaštite na manjim dijelovima zaštitnih čeličnih ograda ili drugih čeličnih dijelova objekta: 
obuhvaća čišćenje korozijom zahvaćenih dijelova objekta do metalnog sjaja, nanošenje temeljnog i još dva sloja boje u minimalnoj debljini 120 mikrona te ostali rad i materijal na popravku. 
Obračun po m2 razvijene popravljene površine.</t>
  </si>
  <si>
    <t>8.2.15.</t>
  </si>
  <si>
    <t>Ličenje obloge tunela: 
obuhvaća ličenje obloge odgovarajućom bojom s prosječnom potrošnjom 0,20 kg/m2. 
Obračun po m2 oličene obloge.</t>
  </si>
  <si>
    <t>8.2.18.</t>
  </si>
  <si>
    <t>Ličenje obloge tunela: 
obuhvaća ličenje obloge odgovarajućom bojom. 
Obračun po m2 oličene obloge.</t>
  </si>
  <si>
    <t>Održavanje i popravak pokretnih mostova: 
obuhvaća redovito održavanje sustava za pokretanje mosta, a koje se sastoji od pregleda, podmazivanja pokretnih dijelova, kontrole i pregleda stanja i funkcioniranja sustava.
Obračun po satu rada.</t>
  </si>
  <si>
    <t>8.2.19.</t>
  </si>
  <si>
    <t xml:space="preserve">Održavanje i popravak pokretnih mostova: 
obuhvaća održavanje sustava za pokretanje mosta, nadzor i kontrolu stanja, kao i trošak popravaka električnih i mehaničkih sustava za pokretanje.
Obračun prema stvarnim troškovima. </t>
  </si>
  <si>
    <t>Otvaranje i zatvaranje pokretnih mostova: 
obuhvaća otvaranje i zatvaranje pokretnih mostova. 
Obračun prema utrošenim satima radnika na otvaranju i zatvaranju.</t>
  </si>
  <si>
    <t>8.2.20.</t>
  </si>
  <si>
    <t>8.3.</t>
  </si>
  <si>
    <t>Dogradnja i zamjena elemenata objekata</t>
  </si>
  <si>
    <t>8.3.1.</t>
  </si>
  <si>
    <t>Popravak zida od kamena izradom dijela zida: 
obuhvaća iskop (prosječne količine 0,20 m3/m3 zida), pripremu podloge, nabavu, dopremu i ugradnju novog kamena i betona (klase C16/20, prosječne količine 0,50 m3/m3 zida) uz dotjerivanje lica zida i zapunjavanje spojnica cementnim mortom, utovar i odvoz iskopa na prosječnu udaljenost 5 km te ostali rad i materijal na dogradnji.
Obračun po m3 izrađenog zida.</t>
  </si>
  <si>
    <t>Izrada zida od kamena: 
obuhvaća iskop (prosječne količine 0,20 m3/m3 zida), pripremu podloge, dobavu i ugradnju novog kamena i betona (klase C16/20, prosječne količine 0,50 m3/m3 zida) uz dotjerivanje lica zida i zapunjavanje spojnica cementnim mortom, utovar i odvoz iskopa na prosječnu udaljenost 5 km te ostali rad i materijal na dogradnji.
Obračun po m3 izrađenog zida.</t>
  </si>
  <si>
    <t>8.3.2.</t>
  </si>
  <si>
    <t>Popravak zida od betona izradom dijela zida:
obuhvaća iskop (prosječne količine 0,20 m3/m3 zida), izradu i postavu oplate, nabavu, dopremu i ugradnju armature (prosječne količine 20 kg/m3) i betona (klase C25/30), utovar i odvoz viška materijala na prosječnu udaljenost 5 km te  ostali rad i materijal na dogradnji.
Obračun po m3 izrađenog zida.</t>
  </si>
  <si>
    <t>Izrada zida od betona:
obuhvaća iskop (prosječne količine 0,20 m3/m3 zida), izradu i postavu oplate, dobavu i ugradnju armature (prosječne količine 20 kg/m3) i betona (klase C25/30), utovar i odvoz viška materijala na prosječnu udaljenost 5 km te  ostali rad i materijal na dogradnji.
Obračun po m3 izrađenog zida.</t>
  </si>
  <si>
    <t>8.3.3.</t>
  </si>
  <si>
    <t>Popravak gabionskih zidova u zemljanom materijalu izradom dijela zida:
obuhvaća pripremu kamene podloge (prosječne količine 0,05 m3/m3 zida), betonskog temelja (klase C16/20, prosječne količine 0,05 m3/m3 zida), nabavu, dopremu i postavu košara, nabavu, dopremu i ugradnju odgovarajuće frakcije kamenog materijala te zapunu zaleđa gabionskog zida miješanim kamenim materijalom u količini 0,50 m3/m3 izrađenog gabionskog zida.
Obračun po m3 izrađenog zida.</t>
  </si>
  <si>
    <t>Izrada gabionskih zidova u zemljanom materijalu:
obuhvaća pripremu kamene podloge (prosječne količine 0,05 m3/m3 zida), betonskog temelja (klase C16/20, prosječne količine 0,05 m3/m3 zida), dobavu i postavu košara, dobavu i ugradnju odgovarajuće frakcije kamenog materijala te zapunu zaleđa gabionskog zida mješanim kamenim materijalom u količini 0,50 m3/m3 izrađenog gabionskog zida.
Obračun po m3 izrađenog zida.</t>
  </si>
  <si>
    <t>8.3.4.</t>
  </si>
  <si>
    <t>Popravak gabionskih zidova u kamenom materijalu izradom dijela zida:
obuhvaća pripremu podloge, nabavu, dopremu i postavu košara, nabavu, dopremu i ugradnju odgovarajućeg frakcije kamenog materijala sa zapunom zaleđa gabionskog zida mješanim kamenim materijalom u količini 0,50 m3 po m3 izrađenog gabionskog zida.
Obračun po m3 izrađenog zida.</t>
  </si>
  <si>
    <t>Izrada gabionskih zidova u kamenom materijalu:
obuhvaća pripremu podloge, dobavu i postavu košara, dobavu i ugradnju odgovarajućeg frakcije kamenog materijala sa zapunom zaleđa gabionskog zida mješanim kamenim materijalom u količini 0,50 m3 po m3 izrađenog gabionskog zida.
Obračun po m3 izrađenog zida.</t>
  </si>
  <si>
    <t>8.3.5.</t>
  </si>
  <si>
    <t>Popravak betonskih zaštitnih elemenata (BEPO) za osiguranje pokosa postavljanjem novih elemenata:
obuhvaća nabavu, dopremu i postavljanje betonskih zaštitnih elemenata (BEPO) za osiguranje pokosa, uz prethodno uređenje pokosa i temelja (iskop do dubine 15 cm, dovoz i zbijanje kamenog materijala debljine  cca. 8 cm te dovoz, nabavu, dopremu i ugradnju betona klase C16/20 debjine cca. 7 cm kao podloge ispod BEPO elementa).
Obračun po m postavljenog betonskog zaštitnog elementa (BEPO).</t>
  </si>
  <si>
    <t>Postavljanje betonskih zaštitnih elemenata (BEPO) za osiguranje pokosa:
obuhvaća dobavu i postavljanje betonskih zaštitnih elemenata (BEPO) za osiguranje pokosa, uz prethodno uređenje pokosa i temelja (iskop do dubine 15 cm, dovoz i zbijanje kamenog materijala debljine  cca. 8 cm te dovoz, dobava i ugradnja betona klase C16/20 debjine cca. 7 cm kao podloge ispod BEPO elementa).
Obračun po m postavljenog betonskog zaštitnog elementa (BEPO).</t>
  </si>
  <si>
    <t>8.3.6.</t>
  </si>
  <si>
    <t>Popravak rubnjaka na objektu zamjenom: 
obuhvaća uklanjanje uništenih kamenih ili betonskih rubnjaka na objektu, uređenje podloge, nabavu, dopremu i ugradnju betona (klase C16/20 prosječne količine 0,07 m3/m), utovar i odvoz materijala na prosječnu udaljenost 5 km, nabavu, dopremu i ugradnju istovjetnih novih rubnjaka, zapunjavanje spojnica odgovarajućom masom te ostali rad i materijal na zamjeni. 
Obračun po m ugrađenog novog rubnjaka.</t>
  </si>
  <si>
    <t>Zamjena rubnjaka na objektu: 
obuhvaća uklanjanje uništenih kamenih ili betonskih rubnjaka na objektu, uređenje podloge, dobavu i ugradnju betona (klase C16/20 prosječne količine 0,07 m3/m), utovar i odvoz materijala na prosječnu udaljenost 5 km, dobavu i ugradnju istovjetnih novih rubnjaka, zapunjavanje spojnica odgovarajućom masom te  ostali rad i materijal na zamjeni. 
Obračun po m ugrađenog novog rubnjaka.</t>
  </si>
  <si>
    <t>8.3.7.</t>
  </si>
  <si>
    <t xml:space="preserve">Popravak metalne ograde objekta zamjenom:
obuhvaća skidanje stare oštećene metalne ograde uz pješačke staze i na parapetima objekata, izradu i postavljanje nove metalne ograde sa odgovarajućom antikorozivnom zaštitom ili cinčanjem te ostali rad i materijal na zamjeni.
Obračun po kg ugrađenog materijala.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</si>
  <si>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Zamjena metalne ograde:
obuhvaća skidanje stare oštećene metalne ograde uz pješačke staze i na parapetima objekata, izradu i postavljanje nove metalne ograde sa odgovarajućom antikorozivnom zaštitom ili cinčanjem te ostali rad i materijal na zamjeni.
Obračun po kg ugrađenog materijala.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</si>
  <si>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8.3.8.</t>
  </si>
  <si>
    <t>Zamjena oštećenog tunelskog katadioptera: 
obuhvaća skidanje oštećenog katadioptera u tunelu te nabavu, dopremu i ugradnju novoga.
Obračun po komadu zamijenjenog katadioptera.</t>
  </si>
  <si>
    <t>8.3.9.</t>
  </si>
  <si>
    <t>Zamjena oštećenog tunelskog katadioptera: 
obuhvaća skidanje oštećenog katadioptera u tunelu te dobavu i ugradnju novog. 
Obračun po komadu zamijenjenog katadioptera.</t>
  </si>
  <si>
    <t>9.</t>
  </si>
  <si>
    <t>SUSTAVI, INSTALACIJE, UREĐAJI I OPREMA NA CESTAMA I OBJEKTIMA</t>
  </si>
  <si>
    <t>9.1.</t>
  </si>
  <si>
    <t>Održavanje svjetlosno - signalnih uređaja i opreme (semafori, treptači i sl.)</t>
  </si>
  <si>
    <t>9.1.1.</t>
  </si>
  <si>
    <t>Održavanje semafora na lokaciji tipa A: 
obuhvaća održavanje sustava i opreme semaforiziranog raskrižja sa četiri i više prilaza. 
Obračun po lokaciji.</t>
  </si>
  <si>
    <t>9.1.3.</t>
  </si>
  <si>
    <t>Održavanje semafora na lokaciji tipa C: 
obuhvaća održavanje sustava i opreme semaforiziranog pješačkog prijelaza. 
Obračun po lokaciji.</t>
  </si>
  <si>
    <t>9.1.5.</t>
  </si>
  <si>
    <t>Održavanje svjetlosno - signalne opreme na lokaciji tipa E: 
obuhvaća održavanje sustava i opreme promjenjivih prometnih znakova i informacijskih displeja ( radarski pokazivači i sl.)
Obračun po lokaciji.</t>
  </si>
  <si>
    <t>9.1.6.</t>
  </si>
  <si>
    <t>Održavanje svjetlosno - signalne opreme na lokaciji tipa F: 
obuhvaća održavanje sustava i opreme pojedinačnih signalnih svjetala (upzoravajući signali, treptači i sl.) 
Obračun po lokaciji.</t>
  </si>
  <si>
    <t>9.2.</t>
  </si>
  <si>
    <t>Pregled i održavanje cestovne rasvjete</t>
  </si>
  <si>
    <t>9.2.1.</t>
  </si>
  <si>
    <t>Pregled sustava, opreme i funkcionalnosti javne rasvjete:
obuhvaća periodični pregled funkcionalnost rasvjete i rad sustava upravljanja te manja podešavanja elemenata upravljanja i zamjenu neispravnih osigurača.
Obračun po satu rada.</t>
  </si>
  <si>
    <t>9.2.2.</t>
  </si>
  <si>
    <t xml:space="preserve">Zamjena raznih elemenata rasvjetnih tijela na stupovima rasvjete:
obuhvaća zamjenu neispravnih žarulja, propaljivača, kondezatora, prigušnica i drugog. Rad se obavlja na visini iz košare.
Obračun po komadu rasvjetnog stupa. </t>
  </si>
  <si>
    <t>9.2.3.</t>
  </si>
  <si>
    <t xml:space="preserve">Zamjena dotrajalog i neispravnog voda u stupovima rasvjete:
obuhvaća zamjenu dotrajalog i neispravnog voda unutar stupa rasvjete. Rad se obavlja na visini iz košare.
Obračun po komadu rasvjetnog stupa. </t>
  </si>
  <si>
    <t>9.2.4.</t>
  </si>
  <si>
    <t xml:space="preserve">Zamjena sjenila, stakala i poklopaca:
obuhvaća zamjenu dotrajalih i neispravnih sjenila, stakala i poklopaca rasvjetnih tijela na stupovima rasvjete i poklopaca na stupovima. Rad se obavlja na visini iz košare.
Obračun po komadu rasvjetnog stupa. </t>
  </si>
  <si>
    <t>9.2.5.</t>
  </si>
  <si>
    <t xml:space="preserve">Zamjena razdjelnika u stupovima rasvjete:
obuhvaća zamjenu dotrajalih i neispravnih razdjelnika u stupovima rasvjete.
Obračun po komadu rasvjetnog stupa. </t>
  </si>
  <si>
    <t>9.2.6.</t>
  </si>
  <si>
    <t xml:space="preserve">Popravak uzemljenja rasvjetnih stupova:
obuhvaća zamjenu neispravnih elemenata uzemljenja rasvjetnih stupova.
Obračun po komadu stupa. </t>
  </si>
  <si>
    <t>9.2.7.</t>
  </si>
  <si>
    <t xml:space="preserve">Održavanje upravljačkih ormara cestovne rasvjete:
obuhvaća testiranje i popravak sustava i opreme upravljačkih ormara cestovne rasvjete.
Obračun po komadu ormara. </t>
  </si>
  <si>
    <t>9.2.8.</t>
  </si>
  <si>
    <t>Ličenje stupova svjetlosne signalizacije i rasvjete: 
obuhvaća kvalitetnu pripremu površine prije ličenja te bojanje u dva sloja odgovarajućim bojama stupova svjetlosne signalizacije i rasvjete.
Obračun po komadu rasvjetnog stupa.</t>
  </si>
  <si>
    <t>9.3.</t>
  </si>
  <si>
    <t>Atestiranje i manji popravci ostalih sustava i opreme</t>
  </si>
  <si>
    <t>9.3.1.</t>
  </si>
  <si>
    <t>Atestiranje i održavanje ostalih sustava i opreme:
obuhvaća zakonom propisano redovito atestiranje sustava za vatrodojavu, video nadzor, ventilacijskog sustava i gromobranske instalacije odnosno uzemljenja.
Obračun prema komadu ishođenog atesta za pojedini sustav.</t>
  </si>
  <si>
    <t>10.</t>
  </si>
  <si>
    <t>ODRŽAVANJE CESTA I OBJEKATA U ZIMSKIM UVJETIMA</t>
  </si>
  <si>
    <t>10.1.</t>
  </si>
  <si>
    <t>Pripremni radovi prije nastupanja zimskih uvjeta i radovi nakon zimskog razdoblja</t>
  </si>
  <si>
    <t>10.1.1.</t>
  </si>
  <si>
    <t>Nabava, postavljanje i uklanjanje kompletnog prometnog znaka prema izvedbenom programu zimske službe:
obuhvaća jednokratno postavljanje i po završetku zimske službe uklanjanje i deponiranje prometnog znaka.
Obračun po komadu postavljenog i uklonjenog znaka.</t>
  </si>
  <si>
    <t>Nabava, postavljanje i uklanjanje kompletnog prometnog znaka prema operativnom programu zimske službe:
obuhvaća jednokratno postavljanje i po završetku zimske službe uklanjanje i deponiranje prometnog znaka.
Obračun po komadu postavljenog i uklonjenog znaka s amortizacijom za period od četiri godine.</t>
  </si>
  <si>
    <t>10.1.2.</t>
  </si>
  <si>
    <t>Nabava, postavljanje i uklanjanje dopunske ploče prema izvedbenom programu zimske službe:
obuhvaća jednokratno postavljanje na postojeći stup i po završetku zimske službe uklanjanje i deponiranje dopunske ploče. 
Obračun po komadu postavljene i uklonjene ploče.</t>
  </si>
  <si>
    <t>Nabava, postavljanje i uklanjanje dopunske ploče prema operativnom programu zimske službe:
obuhvaća jednokratno postavljanje na postojeći stup i po završetku zimske službe uklanjanje i deponiranje dopunske ploče. 
Obračun po komadu postavljene i uklonjene ploče s amortizacijom za period od četiri godine.</t>
  </si>
  <si>
    <t>10.1.3.</t>
  </si>
  <si>
    <t>Nabava, postavljanje i uklanjanje rubnih štapova: 
obuhvaća jednokratno postavljanje i po završetku zimske službe uklanjanje i deponiranje rubnih štapova. 
Obračun po komadu postavljenog i uklonjenog rubnog štapa.</t>
  </si>
  <si>
    <t>Nabava, postavljanje i uklanjanje rubnih štapova: 
obuhvaća jednokratno postavljanje i po završetku zimske službe uklanjanje i deponiranje rubnih štapova. 
Obračun po komadu postavljenog i uklonjenog rubnog štapa s amortizacijom za period od četiri godine.</t>
  </si>
  <si>
    <t>10.1.4.</t>
  </si>
  <si>
    <t>Nabava, postavljanje i uklanjanje snjegobrana od PVC-a: 
obuhvaća jednokratno postavljanje te po završetku zimske službe uklanjanje i deponiranje snjegobrana, uključujući  potrebni materijal za ugradnju. 
Obračun po m2 postavljenog i uklonjenog snjegobrana.</t>
  </si>
  <si>
    <t>Nabava, postavljanje i uklanjanje snjegobrana od PVC-a: 
obuhvaća jednokratno postavljanje te po završetku zimske službe uklanjanje i deponiranje snjegobrana, uključujući  potrebni materijal za ugradnju. 
Obračun po m2 postavljenog i uklonjenog snjegobrana s amortizacijom za period od tri godine.</t>
  </si>
  <si>
    <t>10.1.5.</t>
  </si>
  <si>
    <t>Nabava, postavljanje i uklanjanje prenosivih drvenih snjegobrana: 
obuhvaća nabavu i dopremu svog potrebnog materijala te postavljanje i po završetku zimske službe uklanjanje i deponiranje drvenog snjegobrana. 
Obračun po m2 postavljenog i uklonjenog snjegobrana.</t>
  </si>
  <si>
    <t>Nabava, postavljanje i uklanjanje prenosivih drvenih snjegobrana: 
obuhvaća dobavu svog potrebnog materijala te postavljanje i po završetku zimske službe uklanjanje i deponiranje drvenog snjegobrana. 
Obračun po m2 postavljenog i uklonjenog snjegobrana s amortizacijom za period od šest godina.</t>
  </si>
  <si>
    <t>10.2.</t>
  </si>
  <si>
    <t>Organizacija i pripravnost zimske službe</t>
  </si>
  <si>
    <t>10.2.1.</t>
  </si>
  <si>
    <t>Fiksna naknada za stalnu pripravnost vozila, strojeva i priključaka, uključujući i radnu snagu.
Obračun po danu.</t>
  </si>
  <si>
    <t>Organizacija i pripravnost kapaciteta za zimsku službu:
Obračun po ugovorenoj vrijednosti iskazanoj za obračunski period.</t>
  </si>
  <si>
    <t>10.3.</t>
  </si>
  <si>
    <t>Radovi u zimskom razdoblju</t>
  </si>
  <si>
    <t>10.3.1.</t>
  </si>
  <si>
    <t>Privremeni lokalni popravak kolnika - krpanje s hladnim smjesama (grambit):
obuhvaća zapunjavanje lokalnih oštećenja kolnika - udarnih jama, u zimskim uvjetima, odgovarajućim hladnim smjesama (grambit), s uklanjanjem oštećenog asfaltnog materijala, utovarom i odvozom uklonjenog materijala na deponiju te ručnu ugradnju smjese prosječne količine 0,15 t/m2. 
Obračun po toni ugrađene hladne smjese.</t>
  </si>
  <si>
    <t>10.3.2.</t>
  </si>
  <si>
    <t>Kamion do 3,5 t za intervencije na posipavanju i sl. - silosni posipač: 
Obuhvaća interventno posipavanje manjih površina po potrebi silosnim posipačem.
Obračun po satu efektivnog rada.</t>
  </si>
  <si>
    <t>Silosni posipač zapremine 1,0 m3</t>
  </si>
  <si>
    <t>10.3.3.</t>
  </si>
  <si>
    <t>Kamion na čišćenju i posipavanju - komplet s plugom i posipačem.
Obračun po satu efektivnog rada.</t>
  </si>
  <si>
    <t>Snježni plug radne širine do 3,5 m</t>
  </si>
  <si>
    <t>Silosni posipač zapremine 6,0 m3</t>
  </si>
  <si>
    <t>Vučni posipač (min. 1,5 m3)</t>
  </si>
  <si>
    <t>10.3.4.</t>
  </si>
  <si>
    <t>Sredstvo za utovar posipnog materijala (utovarivač, rovokopač).
Obračun po satu efektivnog rada.</t>
  </si>
  <si>
    <t>10.3.5.</t>
  </si>
  <si>
    <t>Traktor - komplet s priključcima (plugom/bočnim i posipačem).
Obračun po satu efektivnog rada.</t>
  </si>
  <si>
    <t>Specijalno vozilo - komplet s priključcima (plugom, posipačem i bočnim odbacivačem).
Obračun po satu efektivnog rada.</t>
  </si>
  <si>
    <t>Traktor</t>
  </si>
  <si>
    <t>Manja ralica</t>
  </si>
  <si>
    <t>Odbacivač snijega</t>
  </si>
  <si>
    <t>10.3.6.</t>
  </si>
  <si>
    <t>Specijalno vozilo - komplet s priključcima (plugom/bočnim odbacivačem i posipačem).
Obračun po satu efektivnog rada.</t>
  </si>
  <si>
    <t>10.3.7.</t>
  </si>
  <si>
    <t>Snježna freza ručna.
Obračun po satu efektivnog rada.</t>
  </si>
  <si>
    <t>Snježna freza samohodna.
Obračun po satu efektivnog rada.</t>
  </si>
  <si>
    <t>Snježna freza - ručna</t>
  </si>
  <si>
    <t>10.3.8.</t>
  </si>
  <si>
    <t>Snježna freza (samohodna)</t>
  </si>
  <si>
    <t>10.3.9.</t>
  </si>
  <si>
    <t>Ostali specijalni strojevi.
Obračun po satu efektivnog rada.</t>
  </si>
  <si>
    <t>Ostali specijalni strojevi (grejder, buldozer).
Obračun po satu efektivnog rada.</t>
  </si>
  <si>
    <t>Ostali specijalni strojevi (Grejder (min. 114 kW) i sl.)</t>
  </si>
  <si>
    <t>Utovarivač (min. 101 kW; 2,20m3)</t>
  </si>
  <si>
    <t>10.3.10.</t>
  </si>
  <si>
    <t>Radna snaga.
Obračun po satu efektivnog rada.</t>
  </si>
  <si>
    <t>10.4.</t>
  </si>
  <si>
    <t>Posipala (materijali za sprječavanje, ublažavanje ili uklanjanje poledice i smanjenje klizavosti).
Sva posipala obračunavaju se po stvarno utrošenoj količini.</t>
  </si>
  <si>
    <t>10.4.1.</t>
  </si>
  <si>
    <t>Natrijev klorid za silose.
Obračun po toni.</t>
  </si>
  <si>
    <t>10.4.2.</t>
  </si>
  <si>
    <t>Natrijev klorid za skladište.
Obračun po toni.</t>
  </si>
  <si>
    <t>10.4.3.</t>
  </si>
  <si>
    <t>Kalcijev klorid.
Obračun po toni.</t>
  </si>
  <si>
    <t>Uređaj za pripremu sredstva za mokro posipanje</t>
  </si>
  <si>
    <t>Sol kalcijev klorid</t>
  </si>
  <si>
    <t>10.4.4.</t>
  </si>
  <si>
    <t>Posipni materijal od kamene sitneži.
Obračun po m3.</t>
  </si>
  <si>
    <t>11.</t>
  </si>
  <si>
    <t>OSTALI RADOVI, TROŠKOVI I USLUGE</t>
  </si>
  <si>
    <t>11.1.</t>
  </si>
  <si>
    <t>Izrada tehničke i druge dokumentacije za radove održavanja: 
obuhvaća troškove izrade jednostavnih izvedbenih projekata i prometnih elaborata za radove redovitog održavanja.
Obračun po komadu izrađenog projekta odnosno prometnog elaborata.</t>
  </si>
  <si>
    <t>Ukupno (kn):</t>
  </si>
  <si>
    <t>Sveukupno (kn):</t>
  </si>
  <si>
    <t>IZVODITELJ:</t>
  </si>
  <si>
    <t>NARUČITELJ:</t>
  </si>
  <si>
    <t>__________________</t>
  </si>
  <si>
    <t>___________________</t>
  </si>
  <si>
    <t>11.2.</t>
  </si>
  <si>
    <t>Prijevoz trajektom: 
obuhvaća troškove prijevoza trajektom potrebnog materijala,strojeva i radne snage. 
Obračun po toni.</t>
  </si>
  <si>
    <t>11.3.</t>
  </si>
  <si>
    <t>Zbrinjavanje komunalnog otpada:
obuhvaća prijevoz na prosječnu udaljenost 5,0 km i zbrinjavanja komunalnog otpada.
Obračun po m3</t>
  </si>
  <si>
    <t>CJENIK SATA RADA RADNIKA</t>
  </si>
  <si>
    <t xml:space="preserve">Osnova </t>
  </si>
  <si>
    <t xml:space="preserve">Dodatak </t>
  </si>
  <si>
    <t>Broj sati mjesečno</t>
  </si>
  <si>
    <t>Faktor</t>
  </si>
  <si>
    <t>PDV</t>
  </si>
  <si>
    <t>Obračunska jedinica</t>
  </si>
  <si>
    <t>Radno vrijeme</t>
  </si>
  <si>
    <t>Redni broj</t>
  </si>
  <si>
    <t>Koeficijent radnog mjesta</t>
  </si>
  <si>
    <t>Radno mjesto</t>
  </si>
  <si>
    <t>Cijena sata rada
(kn bez PDV-a)</t>
  </si>
  <si>
    <t>Iznos PDV-a (kn)</t>
  </si>
  <si>
    <t>Cijena sata rada
(kn s PDV-om)</t>
  </si>
  <si>
    <t>Strojar KV</t>
  </si>
  <si>
    <t>Strojar VKV</t>
  </si>
  <si>
    <t>Vozač KV</t>
  </si>
  <si>
    <t>Vozač VKV</t>
  </si>
  <si>
    <t>Radnik SSS</t>
  </si>
  <si>
    <t>12.</t>
  </si>
  <si>
    <t>Radnik VŠS</t>
  </si>
  <si>
    <t>13.</t>
  </si>
  <si>
    <t>Radnik VSS</t>
  </si>
  <si>
    <t>14.</t>
  </si>
  <si>
    <t>Materijal</t>
  </si>
  <si>
    <t>Jedinica mjere</t>
  </si>
  <si>
    <t>Cijene osnovnih materijala fcco gradilište</t>
  </si>
  <si>
    <t>Bitumenska emulzija</t>
  </si>
  <si>
    <t>Bitumenska emulzija - polimer</t>
  </si>
  <si>
    <t>Bitumenski lak za čelik</t>
  </si>
  <si>
    <t>15.</t>
  </si>
  <si>
    <t>Kameni materijal - drenažni 30-60 mm sa prijevozom</t>
  </si>
  <si>
    <t>16.</t>
  </si>
  <si>
    <t>17.</t>
  </si>
  <si>
    <t>18.</t>
  </si>
  <si>
    <t>19.</t>
  </si>
  <si>
    <t>20.</t>
  </si>
  <si>
    <t>21.</t>
  </si>
  <si>
    <t>Drvena građa - jelova</t>
  </si>
  <si>
    <t>22.</t>
  </si>
  <si>
    <t>Drvena građa - hrastova</t>
  </si>
  <si>
    <t>23.</t>
  </si>
  <si>
    <t>24.</t>
  </si>
  <si>
    <t>25.</t>
  </si>
  <si>
    <t>26.</t>
  </si>
  <si>
    <t xml:space="preserve">Betonski cestovni rubnjak 15/25 ili 18/24 cm </t>
  </si>
  <si>
    <t>m</t>
  </si>
  <si>
    <t>27.</t>
  </si>
  <si>
    <t>Betonski parkovni rubnjak 10/20 cm</t>
  </si>
  <si>
    <t>28.</t>
  </si>
  <si>
    <t>Betonska kanalica 40/12/50 cm</t>
  </si>
  <si>
    <t>29.</t>
  </si>
  <si>
    <t>Betonska kanalica 65/28/50 cm</t>
  </si>
  <si>
    <t>30.</t>
  </si>
  <si>
    <t>Betonska kanalica 80/30/50 cm</t>
  </si>
  <si>
    <t>31.</t>
  </si>
  <si>
    <t>Betonska cijev Ø500 mm</t>
  </si>
  <si>
    <t>32.</t>
  </si>
  <si>
    <t>Betonska cijev Ø600 mm</t>
  </si>
  <si>
    <t>33.</t>
  </si>
  <si>
    <t>PVC drenažna cijev Ø125 mm</t>
  </si>
  <si>
    <t>34.</t>
  </si>
  <si>
    <t>Slivnička rešetka 400x400 mm nosivosti D400</t>
  </si>
  <si>
    <t>35.</t>
  </si>
  <si>
    <t>Kanalski poklopac 600x600 mm nosivosti D400</t>
  </si>
  <si>
    <t>36.</t>
  </si>
  <si>
    <t>Prometni znak klasa I</t>
  </si>
  <si>
    <t>37.</t>
  </si>
  <si>
    <t>Prometni znak klasa II</t>
  </si>
  <si>
    <t>38.</t>
  </si>
  <si>
    <t>Prometna ploča površine do 2,00 m2</t>
  </si>
  <si>
    <t>39.</t>
  </si>
  <si>
    <t>Prometna ploča površine od 2,00 do 8,00 m2</t>
  </si>
  <si>
    <t>40.</t>
  </si>
  <si>
    <t>Prometna ploča površine veće od 8,00 m2</t>
  </si>
  <si>
    <t>41.</t>
  </si>
  <si>
    <t>Prometno zrcalo</t>
  </si>
  <si>
    <t>42.</t>
  </si>
  <si>
    <t xml:space="preserve">Čelični stup za prometni znak - cinčani Ø2" </t>
  </si>
  <si>
    <t>43.</t>
  </si>
  <si>
    <t>Smjerokazni stupić</t>
  </si>
  <si>
    <t>44.</t>
  </si>
  <si>
    <t>Kilometarska oznaka ceste</t>
  </si>
  <si>
    <t>45.</t>
  </si>
  <si>
    <t>Reflektirajuča oznaka - katadiopter za zaštitnu ogradu 90x90 mm</t>
  </si>
  <si>
    <t>46.</t>
  </si>
  <si>
    <t>Reflektirajuča oznaka - katadiopter za tunel 100x300 mm</t>
  </si>
  <si>
    <t>47.</t>
  </si>
  <si>
    <t>Štap za snijeg</t>
  </si>
  <si>
    <t>48.</t>
  </si>
  <si>
    <t>Snjegobran PVC</t>
  </si>
  <si>
    <t>m2</t>
  </si>
  <si>
    <t>49.</t>
  </si>
  <si>
    <t>50.</t>
  </si>
  <si>
    <t>51.</t>
  </si>
  <si>
    <t>Čelična zaštitna ograda JO i JDO</t>
  </si>
  <si>
    <t>52.</t>
  </si>
  <si>
    <t>Konzolni metalni nosač čelične zaštitne ograde</t>
  </si>
  <si>
    <t>53.</t>
  </si>
  <si>
    <t>Čelična ograda mosta</t>
  </si>
  <si>
    <t>54.</t>
  </si>
  <si>
    <t>55.</t>
  </si>
  <si>
    <t>56.</t>
  </si>
  <si>
    <t xml:space="preserve">Čelični stup  </t>
  </si>
  <si>
    <t>57.</t>
  </si>
  <si>
    <t>Čelična sajla</t>
  </si>
  <si>
    <t>58.</t>
  </si>
  <si>
    <t>Žičana mreža</t>
  </si>
  <si>
    <t>59.</t>
  </si>
  <si>
    <t>Žičana mreža za pokose (1,5 kg/m2) sa utezima i sidrima</t>
  </si>
  <si>
    <t>60.</t>
  </si>
  <si>
    <t>Žica za povezivanje</t>
  </si>
  <si>
    <t>61.</t>
  </si>
  <si>
    <t>Žičana mreža na bermi</t>
  </si>
  <si>
    <t>62.</t>
  </si>
  <si>
    <t>Boja za oznake na kolniku</t>
  </si>
  <si>
    <t>63.</t>
  </si>
  <si>
    <t>Razrjeđivač boje za oznake na kolniku</t>
  </si>
  <si>
    <t>l</t>
  </si>
  <si>
    <t>64.</t>
  </si>
  <si>
    <t>65.</t>
  </si>
  <si>
    <t>Razrjeđivač boje za čelik</t>
  </si>
  <si>
    <t>66.</t>
  </si>
  <si>
    <t>Boja za oblogu tunela</t>
  </si>
  <si>
    <t>67.</t>
  </si>
  <si>
    <t>Razrjeđivač boje za oblogu tunela</t>
  </si>
  <si>
    <t>68.</t>
  </si>
  <si>
    <t>Cement PC 45</t>
  </si>
  <si>
    <t>69.</t>
  </si>
  <si>
    <t>Brzovezujući cement</t>
  </si>
  <si>
    <t>70.</t>
  </si>
  <si>
    <t>Cementni mort</t>
  </si>
  <si>
    <t>71.</t>
  </si>
  <si>
    <t>Sredstvo za zaštitu dilatacije</t>
  </si>
  <si>
    <t>72.</t>
  </si>
  <si>
    <t>Elastobit</t>
  </si>
  <si>
    <t>73.</t>
  </si>
  <si>
    <t>Materijal za zapunjavanje sljubnica i pukotina</t>
  </si>
  <si>
    <t>74.</t>
  </si>
  <si>
    <t>Masa za fugiranje</t>
  </si>
  <si>
    <t>75.</t>
  </si>
  <si>
    <t>Hladna asfaltna masa (grambit)</t>
  </si>
  <si>
    <t>76.</t>
  </si>
  <si>
    <t>Sol natrijev klorid za skladište</t>
  </si>
  <si>
    <t>77.</t>
  </si>
  <si>
    <t>78.</t>
  </si>
  <si>
    <t>79.</t>
  </si>
  <si>
    <t>Sadnica</t>
  </si>
  <si>
    <t>80.</t>
  </si>
  <si>
    <t>Butan plin</t>
  </si>
  <si>
    <t>81.</t>
  </si>
  <si>
    <t>Deterdžent - ekološki</t>
  </si>
  <si>
    <t>82.</t>
  </si>
  <si>
    <t>Žarulja</t>
  </si>
  <si>
    <t>83.</t>
  </si>
  <si>
    <t>Voda tehnološka</t>
  </si>
  <si>
    <t>84.</t>
  </si>
  <si>
    <t>Prometni znak dopunska ploča za zimsku službu</t>
  </si>
  <si>
    <t>85.</t>
  </si>
  <si>
    <t>Čelični stup za snjegobran</t>
  </si>
  <si>
    <t>86.</t>
  </si>
  <si>
    <t>Sol natrijev klorid za silose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</si>
  <si>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</si>
  <si>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</si>
  <si>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</si>
  <si>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</si>
  <si>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</si>
  <si>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</si>
  <si>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</si>
  <si>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</si>
  <si>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</si>
  <si>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PVC cijev Ø200 mm</t>
  </si>
  <si>
    <t>96.</t>
  </si>
  <si>
    <t>Reparaturni mort</t>
  </si>
  <si>
    <t>97.</t>
  </si>
  <si>
    <t>Gabionska košara (dim. 1,00 × 1,00 m)</t>
  </si>
  <si>
    <t>CJENIK PRIJEVOZA MATERIJALA</t>
  </si>
  <si>
    <t>(šljunka, pijeska, rasutog tereta i asfalta)</t>
  </si>
  <si>
    <t>Transportna udaljenost
(km)</t>
  </si>
  <si>
    <t>Cijena prijevoza za m3</t>
  </si>
  <si>
    <t>Cijena prijevoza za tonu</t>
  </si>
  <si>
    <t>Cijena
(kn bez PDV-a)</t>
  </si>
  <si>
    <t>Iznos
PDV-a (kn)</t>
  </si>
  <si>
    <t>Cijena
(kn s PDV-om)</t>
  </si>
  <si>
    <t>do</t>
  </si>
  <si>
    <t>PODACI ZA DEVIZNI TEČAJ</t>
  </si>
  <si>
    <t>EURO</t>
  </si>
  <si>
    <t>kn</t>
  </si>
  <si>
    <t>PODACI ZA POREZ</t>
  </si>
  <si>
    <t>PODACI ZA POGONSKA GORIVA</t>
  </si>
  <si>
    <t>NAFTA D2</t>
  </si>
  <si>
    <t>BENZIN</t>
  </si>
  <si>
    <t>NABAVNE CIJENE VOZILA, STROJEVA I OPREME</t>
  </si>
  <si>
    <t>Vrsta vozila, strojeva i opreme</t>
  </si>
  <si>
    <t>Nabavne cijene vozila, strojeva i opreme prema izvornim podacima (kn)</t>
  </si>
  <si>
    <t>Prosječna nabavna cijena (kn bez PDV-a)</t>
  </si>
  <si>
    <t>Prosječna nabavna cijena (EUR)</t>
  </si>
  <si>
    <t>Izvorni podatak 1</t>
  </si>
  <si>
    <t>Izvorni podatak 2</t>
  </si>
  <si>
    <t>Izvorni podatak 3</t>
  </si>
  <si>
    <t>Izvorni podatak 4</t>
  </si>
  <si>
    <t>Izvorni podatak 5</t>
  </si>
  <si>
    <t>Izvorni podatak 6</t>
  </si>
  <si>
    <t>Vozilo za vage (citroen jumper)</t>
  </si>
  <si>
    <t>Vage</t>
  </si>
  <si>
    <t>Grejder</t>
  </si>
  <si>
    <t>Rovokopač (bager) na kotačima</t>
  </si>
  <si>
    <t>Valjak do 2 t</t>
  </si>
  <si>
    <t>Valjak 2-6 t</t>
  </si>
  <si>
    <t>Valjak &gt; 6 t</t>
  </si>
  <si>
    <t>Rezač asfalta</t>
  </si>
  <si>
    <t>Freza za asfalt</t>
  </si>
  <si>
    <t>Cisterna za bitumensku emulziju s rampom za prskanje</t>
  </si>
  <si>
    <t xml:space="preserve">Finišer širine polaganja asfalta 5,0-7,0 m </t>
  </si>
  <si>
    <t>Finišer za remiks</t>
  </si>
  <si>
    <t>Kamion do 2 t</t>
  </si>
  <si>
    <t>Teretni automobil nosivosti &gt; 12 t</t>
  </si>
  <si>
    <t>Teretni automobil nosivosti 3,5-12 t sa dizalicom</t>
  </si>
  <si>
    <t>Autodizalica 28 t</t>
  </si>
  <si>
    <t>Specijalni stroj (Mulag)</t>
  </si>
  <si>
    <t>Vučni posipač</t>
  </si>
  <si>
    <t>Silosni posipač za specijalni stroj (Unimog)</t>
  </si>
  <si>
    <t>Snježni plug za specijani stroj (Unimog)</t>
  </si>
  <si>
    <t>Hidraulička ruka sa kosilicom za specijalni stroj (Unimog)</t>
  </si>
  <si>
    <t>Hidraulička ruka sa kosilicom za traktor</t>
  </si>
  <si>
    <t>Četka za kolnik za specijalni stroj (Unimog)</t>
  </si>
  <si>
    <t>Hidraulička ruka sa škarama za rezanje granja za specijalni stroj (Unimog)</t>
  </si>
  <si>
    <t>Motorna pila</t>
  </si>
  <si>
    <t>Traktorska prikolica</t>
  </si>
  <si>
    <t>Traktorska utovarna korpa</t>
  </si>
  <si>
    <t>Betonska miješalica</t>
  </si>
  <si>
    <t>Pumpa za vodu</t>
  </si>
  <si>
    <t>Vibroploča</t>
  </si>
  <si>
    <t>Skidač oznaka na kolniku</t>
  </si>
  <si>
    <t>Pokretni kompresor s priključcima</t>
  </si>
  <si>
    <t>Pokretni semafor</t>
  </si>
  <si>
    <t>Prijenosni agregat za struju s priključcima</t>
  </si>
  <si>
    <t>Silos za sol</t>
  </si>
  <si>
    <t>Nadstrešnica za sol</t>
  </si>
  <si>
    <t>Termokontejner za asfalt (6t)</t>
  </si>
  <si>
    <t>Mali finišer širine polaganja asfalta 0,5-3,2 m</t>
  </si>
  <si>
    <t>Malčer - rotositnilica za bager</t>
  </si>
  <si>
    <t>Mini rovokopač (bager)</t>
  </si>
  <si>
    <t>Mini utovarivač</t>
  </si>
  <si>
    <t>Priključak za specijalni stroj (Unimog) - usisavač trave</t>
  </si>
  <si>
    <t>Priključak za specijalni stroj (Unimog)  - prikolica za skupljanje usisane trave</t>
  </si>
  <si>
    <t>Priključak za traktor  - prikolica za skupljanje usisane trave</t>
  </si>
  <si>
    <t>Samohodni stroj za oznake na kolniku + Amakos</t>
  </si>
  <si>
    <t>Pervibrator</t>
  </si>
  <si>
    <t>Četka za mini utovarivač</t>
  </si>
  <si>
    <t>Viličar</t>
  </si>
  <si>
    <t>CIJENE SATA RADA VOZILA, STROJEVA I OPREME</t>
  </si>
  <si>
    <t>ULAZNI PODACI</t>
  </si>
  <si>
    <t>SATNICA RUKOVATELJA</t>
  </si>
  <si>
    <t>BROJ SATI RUKOVATELJA</t>
  </si>
  <si>
    <t>KALKULATIVNI BROJ SATI</t>
  </si>
  <si>
    <t>NABAVNA VRIJEDNOST</t>
  </si>
  <si>
    <t>TEČAJ - EURO</t>
  </si>
  <si>
    <t>DEVIZNA NABAVNA VRIJEDNOST - EURO</t>
  </si>
  <si>
    <t>PLAĆA RUKOVATELJA</t>
  </si>
  <si>
    <t>OSIGURANJE</t>
  </si>
  <si>
    <t>REGISTRACIJA</t>
  </si>
  <si>
    <t>GODIŠNJI TEHNIČKI PREGLED</t>
  </si>
  <si>
    <t>PREVENTIVNI TEHNIČKI PREGLED</t>
  </si>
  <si>
    <t>BROJ PREVENTIVNIH TEHNIČKIH PREGLEDA</t>
  </si>
  <si>
    <t>POGONSKA ENERGIJA</t>
  </si>
  <si>
    <t>POTROŠNJA POGONSKE ENERGIJE</t>
  </si>
  <si>
    <t>MAZIVO u % od goriva</t>
  </si>
  <si>
    <t>POTROŠNJA MAZIVA</t>
  </si>
  <si>
    <t>GUME</t>
  </si>
  <si>
    <t>POTROŠNJA GUMA</t>
  </si>
  <si>
    <t>AMORTIZACIJA</t>
  </si>
  <si>
    <t>TEKUĆE ODRŽAVANJE</t>
  </si>
  <si>
    <t>INVESTICIJSKO ODRŽAVANJE</t>
  </si>
  <si>
    <t>RADNI ALAT (NOŽEVI I DR.)</t>
  </si>
  <si>
    <t>BROJ KOMPLETA GODIŠNJI</t>
  </si>
  <si>
    <t>OSTALO FIKSNO (periodički pregled)</t>
  </si>
  <si>
    <t>OSTALO VARIJABILNO</t>
  </si>
  <si>
    <t>FIKSNI TROŠKOVI</t>
  </si>
  <si>
    <t>TEHNIČKI PREGLED</t>
  </si>
  <si>
    <t>PLAĆA RUKOVATELJA I OPĆI TROŠKOVI</t>
  </si>
  <si>
    <t>OSTALI TROŠKOVI</t>
  </si>
  <si>
    <t>UKUPNO FIKSNI TROŠKOVI:</t>
  </si>
  <si>
    <t>VARIJABILNI TROŠKOVI</t>
  </si>
  <si>
    <t>MAZIVO</t>
  </si>
  <si>
    <t>RADNI ALAT</t>
  </si>
  <si>
    <t>UKUPNO VARIJABILNI TROŠKOVI:</t>
  </si>
  <si>
    <t>UKUPNO TROŠKOVI</t>
  </si>
  <si>
    <t>PRODAJNA CIJENA SATA RADA (kn bez PDV-a)</t>
  </si>
  <si>
    <t>IZNOS PDV-a</t>
  </si>
  <si>
    <t>PRODAJNA CIJENA SATA RADA (kn s PDV-om)</t>
  </si>
  <si>
    <t>CJENIK SATA RADA VOZILA, STROJEVA I OPREME</t>
  </si>
  <si>
    <t>Cijena sata rada</t>
  </si>
  <si>
    <t>Cijene ugovorene 2002. za usporedbu</t>
  </si>
  <si>
    <t>Cijena iz 1999. za usporedbu</t>
  </si>
  <si>
    <t>GIU 13.01.2014.</t>
  </si>
  <si>
    <t>CIJENE
2009-2013</t>
  </si>
  <si>
    <t>16.01.
vs
2009</t>
  </si>
  <si>
    <t>13.01.
vs
2009</t>
  </si>
  <si>
    <t xml:space="preserve">Snježna freza - ručna </t>
  </si>
  <si>
    <t>CJENIK OSNOVNIH MATERIJALA</t>
  </si>
  <si>
    <t>Jedinica  mjere</t>
  </si>
  <si>
    <t>Cijene osnovnih materijala fcco gradilište 
po županijama  regije</t>
  </si>
  <si>
    <t>Županija</t>
  </si>
  <si>
    <t>Nabavna cijena
(kn bez PDV-a)</t>
  </si>
  <si>
    <t>Cijena transporta
(kn bez PDV-a)</t>
  </si>
  <si>
    <t>Cijena fcco gradilište
(kn bez PDV-a)</t>
  </si>
  <si>
    <t>Kameni materijal (karbonat) - agregat 4-8 mm</t>
  </si>
  <si>
    <t>Kameni materijal (karbonat) - tucanik 0-30 mm</t>
  </si>
  <si>
    <t>Kameni materijal (karbonat) - tucanik 0-60 mm</t>
  </si>
  <si>
    <t>Kameni materijal (karbonat) -miješani za bankine (jalovina)</t>
  </si>
  <si>
    <t>Kameni materijal (karbonat) - klesani</t>
  </si>
  <si>
    <t>Kamen materijal (karbonat) - lomljeni</t>
  </si>
  <si>
    <t>Beton klase C12/15</t>
  </si>
  <si>
    <t>Beton klase C25/30</t>
  </si>
  <si>
    <t>Beton klase C30/37</t>
  </si>
  <si>
    <t>Betonski element BEPO</t>
  </si>
  <si>
    <t>Betonska zaštitna ograda NEW YERSEY</t>
  </si>
  <si>
    <t>Sredstvo za čiščenje korodiranih dijelova</t>
  </si>
  <si>
    <t>Betonski čelik RA 400/500 i MAR 500/560</t>
  </si>
  <si>
    <t>Staklene kuglice (perla)</t>
  </si>
  <si>
    <t>Boja za čelik - temeljna</t>
  </si>
  <si>
    <t>Boja za čelik- završna</t>
  </si>
  <si>
    <t>Betonski temelj</t>
  </si>
  <si>
    <t>Asfalt BNS 22</t>
  </si>
  <si>
    <t>Staklene kuglice (perla) granulacije 0,125-0,600 mm</t>
  </si>
  <si>
    <t>Staklene kuglice (perla) granulacije 0,125-0,800 mm</t>
  </si>
  <si>
    <t>Staklene kuglice (perla) granulacije 0,250-1,200 mm</t>
  </si>
  <si>
    <t>Pijesak 0-4 s prijevozom</t>
  </si>
  <si>
    <t>Beton klase C16/20 s prijevozom</t>
  </si>
  <si>
    <t>Stup zaštitne odbojne ograde</t>
  </si>
  <si>
    <t>Plašt zaštitne odbojne ograde</t>
  </si>
  <si>
    <t>98.</t>
  </si>
  <si>
    <t>99.</t>
  </si>
  <si>
    <t>INP nosač za prometne ploče</t>
  </si>
  <si>
    <t>100.</t>
  </si>
  <si>
    <t>Sol natrijev klorid za silos</t>
  </si>
  <si>
    <t>101.</t>
  </si>
  <si>
    <t>102.</t>
  </si>
  <si>
    <t>komad</t>
  </si>
  <si>
    <t xml:space="preserve">Čišćenje ploča oznake kulturnih dobara: obuhvaća pranje ploča, uklanjanje plakata i sl.              Obračun za kompletno izvršenu uslugu.
</t>
  </si>
  <si>
    <t>Održavanje klupa: obuhvaća dobavu,  dijelova ili kompletnih klupa, čišćenje i bojanje klupa. Obračun za kompletno izvršenu uslugu.</t>
  </si>
  <si>
    <t>ZA IZVODITELJA:</t>
  </si>
  <si>
    <t>ZA NARUČITELJA:</t>
  </si>
  <si>
    <t>Nada Marijanović, mag.ing.silv.</t>
  </si>
  <si>
    <t>Svemirko Milković, mag.ing.traff.</t>
  </si>
  <si>
    <t>___________________________</t>
  </si>
  <si>
    <t>________________________</t>
  </si>
  <si>
    <t>PRIVREMENA MJESEČNA SITUACIJA ZA RADOVE REDOVITOG ODRŽAVANJA GRAĐEVINA, UREĐAJA I PREDMETA JAVNE NAMJENE</t>
  </si>
  <si>
    <t>ZA PERIOD 01.12.2021.  DO 31.12.2021.</t>
  </si>
  <si>
    <t>PERUŠIĆ d.o.o.</t>
  </si>
  <si>
    <t>CJENIK OSNOVNIH MATERIJALA 2021 - 2022</t>
  </si>
  <si>
    <t xml:space="preserve">         ZA IZVODITELJA:</t>
  </si>
  <si>
    <t>______________________</t>
  </si>
  <si>
    <t>________________</t>
  </si>
  <si>
    <t>Održavanje funcionalnosti javne fontane</t>
  </si>
  <si>
    <t>Čišćenje ploča s planom naselja i ploča oznake kulturnih dobara</t>
  </si>
  <si>
    <t>MANJI POPRAVCI JAVNOG SATA</t>
  </si>
  <si>
    <t>Održavanje oznaka</t>
  </si>
  <si>
    <t>Zamjena oznaka ulica, parkova i trgova, te njihovo pranje i čišćenje: obuhvaća dobavu, zamjenu i čišćenje oznaka. Obračun za kompletno izvršenu uslugu.</t>
  </si>
  <si>
    <t>Čišćenje stajališta javnog prometa</t>
  </si>
  <si>
    <t>Mani popravci fontane: obuhvaća sav rad i materijal.                                                Obračun za kompletno izvršenu uslugu</t>
  </si>
  <si>
    <t>Teretni automobil nosivosti do 3,5t</t>
  </si>
  <si>
    <t>ODRŽAVANJE GRAĐEVINA, UREĐAJA I PREDMETA JAVNE NAMJENE</t>
  </si>
  <si>
    <t>____________</t>
  </si>
  <si>
    <t xml:space="preserve">   IZVODITELJ:</t>
  </si>
  <si>
    <t>Temeljni premaz za drvo</t>
  </si>
  <si>
    <t>Premaz za metal</t>
  </si>
  <si>
    <t>Razrjeđivač za drvo</t>
  </si>
  <si>
    <t>Mikrokomplex balance za fontanu</t>
  </si>
  <si>
    <t>Oznaka ulice</t>
  </si>
  <si>
    <t>Klupa 1800 mm</t>
  </si>
  <si>
    <t xml:space="preserve">Materijal za pranje </t>
  </si>
  <si>
    <t>___________</t>
  </si>
  <si>
    <t>JAVNE NAMJENE</t>
  </si>
  <si>
    <t>Prijevoz klupa</t>
  </si>
</sst>
</file>

<file path=xl/styles.xml><?xml version="1.0" encoding="utf-8"?>
<styleSheet xmlns="http://schemas.openxmlformats.org/spreadsheetml/2006/main">
  <numFmts count="11">
    <numFmt numFmtId="43" formatCode="_-* #,##0.00\ _k_n_-;\-* #,##0.00\ _k_n_-;_-* &quot;-&quot;??\ _k_n_-;_-@_-"/>
    <numFmt numFmtId="164" formatCode="0.000"/>
    <numFmt numFmtId="165" formatCode="0.000000"/>
    <numFmt numFmtId="166" formatCode="#,##0.000"/>
    <numFmt numFmtId="167" formatCode="#,##0.000000"/>
    <numFmt numFmtId="168" formatCode="#,##0.0000"/>
    <numFmt numFmtId="169" formatCode="#,##0.00\ &quot;kn&quot;"/>
    <numFmt numFmtId="170" formatCode="0.0"/>
    <numFmt numFmtId="171" formatCode="0.0000000"/>
    <numFmt numFmtId="172" formatCode="#,##0.00;[Red]#,##0.00"/>
    <numFmt numFmtId="173" formatCode="#,##0.00\ &quot;kn&quot;;[Red]#,##0.00\ &quot;kn&quot;"/>
  </numFmts>
  <fonts count="89">
    <font>
      <sz val="10"/>
      <name val="CRO_Swiss-Normal"/>
    </font>
    <font>
      <sz val="10"/>
      <name val="CRO_Swiss-Normal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color indexed="32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8"/>
      <color indexed="10"/>
      <name val="Tahoma"/>
      <family val="2"/>
      <charset val="238"/>
    </font>
    <font>
      <b/>
      <u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  <charset val="238"/>
    </font>
    <font>
      <sz val="10"/>
      <color indexed="10"/>
      <name val="Tahoma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i/>
      <sz val="10"/>
      <name val="Arial"/>
      <family val="2"/>
    </font>
    <font>
      <b/>
      <i/>
      <sz val="10"/>
      <color indexed="10"/>
      <name val="Arial"/>
      <family val="2"/>
      <charset val="238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56"/>
      <name val="Tahoma"/>
      <family val="2"/>
      <charset val="238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Tahoma"/>
      <family val="2"/>
      <charset val="238"/>
    </font>
    <font>
      <b/>
      <sz val="12"/>
      <color indexed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10"/>
      <name val="CRO_Swiss-Normal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5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7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21" borderId="2" applyNumberFormat="0" applyAlignment="0" applyProtection="0"/>
    <xf numFmtId="0" fontId="13" fillId="3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3" fillId="0" borderId="0"/>
    <xf numFmtId="0" fontId="8" fillId="0" borderId="0"/>
    <xf numFmtId="0" fontId="1" fillId="0" borderId="0"/>
    <xf numFmtId="0" fontId="1" fillId="20" borderId="1" applyNumberFormat="0" applyFont="0" applyAlignment="0" applyProtection="0"/>
    <xf numFmtId="0" fontId="8" fillId="0" borderId="0"/>
    <xf numFmtId="0" fontId="44" fillId="0" borderId="0"/>
    <xf numFmtId="0" fontId="44" fillId="0" borderId="0"/>
    <xf numFmtId="0" fontId="8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24" fillId="21" borderId="7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15" fillId="22" borderId="3" applyNumberFormat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1" fillId="7" borderId="2" applyNumberFormat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96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2" fontId="3" fillId="0" borderId="0" xfId="0" applyNumberFormat="1" applyFont="1"/>
    <xf numFmtId="0" fontId="3" fillId="0" borderId="0" xfId="0" applyFont="1" applyAlignment="1">
      <alignment vertical="top"/>
    </xf>
    <xf numFmtId="49" fontId="4" fillId="24" borderId="0" xfId="0" applyNumberFormat="1" applyFont="1" applyFill="1" applyAlignment="1">
      <alignment horizontal="left" vertical="center"/>
    </xf>
    <xf numFmtId="0" fontId="4" fillId="24" borderId="0" xfId="0" applyFont="1" applyFill="1" applyAlignment="1">
      <alignment vertical="top"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centerContinuous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3" fillId="25" borderId="13" xfId="0" quotePrefix="1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4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/>
    </xf>
    <xf numFmtId="10" fontId="3" fillId="0" borderId="10" xfId="42" quotePrefix="1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center"/>
    </xf>
    <xf numFmtId="4" fontId="4" fillId="25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0" fontId="3" fillId="0" borderId="16" xfId="0" applyNumberFormat="1" applyFont="1" applyBorder="1" applyAlignment="1">
      <alignment horizontal="center" vertical="center"/>
    </xf>
    <xf numFmtId="165" fontId="3" fillId="25" borderId="16" xfId="0" applyNumberFormat="1" applyFont="1" applyFill="1" applyBorder="1" applyAlignment="1">
      <alignment horizontal="center" vertical="center"/>
    </xf>
    <xf numFmtId="166" fontId="3" fillId="0" borderId="16" xfId="0" applyNumberFormat="1" applyFont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2" fontId="4" fillId="24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7" fontId="3" fillId="25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left" vertical="center"/>
    </xf>
    <xf numFmtId="0" fontId="4" fillId="26" borderId="0" xfId="0" applyFont="1" applyFill="1" applyAlignment="1">
      <alignment horizontal="left" vertical="center"/>
    </xf>
    <xf numFmtId="2" fontId="4" fillId="26" borderId="0" xfId="0" applyNumberFormat="1" applyFont="1" applyFill="1" applyAlignment="1">
      <alignment vertical="center"/>
    </xf>
    <xf numFmtId="0" fontId="4" fillId="26" borderId="0" xfId="0" applyFont="1" applyFill="1" applyAlignment="1">
      <alignment vertical="top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67" fontId="3" fillId="25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67" fontId="3" fillId="25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/>
    </xf>
    <xf numFmtId="16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67" fontId="3" fillId="25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vertical="center"/>
    </xf>
    <xf numFmtId="166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67" fontId="3" fillId="25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/>
    </xf>
    <xf numFmtId="166" fontId="3" fillId="0" borderId="20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65" fontId="3" fillId="25" borderId="17" xfId="0" quotePrefix="1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65" fontId="3" fillId="25" borderId="18" xfId="0" quotePrefix="1" applyNumberFormat="1" applyFont="1" applyFill="1" applyBorder="1" applyAlignment="1">
      <alignment horizontal="center" vertical="center"/>
    </xf>
    <xf numFmtId="165" fontId="3" fillId="25" borderId="0" xfId="0" applyNumberFormat="1" applyFont="1" applyFill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165" fontId="3" fillId="25" borderId="21" xfId="0" quotePrefix="1" applyNumberFormat="1" applyFont="1" applyFill="1" applyBorder="1" applyAlignment="1">
      <alignment horizontal="center" vertical="center"/>
    </xf>
    <xf numFmtId="166" fontId="3" fillId="0" borderId="21" xfId="0" applyNumberFormat="1" applyFont="1" applyBorder="1" applyAlignment="1">
      <alignment vertical="center"/>
    </xf>
    <xf numFmtId="165" fontId="3" fillId="25" borderId="20" xfId="0" quotePrefix="1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7" fontId="3" fillId="25" borderId="21" xfId="0" applyNumberFormat="1" applyFont="1" applyFill="1" applyBorder="1" applyAlignment="1">
      <alignment horizontal="center" vertical="center"/>
    </xf>
    <xf numFmtId="165" fontId="3" fillId="25" borderId="17" xfId="0" applyNumberFormat="1" applyFont="1" applyFill="1" applyBorder="1" applyAlignment="1">
      <alignment horizontal="center" vertical="center"/>
    </xf>
    <xf numFmtId="165" fontId="3" fillId="25" borderId="19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0" fontId="3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0" fontId="3" fillId="0" borderId="19" xfId="0" applyNumberFormat="1" applyFont="1" applyBorder="1" applyAlignment="1">
      <alignment horizontal="center"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4" fillId="25" borderId="0" xfId="0" applyFont="1" applyFill="1" applyAlignment="1">
      <alignment horizontal="left" vertical="center"/>
    </xf>
    <xf numFmtId="2" fontId="4" fillId="25" borderId="0" xfId="0" applyNumberFormat="1" applyFont="1" applyFill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7" fontId="3" fillId="25" borderId="22" xfId="0" applyNumberFormat="1" applyFont="1" applyFill="1" applyBorder="1" applyAlignment="1">
      <alignment horizontal="center" vertical="center"/>
    </xf>
    <xf numFmtId="166" fontId="3" fillId="0" borderId="22" xfId="0" applyNumberFormat="1" applyFont="1" applyBorder="1" applyAlignment="1">
      <alignment vertical="center"/>
    </xf>
    <xf numFmtId="165" fontId="3" fillId="25" borderId="20" xfId="0" applyNumberFormat="1" applyFont="1" applyFill="1" applyBorder="1" applyAlignment="1">
      <alignment horizontal="center" vertical="center"/>
    </xf>
    <xf numFmtId="165" fontId="3" fillId="25" borderId="11" xfId="0" applyNumberFormat="1" applyFont="1" applyFill="1" applyBorder="1" applyAlignment="1">
      <alignment horizontal="center" vertical="center"/>
    </xf>
    <xf numFmtId="0" fontId="3" fillId="0" borderId="0" xfId="35" applyFont="1"/>
    <xf numFmtId="4" fontId="3" fillId="0" borderId="0" xfId="35" applyNumberFormat="1" applyFont="1"/>
    <xf numFmtId="0" fontId="3" fillId="0" borderId="0" xfId="34" applyFont="1"/>
    <xf numFmtId="0" fontId="3" fillId="0" borderId="0" xfId="34" applyFont="1" applyAlignment="1">
      <alignment horizontal="center" vertical="center"/>
    </xf>
    <xf numFmtId="0" fontId="3" fillId="0" borderId="23" xfId="35" applyFont="1" applyBorder="1" applyAlignment="1">
      <alignment vertical="center" wrapText="1"/>
    </xf>
    <xf numFmtId="0" fontId="3" fillId="0" borderId="23" xfId="35" applyFont="1" applyBorder="1" applyAlignment="1">
      <alignment horizontal="left" vertical="center" wrapText="1"/>
    </xf>
    <xf numFmtId="0" fontId="3" fillId="0" borderId="24" xfId="35" applyFont="1" applyBorder="1" applyAlignment="1">
      <alignment horizontal="center" vertical="center"/>
    </xf>
    <xf numFmtId="0" fontId="7" fillId="26" borderId="0" xfId="0" applyFont="1" applyFill="1" applyAlignment="1">
      <alignment horizontal="left" vertical="center"/>
    </xf>
    <xf numFmtId="0" fontId="5" fillId="26" borderId="0" xfId="0" applyFont="1" applyFill="1" applyAlignment="1">
      <alignment vertical="center"/>
    </xf>
    <xf numFmtId="0" fontId="3" fillId="26" borderId="0" xfId="0" applyFont="1" applyFill="1" applyAlignment="1">
      <alignment horizontal="left" vertical="center"/>
    </xf>
    <xf numFmtId="0" fontId="4" fillId="26" borderId="0" xfId="0" applyFont="1" applyFill="1" applyAlignment="1">
      <alignment vertical="center"/>
    </xf>
    <xf numFmtId="49" fontId="3" fillId="26" borderId="0" xfId="0" applyNumberFormat="1" applyFont="1" applyFill="1" applyAlignment="1">
      <alignment horizontal="left" vertical="center"/>
    </xf>
    <xf numFmtId="0" fontId="4" fillId="26" borderId="0" xfId="0" applyFont="1" applyFill="1" applyAlignment="1">
      <alignment vertical="top" wrapText="1"/>
    </xf>
    <xf numFmtId="0" fontId="3" fillId="27" borderId="10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 wrapText="1"/>
    </xf>
    <xf numFmtId="165" fontId="3" fillId="27" borderId="10" xfId="0" applyNumberFormat="1" applyFont="1" applyFill="1" applyBorder="1" applyAlignment="1">
      <alignment horizontal="center" vertical="center"/>
    </xf>
    <xf numFmtId="2" fontId="3" fillId="27" borderId="10" xfId="0" applyNumberFormat="1" applyFont="1" applyFill="1" applyBorder="1" applyAlignment="1">
      <alignment horizontal="center" vertical="center" wrapText="1"/>
    </xf>
    <xf numFmtId="2" fontId="3" fillId="27" borderId="10" xfId="0" applyNumberFormat="1" applyFont="1" applyFill="1" applyBorder="1" applyAlignment="1">
      <alignment horizontal="center" vertical="center"/>
    </xf>
    <xf numFmtId="0" fontId="4" fillId="27" borderId="11" xfId="0" applyFont="1" applyFill="1" applyBorder="1" applyAlignment="1">
      <alignment horizontal="left" vertical="center"/>
    </xf>
    <xf numFmtId="0" fontId="3" fillId="27" borderId="22" xfId="0" applyFont="1" applyFill="1" applyBorder="1" applyAlignment="1">
      <alignment horizontal="center" vertical="center"/>
    </xf>
    <xf numFmtId="165" fontId="3" fillId="27" borderId="22" xfId="0" applyNumberFormat="1" applyFont="1" applyFill="1" applyBorder="1" applyAlignment="1">
      <alignment horizontal="center" vertical="center"/>
    </xf>
    <xf numFmtId="4" fontId="3" fillId="27" borderId="22" xfId="0" applyNumberFormat="1" applyFont="1" applyFill="1" applyBorder="1" applyAlignment="1">
      <alignment vertical="center"/>
    </xf>
    <xf numFmtId="4" fontId="3" fillId="0" borderId="11" xfId="0" applyNumberFormat="1" applyFont="1" applyBorder="1"/>
    <xf numFmtId="0" fontId="3" fillId="27" borderId="11" xfId="0" applyFont="1" applyFill="1" applyBorder="1" applyAlignment="1">
      <alignment horizontal="center" vertical="center"/>
    </xf>
    <xf numFmtId="165" fontId="3" fillId="27" borderId="11" xfId="0" applyNumberFormat="1" applyFont="1" applyFill="1" applyBorder="1" applyAlignment="1">
      <alignment horizontal="center" vertical="center"/>
    </xf>
    <xf numFmtId="4" fontId="3" fillId="27" borderId="11" xfId="0" applyNumberFormat="1" applyFont="1" applyFill="1" applyBorder="1" applyAlignment="1">
      <alignment vertical="center"/>
    </xf>
    <xf numFmtId="165" fontId="3" fillId="25" borderId="19" xfId="0" quotePrefix="1" applyNumberFormat="1" applyFont="1" applyFill="1" applyBorder="1" applyAlignment="1">
      <alignment horizontal="center" vertical="center"/>
    </xf>
    <xf numFmtId="2" fontId="3" fillId="27" borderId="10" xfId="0" applyNumberFormat="1" applyFont="1" applyFill="1" applyBorder="1" applyAlignment="1">
      <alignment horizontal="right" vertical="center"/>
    </xf>
    <xf numFmtId="10" fontId="4" fillId="27" borderId="10" xfId="42" quotePrefix="1" applyNumberFormat="1" applyFont="1" applyFill="1" applyBorder="1" applyAlignment="1">
      <alignment horizontal="right" vertical="center"/>
    </xf>
    <xf numFmtId="0" fontId="3" fillId="27" borderId="0" xfId="0" applyFont="1" applyFill="1" applyAlignment="1">
      <alignment horizont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67" fontId="3" fillId="25" borderId="25" xfId="0" applyNumberFormat="1" applyFont="1" applyFill="1" applyBorder="1" applyAlignment="1">
      <alignment horizontal="center" vertical="center"/>
    </xf>
    <xf numFmtId="166" fontId="3" fillId="0" borderId="25" xfId="0" applyNumberFormat="1" applyFont="1" applyBorder="1" applyAlignment="1">
      <alignment vertical="center"/>
    </xf>
    <xf numFmtId="165" fontId="3" fillId="25" borderId="0" xfId="0" applyNumberFormat="1" applyFont="1" applyFill="1" applyAlignment="1">
      <alignment horizontal="center" vertical="center"/>
    </xf>
    <xf numFmtId="167" fontId="3" fillId="25" borderId="18" xfId="0" quotePrefix="1" applyNumberFormat="1" applyFont="1" applyFill="1" applyBorder="1" applyAlignment="1">
      <alignment horizontal="center" vertical="center"/>
    </xf>
    <xf numFmtId="167" fontId="3" fillId="25" borderId="21" xfId="0" quotePrefix="1" applyNumberFormat="1" applyFont="1" applyFill="1" applyBorder="1" applyAlignment="1">
      <alignment horizontal="center" vertical="center"/>
    </xf>
    <xf numFmtId="0" fontId="4" fillId="28" borderId="0" xfId="0" applyFont="1" applyFill="1" applyAlignment="1">
      <alignment horizontal="left" vertical="center"/>
    </xf>
    <xf numFmtId="2" fontId="4" fillId="28" borderId="0" xfId="0" applyNumberFormat="1" applyFont="1" applyFill="1" applyAlignment="1">
      <alignment vertical="center"/>
    </xf>
    <xf numFmtId="0" fontId="4" fillId="28" borderId="0" xfId="0" applyFont="1" applyFill="1" applyAlignment="1">
      <alignment vertical="top"/>
    </xf>
    <xf numFmtId="165" fontId="4" fillId="0" borderId="10" xfId="0" applyNumberFormat="1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left" vertical="center"/>
    </xf>
    <xf numFmtId="49" fontId="4" fillId="28" borderId="0" xfId="0" applyNumberFormat="1" applyFont="1" applyFill="1" applyAlignment="1">
      <alignment horizontal="left" vertical="center"/>
    </xf>
    <xf numFmtId="3" fontId="4" fillId="28" borderId="0" xfId="0" applyNumberFormat="1" applyFont="1" applyFill="1" applyAlignment="1">
      <alignment horizontal="left" vertical="center"/>
    </xf>
    <xf numFmtId="165" fontId="3" fillId="25" borderId="22" xfId="0" applyNumberFormat="1" applyFont="1" applyFill="1" applyBorder="1" applyAlignment="1">
      <alignment horizontal="center" vertical="center"/>
    </xf>
    <xf numFmtId="0" fontId="3" fillId="0" borderId="26" xfId="35" applyFont="1" applyBorder="1" applyAlignment="1">
      <alignment horizontal="center" vertical="center"/>
    </xf>
    <xf numFmtId="0" fontId="3" fillId="0" borderId="30" xfId="35" applyFont="1" applyBorder="1" applyAlignment="1">
      <alignment horizontal="center" vertical="center"/>
    </xf>
    <xf numFmtId="4" fontId="4" fillId="28" borderId="31" xfId="35" applyNumberFormat="1" applyFont="1" applyFill="1" applyBorder="1" applyAlignment="1">
      <alignment vertical="center"/>
    </xf>
    <xf numFmtId="0" fontId="3" fillId="0" borderId="32" xfId="35" applyFont="1" applyBorder="1" applyAlignment="1">
      <alignment horizontal="center" vertical="center"/>
    </xf>
    <xf numFmtId="0" fontId="3" fillId="0" borderId="33" xfId="35" applyFont="1" applyBorder="1" applyAlignment="1">
      <alignment vertical="center" wrapText="1"/>
    </xf>
    <xf numFmtId="0" fontId="3" fillId="0" borderId="34" xfId="35" applyFont="1" applyBorder="1" applyAlignment="1">
      <alignment horizontal="center" vertical="center"/>
    </xf>
    <xf numFmtId="4" fontId="4" fillId="28" borderId="35" xfId="35" applyNumberFormat="1" applyFont="1" applyFill="1" applyBorder="1" applyAlignment="1">
      <alignment vertical="center"/>
    </xf>
    <xf numFmtId="0" fontId="3" fillId="30" borderId="30" xfId="35" applyFont="1" applyFill="1" applyBorder="1" applyAlignment="1">
      <alignment horizontal="center" vertical="center"/>
    </xf>
    <xf numFmtId="0" fontId="3" fillId="30" borderId="23" xfId="35" applyFont="1" applyFill="1" applyBorder="1" applyAlignment="1">
      <alignment horizontal="left" vertical="center" wrapText="1"/>
    </xf>
    <xf numFmtId="0" fontId="3" fillId="30" borderId="24" xfId="35" applyFont="1" applyFill="1" applyBorder="1" applyAlignment="1">
      <alignment horizontal="center" vertical="center"/>
    </xf>
    <xf numFmtId="4" fontId="4" fillId="30" borderId="31" xfId="35" applyNumberFormat="1" applyFont="1" applyFill="1" applyBorder="1" applyAlignment="1">
      <alignment vertical="center"/>
    </xf>
    <xf numFmtId="0" fontId="3" fillId="30" borderId="23" xfId="35" applyFont="1" applyFill="1" applyBorder="1" applyAlignment="1">
      <alignment vertical="center" wrapText="1"/>
    </xf>
    <xf numFmtId="3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vertical="top"/>
    </xf>
    <xf numFmtId="0" fontId="8" fillId="0" borderId="0" xfId="37"/>
    <xf numFmtId="0" fontId="31" fillId="0" borderId="0" xfId="42" applyFont="1"/>
    <xf numFmtId="0" fontId="32" fillId="0" borderId="0" xfId="42" applyFont="1" applyAlignment="1">
      <alignment horizontal="center"/>
    </xf>
    <xf numFmtId="0" fontId="32" fillId="0" borderId="0" xfId="42" applyFont="1" applyAlignment="1">
      <alignment horizontal="center" vertical="center"/>
    </xf>
    <xf numFmtId="0" fontId="32" fillId="27" borderId="36" xfId="42" applyFont="1" applyFill="1" applyBorder="1" applyAlignment="1">
      <alignment horizontal="center" vertical="center" wrapText="1"/>
    </xf>
    <xf numFmtId="4" fontId="32" fillId="25" borderId="37" xfId="42" applyNumberFormat="1" applyFont="1" applyFill="1" applyBorder="1" applyAlignment="1" applyProtection="1">
      <alignment horizontal="right" vertical="center"/>
      <protection locked="0"/>
    </xf>
    <xf numFmtId="0" fontId="33" fillId="0" borderId="0" xfId="42" applyFont="1" applyAlignment="1">
      <alignment horizontal="center" vertical="center"/>
    </xf>
    <xf numFmtId="0" fontId="33" fillId="0" borderId="0" xfId="42" applyFont="1" applyAlignment="1">
      <alignment vertical="center"/>
    </xf>
    <xf numFmtId="0" fontId="32" fillId="27" borderId="38" xfId="42" applyFont="1" applyFill="1" applyBorder="1" applyAlignment="1">
      <alignment horizontal="center" vertical="center" wrapText="1"/>
    </xf>
    <xf numFmtId="2" fontId="32" fillId="25" borderId="39" xfId="42" applyNumberFormat="1" applyFont="1" applyFill="1" applyBorder="1" applyAlignment="1" applyProtection="1">
      <alignment horizontal="right" vertical="center"/>
      <protection locked="0"/>
    </xf>
    <xf numFmtId="0" fontId="33" fillId="0" borderId="0" xfId="37" applyFont="1" applyAlignment="1">
      <alignment vertical="center"/>
    </xf>
    <xf numFmtId="0" fontId="32" fillId="27" borderId="40" xfId="42" applyFont="1" applyFill="1" applyBorder="1" applyAlignment="1">
      <alignment horizontal="center" vertical="center" wrapText="1"/>
    </xf>
    <xf numFmtId="2" fontId="32" fillId="25" borderId="41" xfId="42" applyNumberFormat="1" applyFont="1" applyFill="1" applyBorder="1" applyAlignment="1" applyProtection="1">
      <alignment horizontal="right" vertical="center"/>
      <protection locked="0"/>
    </xf>
    <xf numFmtId="0" fontId="32" fillId="27" borderId="38" xfId="42" applyFont="1" applyFill="1" applyBorder="1" applyAlignment="1">
      <alignment horizontal="center" vertical="center"/>
    </xf>
    <xf numFmtId="10" fontId="32" fillId="25" borderId="39" xfId="42" quotePrefix="1" applyNumberFormat="1" applyFont="1" applyFill="1" applyBorder="1" applyAlignment="1" applyProtection="1">
      <alignment horizontal="right" vertical="center"/>
      <protection locked="0"/>
    </xf>
    <xf numFmtId="2" fontId="33" fillId="0" borderId="0" xfId="42" quotePrefix="1" applyNumberFormat="1" applyFont="1" applyAlignment="1">
      <alignment vertical="center"/>
    </xf>
    <xf numFmtId="10" fontId="34" fillId="0" borderId="42" xfId="42" applyNumberFormat="1" applyFont="1" applyBorder="1" applyAlignment="1">
      <alignment horizontal="right" vertical="center"/>
    </xf>
    <xf numFmtId="0" fontId="33" fillId="0" borderId="0" xfId="42" applyFont="1" applyAlignment="1">
      <alignment horizontal="center" vertical="center" wrapText="1"/>
    </xf>
    <xf numFmtId="0" fontId="32" fillId="27" borderId="43" xfId="42" applyFont="1" applyFill="1" applyBorder="1" applyAlignment="1">
      <alignment horizontal="center" vertical="center"/>
    </xf>
    <xf numFmtId="2" fontId="34" fillId="25" borderId="44" xfId="42" applyNumberFormat="1" applyFont="1" applyFill="1" applyBorder="1" applyAlignment="1" applyProtection="1">
      <alignment horizontal="right" vertical="center"/>
      <protection locked="0"/>
    </xf>
    <xf numFmtId="0" fontId="32" fillId="27" borderId="45" xfId="42" applyFont="1" applyFill="1" applyBorder="1" applyAlignment="1">
      <alignment horizontal="center" vertical="center" wrapText="1"/>
    </xf>
    <xf numFmtId="0" fontId="32" fillId="27" borderId="46" xfId="42" applyFont="1" applyFill="1" applyBorder="1" applyAlignment="1">
      <alignment horizontal="center" vertical="center" wrapText="1"/>
    </xf>
    <xf numFmtId="0" fontId="32" fillId="27" borderId="47" xfId="42" applyFont="1" applyFill="1" applyBorder="1" applyAlignment="1">
      <alignment horizontal="center" vertical="center" wrapText="1"/>
    </xf>
    <xf numFmtId="2" fontId="32" fillId="27" borderId="46" xfId="42" applyNumberFormat="1" applyFont="1" applyFill="1" applyBorder="1" applyAlignment="1">
      <alignment horizontal="center" vertical="center" wrapText="1"/>
    </xf>
    <xf numFmtId="2" fontId="32" fillId="27" borderId="48" xfId="42" applyNumberFormat="1" applyFont="1" applyFill="1" applyBorder="1" applyAlignment="1">
      <alignment horizontal="center" vertical="center" wrapText="1"/>
    </xf>
    <xf numFmtId="0" fontId="4" fillId="0" borderId="0" xfId="42" applyFont="1" applyAlignment="1">
      <alignment horizontal="center" vertical="center" wrapText="1"/>
    </xf>
    <xf numFmtId="0" fontId="33" fillId="0" borderId="26" xfId="42" applyFont="1" applyBorder="1" applyAlignment="1">
      <alignment horizontal="center" vertical="center"/>
    </xf>
    <xf numFmtId="4" fontId="32" fillId="25" borderId="49" xfId="42" applyNumberFormat="1" applyFont="1" applyFill="1" applyBorder="1" applyAlignment="1" applyProtection="1">
      <alignment horizontal="center" vertical="center"/>
      <protection locked="0"/>
    </xf>
    <xf numFmtId="0" fontId="32" fillId="0" borderId="50" xfId="42" applyFont="1" applyBorder="1" applyAlignment="1">
      <alignment vertical="center"/>
    </xf>
    <xf numFmtId="4" fontId="34" fillId="0" borderId="29" xfId="42" applyNumberFormat="1" applyFont="1" applyBorder="1" applyAlignment="1">
      <alignment vertical="center"/>
    </xf>
    <xf numFmtId="4" fontId="33" fillId="0" borderId="51" xfId="42" applyNumberFormat="1" applyFont="1" applyBorder="1" applyAlignment="1">
      <alignment vertical="center"/>
    </xf>
    <xf numFmtId="4" fontId="33" fillId="0" borderId="28" xfId="42" applyNumberFormat="1" applyFont="1" applyBorder="1" applyAlignment="1">
      <alignment vertical="center"/>
    </xf>
    <xf numFmtId="0" fontId="33" fillId="0" borderId="30" xfId="42" applyFont="1" applyBorder="1" applyAlignment="1">
      <alignment horizontal="center" vertical="center"/>
    </xf>
    <xf numFmtId="4" fontId="32" fillId="25" borderId="52" xfId="42" applyNumberFormat="1" applyFont="1" applyFill="1" applyBorder="1" applyAlignment="1" applyProtection="1">
      <alignment horizontal="center" vertical="center"/>
      <protection locked="0"/>
    </xf>
    <xf numFmtId="0" fontId="32" fillId="0" borderId="18" xfId="42" applyFont="1" applyBorder="1" applyAlignment="1">
      <alignment vertical="center"/>
    </xf>
    <xf numFmtId="4" fontId="34" fillId="0" borderId="31" xfId="42" applyNumberFormat="1" applyFont="1" applyBorder="1" applyAlignment="1">
      <alignment vertical="center"/>
    </xf>
    <xf numFmtId="4" fontId="33" fillId="0" borderId="53" xfId="42" applyNumberFormat="1" applyFont="1" applyBorder="1" applyAlignment="1">
      <alignment vertical="center"/>
    </xf>
    <xf numFmtId="4" fontId="33" fillId="0" borderId="24" xfId="42" applyNumberFormat="1" applyFont="1" applyBorder="1" applyAlignment="1">
      <alignment vertical="center"/>
    </xf>
    <xf numFmtId="0" fontId="9" fillId="0" borderId="0" xfId="42" applyFont="1"/>
    <xf numFmtId="0" fontId="32" fillId="0" borderId="54" xfId="42" applyFont="1" applyBorder="1" applyAlignment="1">
      <alignment vertical="center"/>
    </xf>
    <xf numFmtId="0" fontId="33" fillId="0" borderId="55" xfId="42" applyFont="1" applyBorder="1" applyAlignment="1">
      <alignment horizontal="center" vertical="center"/>
    </xf>
    <xf numFmtId="4" fontId="32" fillId="25" borderId="56" xfId="42" applyNumberFormat="1" applyFont="1" applyFill="1" applyBorder="1" applyAlignment="1" applyProtection="1">
      <alignment horizontal="center" vertical="center"/>
      <protection locked="0"/>
    </xf>
    <xf numFmtId="0" fontId="32" fillId="0" borderId="57" xfId="42" applyFont="1" applyBorder="1" applyAlignment="1">
      <alignment vertical="center"/>
    </xf>
    <xf numFmtId="4" fontId="34" fillId="0" borderId="58" xfId="42" applyNumberFormat="1" applyFont="1" applyBorder="1" applyAlignment="1">
      <alignment vertical="center"/>
    </xf>
    <xf numFmtId="4" fontId="33" fillId="0" borderId="59" xfId="42" applyNumberFormat="1" applyFont="1" applyBorder="1" applyAlignment="1">
      <alignment vertical="center"/>
    </xf>
    <xf numFmtId="4" fontId="33" fillId="0" borderId="60" xfId="42" applyNumberFormat="1" applyFont="1" applyBorder="1" applyAlignment="1">
      <alignment vertical="center"/>
    </xf>
    <xf numFmtId="0" fontId="33" fillId="0" borderId="61" xfId="42" applyFont="1" applyBorder="1" applyAlignment="1">
      <alignment horizontal="center" vertical="center"/>
    </xf>
    <xf numFmtId="4" fontId="33" fillId="29" borderId="62" xfId="42" applyNumberFormat="1" applyFont="1" applyFill="1" applyBorder="1" applyAlignment="1">
      <alignment horizontal="center" vertical="center"/>
    </xf>
    <xf numFmtId="0" fontId="33" fillId="0" borderId="62" xfId="42" applyFont="1" applyBorder="1" applyAlignment="1">
      <alignment vertical="center"/>
    </xf>
    <xf numFmtId="4" fontId="35" fillId="0" borderId="62" xfId="42" applyNumberFormat="1" applyFont="1" applyBorder="1" applyAlignment="1">
      <alignment vertical="center"/>
    </xf>
    <xf numFmtId="4" fontId="33" fillId="0" borderId="62" xfId="42" applyNumberFormat="1" applyFont="1" applyBorder="1" applyAlignment="1">
      <alignment vertical="center"/>
    </xf>
    <xf numFmtId="4" fontId="33" fillId="0" borderId="63" xfId="42" applyNumberFormat="1" applyFont="1" applyBorder="1" applyAlignment="1">
      <alignment vertical="center"/>
    </xf>
    <xf numFmtId="0" fontId="31" fillId="0" borderId="0" xfId="42" applyFont="1" applyAlignment="1">
      <alignment horizontal="center"/>
    </xf>
    <xf numFmtId="2" fontId="31" fillId="0" borderId="0" xfId="42" applyNumberFormat="1" applyFont="1"/>
    <xf numFmtId="0" fontId="36" fillId="0" borderId="0" xfId="35" applyFont="1" applyAlignment="1">
      <alignment vertical="top"/>
    </xf>
    <xf numFmtId="0" fontId="36" fillId="0" borderId="0" xfId="35" applyFont="1" applyAlignment="1">
      <alignment wrapText="1"/>
    </xf>
    <xf numFmtId="0" fontId="36" fillId="0" borderId="0" xfId="35" applyFont="1"/>
    <xf numFmtId="0" fontId="36" fillId="0" borderId="0" xfId="40" applyFont="1" applyAlignment="1">
      <alignment vertical="top"/>
    </xf>
    <xf numFmtId="0" fontId="36" fillId="0" borderId="0" xfId="40" applyFont="1" applyAlignment="1">
      <alignment wrapText="1"/>
    </xf>
    <xf numFmtId="0" fontId="36" fillId="0" borderId="0" xfId="40" applyFont="1"/>
    <xf numFmtId="0" fontId="37" fillId="0" borderId="0" xfId="35" applyFont="1" applyAlignment="1">
      <alignment horizontal="center" vertical="center" wrapText="1"/>
    </xf>
    <xf numFmtId="0" fontId="37" fillId="0" borderId="0" xfId="35" applyFont="1" applyAlignment="1">
      <alignment horizontal="center" vertical="top" wrapText="1"/>
    </xf>
    <xf numFmtId="0" fontId="37" fillId="27" borderId="45" xfId="35" applyFont="1" applyFill="1" applyBorder="1" applyAlignment="1">
      <alignment horizontal="center" vertical="center" wrapText="1"/>
    </xf>
    <xf numFmtId="0" fontId="37" fillId="27" borderId="68" xfId="35" applyFont="1" applyFill="1" applyBorder="1" applyAlignment="1">
      <alignment horizontal="center" vertical="center"/>
    </xf>
    <xf numFmtId="0" fontId="38" fillId="0" borderId="0" xfId="35" applyFont="1" applyAlignment="1">
      <alignment horizontal="center" vertical="center"/>
    </xf>
    <xf numFmtId="0" fontId="36" fillId="0" borderId="26" xfId="35" applyFont="1" applyBorder="1" applyAlignment="1">
      <alignment horizontal="center" vertical="center"/>
    </xf>
    <xf numFmtId="0" fontId="36" fillId="0" borderId="27" xfId="35" applyFont="1" applyBorder="1" applyAlignment="1">
      <alignment vertical="center" wrapText="1"/>
    </xf>
    <xf numFmtId="4" fontId="37" fillId="0" borderId="28" xfId="35" applyNumberFormat="1" applyFont="1" applyBorder="1" applyAlignment="1">
      <alignment vertical="center"/>
    </xf>
    <xf numFmtId="0" fontId="38" fillId="0" borderId="0" xfId="35" applyFont="1"/>
    <xf numFmtId="0" fontId="36" fillId="0" borderId="30" xfId="35" applyFont="1" applyBorder="1" applyAlignment="1">
      <alignment horizontal="center" vertical="center"/>
    </xf>
    <xf numFmtId="0" fontId="36" fillId="0" borderId="23" xfId="35" applyFont="1" applyBorder="1" applyAlignment="1">
      <alignment vertical="center" wrapText="1"/>
    </xf>
    <xf numFmtId="4" fontId="37" fillId="0" borderId="24" xfId="35" applyNumberFormat="1" applyFont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 indent="1"/>
    </xf>
    <xf numFmtId="4" fontId="3" fillId="0" borderId="18" xfId="0" applyNumberFormat="1" applyFont="1" applyBorder="1" applyAlignment="1">
      <alignment horizontal="right" vertical="center" indent="1"/>
    </xf>
    <xf numFmtId="4" fontId="3" fillId="0" borderId="19" xfId="0" applyNumberFormat="1" applyFont="1" applyBorder="1" applyAlignment="1">
      <alignment horizontal="right" vertical="center" indent="1"/>
    </xf>
    <xf numFmtId="4" fontId="3" fillId="0" borderId="11" xfId="0" applyNumberFormat="1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indent="1"/>
    </xf>
    <xf numFmtId="2" fontId="3" fillId="0" borderId="0" xfId="0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right" vertical="center" indent="1"/>
    </xf>
    <xf numFmtId="4" fontId="3" fillId="0" borderId="13" xfId="0" applyNumberFormat="1" applyFont="1" applyBorder="1" applyAlignment="1">
      <alignment horizontal="right" vertical="center" indent="1"/>
    </xf>
    <xf numFmtId="10" fontId="3" fillId="0" borderId="10" xfId="42" quotePrefix="1" applyNumberFormat="1" applyFont="1" applyBorder="1" applyAlignment="1">
      <alignment horizontal="right" vertical="center" indent="1"/>
    </xf>
    <xf numFmtId="4" fontId="3" fillId="0" borderId="20" xfId="0" applyNumberFormat="1" applyFont="1" applyBorder="1" applyAlignment="1">
      <alignment horizontal="right" vertical="center" indent="1"/>
    </xf>
    <xf numFmtId="0" fontId="4" fillId="26" borderId="0" xfId="0" applyFont="1" applyFill="1" applyAlignment="1">
      <alignment horizontal="right" vertical="top" indent="1"/>
    </xf>
    <xf numFmtId="4" fontId="3" fillId="0" borderId="0" xfId="0" applyNumberFormat="1" applyFont="1" applyAlignment="1">
      <alignment horizontal="right" vertical="center" indent="1"/>
    </xf>
    <xf numFmtId="0" fontId="4" fillId="28" borderId="0" xfId="0" applyFont="1" applyFill="1" applyAlignment="1">
      <alignment horizontal="right" vertical="top" indent="1"/>
    </xf>
    <xf numFmtId="0" fontId="4" fillId="24" borderId="0" xfId="0" applyFont="1" applyFill="1" applyAlignment="1">
      <alignment horizontal="right" vertical="top" indent="1"/>
    </xf>
    <xf numFmtId="4" fontId="3" fillId="0" borderId="21" xfId="0" applyNumberFormat="1" applyFont="1" applyBorder="1" applyAlignment="1">
      <alignment horizontal="right" vertical="center" indent="1"/>
    </xf>
    <xf numFmtId="165" fontId="4" fillId="0" borderId="10" xfId="0" applyNumberFormat="1" applyFont="1" applyBorder="1" applyAlignment="1">
      <alignment horizontal="right" vertical="center" indent="1"/>
    </xf>
    <xf numFmtId="165" fontId="3" fillId="0" borderId="10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right" indent="1"/>
    </xf>
    <xf numFmtId="2" fontId="3" fillId="0" borderId="0" xfId="0" applyNumberFormat="1" applyFont="1" applyAlignment="1">
      <alignment horizontal="center" vertical="center" wrapText="1"/>
    </xf>
    <xf numFmtId="10" fontId="3" fillId="0" borderId="10" xfId="42" quotePrefix="1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0" fillId="0" borderId="70" xfId="0" applyNumberFormat="1" applyFont="1" applyBorder="1" applyAlignment="1" applyProtection="1">
      <alignment horizontal="center" vertical="center" shrinkToFit="1"/>
      <protection hidden="1"/>
    </xf>
    <xf numFmtId="4" fontId="3" fillId="0" borderId="0" xfId="0" applyNumberFormat="1" applyFont="1"/>
    <xf numFmtId="166" fontId="3" fillId="0" borderId="0" xfId="0" applyNumberFormat="1" applyFont="1"/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1" fillId="28" borderId="0" xfId="0" applyFont="1" applyFill="1" applyAlignment="1">
      <alignment horizontal="left" vertical="center"/>
    </xf>
    <xf numFmtId="0" fontId="41" fillId="24" borderId="0" xfId="0" applyFont="1" applyFill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" fontId="39" fillId="0" borderId="0" xfId="0" applyNumberFormat="1" applyFont="1" applyAlignment="1">
      <alignment horizontal="left" vertical="center"/>
    </xf>
    <xf numFmtId="0" fontId="39" fillId="0" borderId="0" xfId="0" applyFont="1"/>
    <xf numFmtId="0" fontId="39" fillId="0" borderId="0" xfId="0" applyFont="1" applyAlignment="1">
      <alignment horizontal="center"/>
    </xf>
    <xf numFmtId="165" fontId="39" fillId="0" borderId="0" xfId="0" applyNumberFormat="1" applyFont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33" fillId="27" borderId="71" xfId="34" applyFont="1" applyFill="1" applyBorder="1" applyAlignment="1">
      <alignment vertical="center"/>
    </xf>
    <xf numFmtId="4" fontId="32" fillId="27" borderId="72" xfId="34" applyNumberFormat="1" applyFont="1" applyFill="1" applyBorder="1" applyAlignment="1">
      <alignment vertical="center" wrapText="1"/>
    </xf>
    <xf numFmtId="4" fontId="40" fillId="0" borderId="0" xfId="0" applyNumberFormat="1" applyFont="1" applyAlignment="1" applyProtection="1">
      <alignment horizontal="center" vertical="center" shrinkToFit="1"/>
      <protection hidden="1"/>
    </xf>
    <xf numFmtId="164" fontId="4" fillId="0" borderId="10" xfId="0" applyNumberFormat="1" applyFont="1" applyBorder="1" applyAlignment="1">
      <alignment horizontal="right" vertical="center" indent="1"/>
    </xf>
    <xf numFmtId="0" fontId="4" fillId="0" borderId="0" xfId="42" applyFont="1" applyAlignment="1">
      <alignment vertical="center"/>
    </xf>
    <xf numFmtId="2" fontId="45" fillId="0" borderId="0" xfId="42" applyNumberFormat="1" applyFont="1" applyAlignment="1">
      <alignment vertical="center"/>
    </xf>
    <xf numFmtId="0" fontId="44" fillId="0" borderId="0" xfId="41"/>
    <xf numFmtId="0" fontId="4" fillId="27" borderId="45" xfId="42" applyFont="1" applyFill="1" applyBorder="1" applyAlignment="1">
      <alignment vertical="center"/>
    </xf>
    <xf numFmtId="164" fontId="4" fillId="25" borderId="73" xfId="42" applyNumberFormat="1" applyFont="1" applyFill="1" applyBorder="1" applyAlignment="1" applyProtection="1">
      <alignment vertical="center"/>
      <protection locked="0"/>
    </xf>
    <xf numFmtId="2" fontId="4" fillId="0" borderId="63" xfId="42" applyNumberFormat="1" applyFont="1" applyBorder="1" applyAlignment="1">
      <alignment vertical="center"/>
    </xf>
    <xf numFmtId="0" fontId="45" fillId="0" borderId="0" xfId="42" applyFont="1" applyAlignment="1">
      <alignment vertical="center"/>
    </xf>
    <xf numFmtId="164" fontId="45" fillId="0" borderId="0" xfId="42" applyNumberFormat="1" applyFont="1" applyAlignment="1">
      <alignment vertical="center"/>
    </xf>
    <xf numFmtId="2" fontId="46" fillId="0" borderId="0" xfId="42" applyNumberFormat="1" applyFont="1"/>
    <xf numFmtId="10" fontId="4" fillId="25" borderId="46" xfId="42" applyNumberFormat="1" applyFont="1" applyFill="1" applyBorder="1" applyAlignment="1" applyProtection="1">
      <alignment vertical="center"/>
      <protection locked="0"/>
    </xf>
    <xf numFmtId="0" fontId="3" fillId="0" borderId="0" xfId="41" applyFont="1" applyAlignment="1">
      <alignment vertical="center"/>
    </xf>
    <xf numFmtId="3" fontId="45" fillId="0" borderId="0" xfId="42" applyNumberFormat="1" applyFont="1" applyAlignment="1">
      <alignment vertical="center"/>
    </xf>
    <xf numFmtId="0" fontId="4" fillId="0" borderId="0" xfId="42" applyFont="1" applyAlignment="1">
      <alignment horizontal="right" vertical="center" wrapText="1"/>
    </xf>
    <xf numFmtId="2" fontId="4" fillId="27" borderId="36" xfId="42" applyNumberFormat="1" applyFont="1" applyFill="1" applyBorder="1" applyAlignment="1">
      <alignment horizontal="center" vertical="center" wrapText="1"/>
    </xf>
    <xf numFmtId="2" fontId="4" fillId="27" borderId="37" xfId="42" applyNumberFormat="1" applyFont="1" applyFill="1" applyBorder="1" applyAlignment="1">
      <alignment horizontal="center" vertical="center" wrapText="1"/>
    </xf>
    <xf numFmtId="0" fontId="4" fillId="27" borderId="26" xfId="42" applyFont="1" applyFill="1" applyBorder="1" applyAlignment="1">
      <alignment vertical="center"/>
    </xf>
    <xf numFmtId="2" fontId="3" fillId="25" borderId="74" xfId="42" applyNumberFormat="1" applyFont="1" applyFill="1" applyBorder="1" applyAlignment="1" applyProtection="1">
      <alignment vertical="center"/>
      <protection locked="0"/>
    </xf>
    <xf numFmtId="2" fontId="4" fillId="0" borderId="75" xfId="42" applyNumberFormat="1" applyFont="1" applyBorder="1" applyAlignment="1">
      <alignment vertical="center"/>
    </xf>
    <xf numFmtId="0" fontId="4" fillId="27" borderId="55" xfId="42" applyFont="1" applyFill="1" applyBorder="1" applyAlignment="1">
      <alignment vertical="center"/>
    </xf>
    <xf numFmtId="2" fontId="3" fillId="25" borderId="69" xfId="42" applyNumberFormat="1" applyFont="1" applyFill="1" applyBorder="1" applyAlignment="1" applyProtection="1">
      <alignment vertical="center"/>
      <protection locked="0"/>
    </xf>
    <xf numFmtId="2" fontId="4" fillId="0" borderId="60" xfId="42" applyNumberFormat="1" applyFont="1" applyBorder="1" applyAlignment="1">
      <alignment vertical="center"/>
    </xf>
    <xf numFmtId="2" fontId="4" fillId="0" borderId="0" xfId="42" applyNumberFormat="1" applyFont="1" applyAlignment="1">
      <alignment vertical="center"/>
    </xf>
    <xf numFmtId="2" fontId="9" fillId="0" borderId="0" xfId="42" applyNumberFormat="1" applyFont="1"/>
    <xf numFmtId="2" fontId="3" fillId="0" borderId="0" xfId="42" applyNumberFormat="1" applyFont="1"/>
    <xf numFmtId="0" fontId="4" fillId="0" borderId="0" xfId="42" applyFont="1"/>
    <xf numFmtId="0" fontId="45" fillId="0" borderId="0" xfId="42" applyFont="1"/>
    <xf numFmtId="0" fontId="31" fillId="0" borderId="0" xfId="35" applyFont="1"/>
    <xf numFmtId="4" fontId="47" fillId="0" borderId="0" xfId="35" applyNumberFormat="1" applyFont="1"/>
    <xf numFmtId="0" fontId="49" fillId="0" borderId="0" xfId="41" applyFont="1"/>
    <xf numFmtId="0" fontId="4" fillId="0" borderId="0" xfId="35" applyFont="1" applyAlignment="1">
      <alignment horizontal="center" vertical="center"/>
    </xf>
    <xf numFmtId="0" fontId="50" fillId="27" borderId="76" xfId="35" applyFont="1" applyFill="1" applyBorder="1" applyAlignment="1">
      <alignment horizontal="center" vertical="center" wrapText="1"/>
    </xf>
    <xf numFmtId="0" fontId="50" fillId="27" borderId="77" xfId="35" applyFont="1" applyFill="1" applyBorder="1" applyAlignment="1">
      <alignment horizontal="center" vertical="center" wrapText="1"/>
    </xf>
    <xf numFmtId="0" fontId="50" fillId="27" borderId="44" xfId="35" applyFont="1" applyFill="1" applyBorder="1" applyAlignment="1">
      <alignment horizontal="center" vertical="center" wrapText="1"/>
    </xf>
    <xf numFmtId="0" fontId="4" fillId="0" borderId="0" xfId="35" applyFont="1" applyAlignment="1">
      <alignment horizontal="center" vertical="center" wrapText="1"/>
    </xf>
    <xf numFmtId="0" fontId="51" fillId="0" borderId="26" xfId="35" applyFont="1" applyBorder="1" applyAlignment="1">
      <alignment horizontal="center" vertical="center"/>
    </xf>
    <xf numFmtId="0" fontId="51" fillId="0" borderId="28" xfId="35" applyFont="1" applyBorder="1" applyAlignment="1">
      <alignment vertical="center" wrapText="1"/>
    </xf>
    <xf numFmtId="4" fontId="52" fillId="25" borderId="26" xfId="54" applyNumberFormat="1" applyFont="1" applyFill="1" applyBorder="1" applyAlignment="1" applyProtection="1">
      <alignment vertical="center"/>
      <protection locked="0"/>
    </xf>
    <xf numFmtId="4" fontId="52" fillId="25" borderId="27" xfId="54" applyNumberFormat="1" applyFont="1" applyFill="1" applyBorder="1" applyAlignment="1" applyProtection="1">
      <alignment vertical="center"/>
      <protection locked="0"/>
    </xf>
    <xf numFmtId="4" fontId="52" fillId="25" borderId="28" xfId="54" applyNumberFormat="1" applyFont="1" applyFill="1" applyBorder="1" applyAlignment="1" applyProtection="1">
      <alignment vertical="center"/>
      <protection locked="0"/>
    </xf>
    <xf numFmtId="4" fontId="53" fillId="0" borderId="29" xfId="35" applyNumberFormat="1" applyFont="1" applyBorder="1" applyAlignment="1">
      <alignment vertical="center"/>
    </xf>
    <xf numFmtId="0" fontId="51" fillId="0" borderId="30" xfId="35" applyFont="1" applyBorder="1" applyAlignment="1">
      <alignment horizontal="center" vertical="center"/>
    </xf>
    <xf numFmtId="0" fontId="51" fillId="0" borderId="24" xfId="35" applyFont="1" applyBorder="1" applyAlignment="1">
      <alignment vertical="center" wrapText="1"/>
    </xf>
    <xf numFmtId="4" fontId="52" fillId="25" borderId="54" xfId="35" applyNumberFormat="1" applyFont="1" applyFill="1" applyBorder="1" applyAlignment="1" applyProtection="1">
      <alignment vertical="center"/>
      <protection locked="0"/>
    </xf>
    <xf numFmtId="4" fontId="52" fillId="25" borderId="23" xfId="54" applyNumberFormat="1" applyFont="1" applyFill="1" applyBorder="1" applyAlignment="1" applyProtection="1">
      <alignment vertical="center"/>
      <protection locked="0"/>
    </xf>
    <xf numFmtId="4" fontId="52" fillId="25" borderId="24" xfId="54" applyNumberFormat="1" applyFont="1" applyFill="1" applyBorder="1" applyAlignment="1" applyProtection="1">
      <alignment vertical="center"/>
      <protection locked="0"/>
    </xf>
    <xf numFmtId="4" fontId="53" fillId="0" borderId="31" xfId="35" applyNumberFormat="1" applyFont="1" applyBorder="1" applyAlignment="1">
      <alignment vertical="center"/>
    </xf>
    <xf numFmtId="4" fontId="52" fillId="25" borderId="54" xfId="54" applyNumberFormat="1" applyFont="1" applyFill="1" applyBorder="1" applyAlignment="1" applyProtection="1">
      <alignment vertical="center"/>
      <protection locked="0"/>
    </xf>
    <xf numFmtId="4" fontId="54" fillId="25" borderId="23" xfId="54" applyNumberFormat="1" applyFont="1" applyFill="1" applyBorder="1" applyAlignment="1" applyProtection="1">
      <alignment vertical="center"/>
      <protection locked="0"/>
    </xf>
    <xf numFmtId="4" fontId="54" fillId="25" borderId="24" xfId="54" applyNumberFormat="1" applyFont="1" applyFill="1" applyBorder="1" applyAlignment="1" applyProtection="1">
      <alignment vertical="center"/>
      <protection locked="0"/>
    </xf>
    <xf numFmtId="43" fontId="52" fillId="25" borderId="30" xfId="54" applyFont="1" applyFill="1" applyBorder="1" applyAlignment="1" applyProtection="1">
      <alignment horizontal="right" vertical="center" wrapText="1"/>
      <protection locked="0"/>
    </xf>
    <xf numFmtId="0" fontId="38" fillId="25" borderId="23" xfId="35" applyFont="1" applyFill="1" applyBorder="1" applyAlignment="1" applyProtection="1">
      <alignment vertical="center"/>
      <protection locked="0"/>
    </xf>
    <xf numFmtId="0" fontId="38" fillId="25" borderId="24" xfId="35" applyFont="1" applyFill="1" applyBorder="1" applyAlignment="1" applyProtection="1">
      <alignment vertical="center"/>
      <protection locked="0"/>
    </xf>
    <xf numFmtId="43" fontId="51" fillId="25" borderId="30" xfId="54" applyFont="1" applyFill="1" applyBorder="1" applyAlignment="1" applyProtection="1">
      <alignment horizontal="right" vertical="center" wrapText="1"/>
      <protection locked="0"/>
    </xf>
    <xf numFmtId="0" fontId="31" fillId="25" borderId="23" xfId="35" applyFont="1" applyFill="1" applyBorder="1" applyAlignment="1" applyProtection="1">
      <alignment vertical="center"/>
      <protection locked="0"/>
    </xf>
    <xf numFmtId="0" fontId="31" fillId="25" borderId="24" xfId="35" applyFont="1" applyFill="1" applyBorder="1" applyAlignment="1" applyProtection="1">
      <alignment vertical="center"/>
      <protection locked="0"/>
    </xf>
    <xf numFmtId="4" fontId="55" fillId="0" borderId="31" xfId="35" applyNumberFormat="1" applyFont="1" applyBorder="1" applyAlignment="1">
      <alignment vertical="center"/>
    </xf>
    <xf numFmtId="0" fontId="51" fillId="0" borderId="32" xfId="35" applyFont="1" applyBorder="1" applyAlignment="1">
      <alignment horizontal="center" vertical="center"/>
    </xf>
    <xf numFmtId="0" fontId="51" fillId="0" borderId="34" xfId="35" applyFont="1" applyBorder="1" applyAlignment="1">
      <alignment vertical="center" wrapText="1"/>
    </xf>
    <xf numFmtId="43" fontId="51" fillId="25" borderId="32" xfId="54" applyFont="1" applyFill="1" applyBorder="1" applyAlignment="1" applyProtection="1">
      <alignment horizontal="right" vertical="center" wrapText="1"/>
      <protection locked="0"/>
    </xf>
    <xf numFmtId="0" fontId="31" fillId="25" borderId="33" xfId="35" applyFont="1" applyFill="1" applyBorder="1" applyAlignment="1" applyProtection="1">
      <alignment vertical="center"/>
      <protection locked="0"/>
    </xf>
    <xf numFmtId="0" fontId="31" fillId="25" borderId="34" xfId="35" applyFont="1" applyFill="1" applyBorder="1" applyAlignment="1" applyProtection="1">
      <alignment vertical="center"/>
      <protection locked="0"/>
    </xf>
    <xf numFmtId="4" fontId="55" fillId="0" borderId="35" xfId="35" applyNumberFormat="1" applyFont="1" applyBorder="1" applyAlignment="1">
      <alignment vertical="center"/>
    </xf>
    <xf numFmtId="0" fontId="51" fillId="0" borderId="55" xfId="35" applyFont="1" applyBorder="1" applyAlignment="1">
      <alignment horizontal="center" vertical="center"/>
    </xf>
    <xf numFmtId="0" fontId="51" fillId="0" borderId="60" xfId="35" applyFont="1" applyBorder="1" applyAlignment="1">
      <alignment vertical="center" wrapText="1"/>
    </xf>
    <xf numFmtId="43" fontId="51" fillId="25" borderId="55" xfId="54" applyFont="1" applyFill="1" applyBorder="1" applyAlignment="1" applyProtection="1">
      <alignment horizontal="right" vertical="center" wrapText="1"/>
      <protection locked="0"/>
    </xf>
    <xf numFmtId="0" fontId="31" fillId="25" borderId="69" xfId="35" applyFont="1" applyFill="1" applyBorder="1" applyAlignment="1" applyProtection="1">
      <alignment vertical="center"/>
      <protection locked="0"/>
    </xf>
    <xf numFmtId="0" fontId="31" fillId="25" borderId="60" xfId="35" applyFont="1" applyFill="1" applyBorder="1" applyAlignment="1" applyProtection="1">
      <alignment vertical="center"/>
      <protection locked="0"/>
    </xf>
    <xf numFmtId="4" fontId="55" fillId="0" borderId="58" xfId="35" applyNumberFormat="1" applyFont="1" applyBorder="1" applyAlignment="1">
      <alignment vertical="center"/>
    </xf>
    <xf numFmtId="0" fontId="3" fillId="0" borderId="0" xfId="42" applyFont="1"/>
    <xf numFmtId="0" fontId="37" fillId="0" borderId="0" xfId="42" applyFont="1"/>
    <xf numFmtId="0" fontId="56" fillId="0" borderId="0" xfId="41" applyFont="1"/>
    <xf numFmtId="0" fontId="37" fillId="0" borderId="0" xfId="42" applyFont="1" applyAlignment="1">
      <alignment horizontal="center" vertical="center" wrapText="1"/>
    </xf>
    <xf numFmtId="4" fontId="4" fillId="0" borderId="0" xfId="42" applyNumberFormat="1" applyFont="1"/>
    <xf numFmtId="0" fontId="33" fillId="0" borderId="0" xfId="42" applyFont="1"/>
    <xf numFmtId="0" fontId="32" fillId="0" borderId="0" xfId="42" applyFont="1"/>
    <xf numFmtId="0" fontId="33" fillId="0" borderId="0" xfId="41" applyFont="1"/>
    <xf numFmtId="0" fontId="57" fillId="0" borderId="0" xfId="41" applyFont="1"/>
    <xf numFmtId="0" fontId="4" fillId="27" borderId="68" xfId="42" applyFont="1" applyFill="1" applyBorder="1" applyAlignment="1">
      <alignment horizontal="center" vertical="center" wrapText="1"/>
    </xf>
    <xf numFmtId="0" fontId="4" fillId="27" borderId="68" xfId="41" applyFont="1" applyFill="1" applyBorder="1" applyAlignment="1">
      <alignment horizontal="center" vertical="center" wrapText="1"/>
    </xf>
    <xf numFmtId="0" fontId="4" fillId="27" borderId="62" xfId="41" applyFont="1" applyFill="1" applyBorder="1" applyAlignment="1">
      <alignment horizontal="center" vertical="center" wrapText="1"/>
    </xf>
    <xf numFmtId="43" fontId="4" fillId="27" borderId="68" xfId="42" applyNumberFormat="1" applyFont="1" applyFill="1" applyBorder="1" applyAlignment="1">
      <alignment horizontal="center" vertical="center" wrapText="1"/>
    </xf>
    <xf numFmtId="0" fontId="3" fillId="0" borderId="0" xfId="41" applyFont="1" applyAlignment="1">
      <alignment wrapText="1"/>
    </xf>
    <xf numFmtId="0" fontId="46" fillId="27" borderId="78" xfId="42" applyFont="1" applyFill="1" applyBorder="1" applyAlignment="1">
      <alignment horizontal="left" vertical="center"/>
    </xf>
    <xf numFmtId="0" fontId="58" fillId="29" borderId="79" xfId="42" applyFont="1" applyFill="1" applyBorder="1" applyAlignment="1">
      <alignment horizontal="right" vertical="center"/>
    </xf>
    <xf numFmtId="0" fontId="45" fillId="29" borderId="80" xfId="42" applyFont="1" applyFill="1" applyBorder="1" applyAlignment="1">
      <alignment horizontal="right" vertical="center"/>
    </xf>
    <xf numFmtId="0" fontId="59" fillId="0" borderId="80" xfId="42" applyFont="1" applyBorder="1" applyAlignment="1">
      <alignment horizontal="right" vertical="center"/>
    </xf>
    <xf numFmtId="0" fontId="36" fillId="0" borderId="81" xfId="42" applyFont="1" applyBorder="1" applyAlignment="1">
      <alignment horizontal="left" vertical="center"/>
    </xf>
    <xf numFmtId="2" fontId="37" fillId="29" borderId="40" xfId="42" applyNumberFormat="1" applyFont="1" applyFill="1" applyBorder="1" applyAlignment="1">
      <alignment horizontal="right" vertical="center"/>
    </xf>
    <xf numFmtId="2" fontId="37" fillId="29" borderId="80" xfId="42" applyNumberFormat="1" applyFont="1" applyFill="1" applyBorder="1" applyAlignment="1">
      <alignment horizontal="right" vertical="center"/>
    </xf>
    <xf numFmtId="0" fontId="36" fillId="0" borderId="82" xfId="42" applyFont="1" applyBorder="1" applyAlignment="1">
      <alignment horizontal="left" vertical="center"/>
    </xf>
    <xf numFmtId="4" fontId="37" fillId="25" borderId="40" xfId="42" applyNumberFormat="1" applyFont="1" applyFill="1" applyBorder="1" applyAlignment="1" applyProtection="1">
      <alignment horizontal="right" vertical="center"/>
      <protection locked="0"/>
    </xf>
    <xf numFmtId="4" fontId="37" fillId="25" borderId="80" xfId="42" applyNumberFormat="1" applyFont="1" applyFill="1" applyBorder="1" applyAlignment="1" applyProtection="1">
      <alignment horizontal="right" vertical="center"/>
      <protection locked="0"/>
    </xf>
    <xf numFmtId="3" fontId="37" fillId="25" borderId="80" xfId="42" applyNumberFormat="1" applyFont="1" applyFill="1" applyBorder="1" applyAlignment="1" applyProtection="1">
      <alignment horizontal="right" vertical="center"/>
      <protection locked="0"/>
    </xf>
    <xf numFmtId="3" fontId="37" fillId="25" borderId="83" xfId="42" applyNumberFormat="1" applyFont="1" applyFill="1" applyBorder="1" applyAlignment="1" applyProtection="1">
      <alignment horizontal="right" vertical="center"/>
      <protection locked="0"/>
    </xf>
    <xf numFmtId="4" fontId="37" fillId="29" borderId="38" xfId="42" applyNumberFormat="1" applyFont="1" applyFill="1" applyBorder="1" applyAlignment="1">
      <alignment horizontal="right" vertical="center"/>
    </xf>
    <xf numFmtId="4" fontId="37" fillId="29" borderId="84" xfId="42" applyNumberFormat="1" applyFont="1" applyFill="1" applyBorder="1" applyAlignment="1">
      <alignment horizontal="right" vertical="center"/>
    </xf>
    <xf numFmtId="4" fontId="37" fillId="29" borderId="85" xfId="42" applyNumberFormat="1" applyFont="1" applyFill="1" applyBorder="1" applyAlignment="1">
      <alignment horizontal="right" vertical="center"/>
    </xf>
    <xf numFmtId="168" fontId="37" fillId="29" borderId="38" xfId="42" applyNumberFormat="1" applyFont="1" applyFill="1" applyBorder="1" applyAlignment="1">
      <alignment horizontal="right" vertical="center"/>
    </xf>
    <xf numFmtId="168" fontId="37" fillId="29" borderId="86" xfId="42" applyNumberFormat="1" applyFont="1" applyFill="1" applyBorder="1" applyAlignment="1">
      <alignment horizontal="right" vertical="center"/>
    </xf>
    <xf numFmtId="168" fontId="37" fillId="29" borderId="84" xfId="42" applyNumberFormat="1" applyFont="1" applyFill="1" applyBorder="1" applyAlignment="1">
      <alignment horizontal="right" vertical="center"/>
    </xf>
    <xf numFmtId="168" fontId="37" fillId="29" borderId="85" xfId="42" applyNumberFormat="1" applyFont="1" applyFill="1" applyBorder="1" applyAlignment="1">
      <alignment horizontal="right" vertical="center"/>
    </xf>
    <xf numFmtId="4" fontId="37" fillId="29" borderId="87" xfId="54" applyNumberFormat="1" applyFont="1" applyFill="1" applyBorder="1" applyAlignment="1" applyProtection="1">
      <alignment horizontal="right" vertical="center"/>
    </xf>
    <xf numFmtId="4" fontId="37" fillId="0" borderId="84" xfId="41" applyNumberFormat="1" applyFont="1" applyBorder="1" applyAlignment="1">
      <alignment horizontal="right" vertical="center"/>
    </xf>
    <xf numFmtId="2" fontId="37" fillId="25" borderId="40" xfId="42" applyNumberFormat="1" applyFont="1" applyFill="1" applyBorder="1" applyAlignment="1" applyProtection="1">
      <alignment horizontal="right" vertical="center"/>
      <protection locked="0"/>
    </xf>
    <xf numFmtId="2" fontId="37" fillId="25" borderId="80" xfId="42" applyNumberFormat="1" applyFont="1" applyFill="1" applyBorder="1" applyAlignment="1" applyProtection="1">
      <alignment horizontal="right" vertical="center"/>
      <protection locked="0"/>
    </xf>
    <xf numFmtId="2" fontId="37" fillId="25" borderId="83" xfId="42" applyNumberFormat="1" applyFont="1" applyFill="1" applyBorder="1" applyAlignment="1" applyProtection="1">
      <alignment horizontal="right" vertical="center"/>
      <protection locked="0"/>
    </xf>
    <xf numFmtId="0" fontId="36" fillId="0" borderId="88" xfId="42" applyFont="1" applyBorder="1" applyAlignment="1">
      <alignment horizontal="left" vertical="center"/>
    </xf>
    <xf numFmtId="4" fontId="44" fillId="0" borderId="0" xfId="41" applyNumberFormat="1"/>
    <xf numFmtId="0" fontId="58" fillId="0" borderId="89" xfId="42" applyFont="1" applyBorder="1" applyAlignment="1">
      <alignment horizontal="left" vertical="center"/>
    </xf>
    <xf numFmtId="0" fontId="37" fillId="0" borderId="0" xfId="42" applyFont="1" applyAlignment="1">
      <alignment horizontal="right" vertical="center"/>
    </xf>
    <xf numFmtId="0" fontId="58" fillId="0" borderId="0" xfId="42" applyFont="1" applyAlignment="1">
      <alignment horizontal="right" vertical="center"/>
    </xf>
    <xf numFmtId="0" fontId="60" fillId="27" borderId="90" xfId="42" applyFont="1" applyFill="1" applyBorder="1" applyAlignment="1">
      <alignment horizontal="left" vertical="center"/>
    </xf>
    <xf numFmtId="0" fontId="58" fillId="27" borderId="38" xfId="42" applyFont="1" applyFill="1" applyBorder="1" applyAlignment="1">
      <alignment horizontal="right" vertical="center"/>
    </xf>
    <xf numFmtId="0" fontId="58" fillId="27" borderId="84" xfId="42" applyFont="1" applyFill="1" applyBorder="1" applyAlignment="1">
      <alignment horizontal="right" vertical="center"/>
    </xf>
    <xf numFmtId="0" fontId="58" fillId="27" borderId="85" xfId="42" applyFont="1" applyFill="1" applyBorder="1" applyAlignment="1">
      <alignment horizontal="right" vertical="center"/>
    </xf>
    <xf numFmtId="0" fontId="36" fillId="0" borderId="91" xfId="42" applyFont="1" applyBorder="1" applyAlignment="1">
      <alignment horizontal="left" vertical="center"/>
    </xf>
    <xf numFmtId="4" fontId="37" fillId="0" borderId="38" xfId="42" applyNumberFormat="1" applyFont="1" applyBorder="1" applyAlignment="1">
      <alignment horizontal="right" vertical="center"/>
    </xf>
    <xf numFmtId="4" fontId="37" fillId="0" borderId="84" xfId="42" applyNumberFormat="1" applyFont="1" applyBorder="1" applyAlignment="1">
      <alignment horizontal="right" vertical="center"/>
    </xf>
    <xf numFmtId="4" fontId="37" fillId="0" borderId="85" xfId="42" applyNumberFormat="1" applyFont="1" applyBorder="1" applyAlignment="1">
      <alignment horizontal="right" vertical="center"/>
    </xf>
    <xf numFmtId="0" fontId="36" fillId="0" borderId="92" xfId="42" applyFont="1" applyBorder="1" applyAlignment="1">
      <alignment horizontal="left" vertical="center"/>
    </xf>
    <xf numFmtId="0" fontId="58" fillId="0" borderId="93" xfId="42" applyFont="1" applyBorder="1" applyAlignment="1">
      <alignment horizontal="left" vertical="center"/>
    </xf>
    <xf numFmtId="4" fontId="60" fillId="29" borderId="94" xfId="42" applyNumberFormat="1" applyFont="1" applyFill="1" applyBorder="1" applyAlignment="1">
      <alignment horizontal="right" vertical="center"/>
    </xf>
    <xf numFmtId="4" fontId="60" fillId="29" borderId="95" xfId="42" applyNumberFormat="1" applyFont="1" applyFill="1" applyBorder="1" applyAlignment="1">
      <alignment horizontal="right" vertical="center"/>
    </xf>
    <xf numFmtId="4" fontId="60" fillId="29" borderId="96" xfId="42" applyNumberFormat="1" applyFont="1" applyFill="1" applyBorder="1" applyAlignment="1">
      <alignment horizontal="right" vertical="center"/>
    </xf>
    <xf numFmtId="0" fontId="36" fillId="0" borderId="0" xfId="41" applyFont="1" applyAlignment="1">
      <alignment horizontal="left" vertical="center"/>
    </xf>
    <xf numFmtId="0" fontId="37" fillId="0" borderId="0" xfId="41" applyFont="1" applyAlignment="1">
      <alignment horizontal="right" vertical="center"/>
    </xf>
    <xf numFmtId="0" fontId="60" fillId="27" borderId="78" xfId="42" applyFont="1" applyFill="1" applyBorder="1" applyAlignment="1">
      <alignment horizontal="left" vertical="center"/>
    </xf>
    <xf numFmtId="4" fontId="58" fillId="27" borderId="38" xfId="42" applyNumberFormat="1" applyFont="1" applyFill="1" applyBorder="1" applyAlignment="1">
      <alignment horizontal="right" vertical="center"/>
    </xf>
    <xf numFmtId="4" fontId="58" fillId="27" borderId="84" xfId="42" applyNumberFormat="1" applyFont="1" applyFill="1" applyBorder="1" applyAlignment="1">
      <alignment horizontal="right" vertical="center"/>
    </xf>
    <xf numFmtId="4" fontId="58" fillId="27" borderId="85" xfId="42" applyNumberFormat="1" applyFont="1" applyFill="1" applyBorder="1" applyAlignment="1">
      <alignment horizontal="right" vertical="center"/>
    </xf>
    <xf numFmtId="0" fontId="36" fillId="0" borderId="97" xfId="42" applyFont="1" applyBorder="1" applyAlignment="1">
      <alignment horizontal="left" vertical="center"/>
    </xf>
    <xf numFmtId="4" fontId="37" fillId="0" borderId="98" xfId="42" applyNumberFormat="1" applyFont="1" applyBorder="1" applyAlignment="1">
      <alignment horizontal="right" vertical="center"/>
    </xf>
    <xf numFmtId="4" fontId="37" fillId="0" borderId="87" xfId="42" applyNumberFormat="1" applyFont="1" applyBorder="1" applyAlignment="1">
      <alignment horizontal="right" vertical="center"/>
    </xf>
    <xf numFmtId="4" fontId="37" fillId="29" borderId="87" xfId="42" applyNumberFormat="1" applyFont="1" applyFill="1" applyBorder="1" applyAlignment="1">
      <alignment horizontal="right" vertical="center"/>
    </xf>
    <xf numFmtId="4" fontId="37" fillId="0" borderId="99" xfId="42" applyNumberFormat="1" applyFont="1" applyBorder="1" applyAlignment="1">
      <alignment horizontal="right" vertical="center"/>
    </xf>
    <xf numFmtId="0" fontId="36" fillId="0" borderId="0" xfId="42" applyFont="1" applyAlignment="1">
      <alignment horizontal="left" vertical="center"/>
    </xf>
    <xf numFmtId="4" fontId="37" fillId="0" borderId="0" xfId="42" applyNumberFormat="1" applyFont="1" applyAlignment="1">
      <alignment horizontal="right" vertical="center"/>
    </xf>
    <xf numFmtId="0" fontId="60" fillId="27" borderId="68" xfId="42" applyFont="1" applyFill="1" applyBorder="1" applyAlignment="1">
      <alignment horizontal="left" vertical="center"/>
    </xf>
    <xf numFmtId="4" fontId="60" fillId="29" borderId="68" xfId="42" applyNumberFormat="1" applyFont="1" applyFill="1" applyBorder="1" applyAlignment="1">
      <alignment horizontal="right" vertical="center"/>
    </xf>
    <xf numFmtId="4" fontId="37" fillId="29" borderId="0" xfId="42" applyNumberFormat="1" applyFont="1" applyFill="1" applyAlignment="1">
      <alignment horizontal="right" vertical="center"/>
    </xf>
    <xf numFmtId="4" fontId="61" fillId="29" borderId="66" xfId="42" applyNumberFormat="1" applyFont="1" applyFill="1" applyBorder="1" applyAlignment="1">
      <alignment horizontal="right" vertical="center"/>
    </xf>
    <xf numFmtId="4" fontId="61" fillId="29" borderId="100" xfId="42" applyNumberFormat="1" applyFont="1" applyFill="1" applyBorder="1" applyAlignment="1">
      <alignment horizontal="right" vertical="center"/>
    </xf>
    <xf numFmtId="0" fontId="60" fillId="27" borderId="82" xfId="42" applyFont="1" applyFill="1" applyBorder="1" applyAlignment="1">
      <alignment horizontal="left" vertical="center"/>
    </xf>
    <xf numFmtId="4" fontId="61" fillId="29" borderId="82" xfId="42" applyNumberFormat="1" applyFont="1" applyFill="1" applyBorder="1" applyAlignment="1">
      <alignment horizontal="right" vertical="center"/>
    </xf>
    <xf numFmtId="0" fontId="60" fillId="27" borderId="88" xfId="42" applyFont="1" applyFill="1" applyBorder="1" applyAlignment="1">
      <alignment horizontal="left" vertical="center"/>
    </xf>
    <xf numFmtId="4" fontId="61" fillId="29" borderId="72" xfId="42" applyNumberFormat="1" applyFont="1" applyFill="1" applyBorder="1" applyAlignment="1">
      <alignment horizontal="right" vertical="center"/>
    </xf>
    <xf numFmtId="4" fontId="61" fillId="29" borderId="101" xfId="42" applyNumberFormat="1" applyFont="1" applyFill="1" applyBorder="1" applyAlignment="1">
      <alignment horizontal="right" vertical="center"/>
    </xf>
    <xf numFmtId="4" fontId="36" fillId="0" borderId="0" xfId="35" applyNumberFormat="1" applyFont="1"/>
    <xf numFmtId="0" fontId="36" fillId="0" borderId="0" xfId="41" applyFont="1" applyAlignment="1">
      <alignment vertical="top"/>
    </xf>
    <xf numFmtId="0" fontId="36" fillId="0" borderId="0" xfId="41" applyFont="1"/>
    <xf numFmtId="0" fontId="38" fillId="0" borderId="0" xfId="41" applyFont="1"/>
    <xf numFmtId="4" fontId="38" fillId="0" borderId="102" xfId="35" applyNumberFormat="1" applyFont="1" applyBorder="1"/>
    <xf numFmtId="4" fontId="38" fillId="0" borderId="91" xfId="35" applyNumberFormat="1" applyFont="1" applyBorder="1"/>
    <xf numFmtId="4" fontId="38" fillId="0" borderId="42" xfId="35" applyNumberFormat="1" applyFont="1" applyBorder="1"/>
    <xf numFmtId="0" fontId="3" fillId="0" borderId="0" xfId="43" applyFont="1" applyAlignment="1">
      <alignment horizontal="center" vertical="center"/>
    </xf>
    <xf numFmtId="4" fontId="3" fillId="0" borderId="0" xfId="43" applyNumberFormat="1" applyFont="1"/>
    <xf numFmtId="3" fontId="4" fillId="0" borderId="0" xfId="43" applyNumberFormat="1" applyFont="1" applyAlignment="1">
      <alignment horizontal="center"/>
    </xf>
    <xf numFmtId="0" fontId="3" fillId="0" borderId="0" xfId="43" applyFont="1"/>
    <xf numFmtId="4" fontId="62" fillId="0" borderId="0" xfId="43" applyNumberFormat="1" applyFont="1" applyAlignment="1">
      <alignment horizontal="center"/>
    </xf>
    <xf numFmtId="0" fontId="63" fillId="0" borderId="0" xfId="38" applyFont="1"/>
    <xf numFmtId="4" fontId="4" fillId="0" borderId="0" xfId="43" applyNumberFormat="1" applyFont="1" applyAlignment="1">
      <alignment horizontal="center"/>
    </xf>
    <xf numFmtId="4" fontId="32" fillId="0" borderId="45" xfId="43" applyNumberFormat="1" applyFont="1" applyBorder="1" applyAlignment="1">
      <alignment horizontal="center" vertical="center"/>
    </xf>
    <xf numFmtId="10" fontId="32" fillId="25" borderId="46" xfId="43" applyNumberFormat="1" applyFont="1" applyFill="1" applyBorder="1" applyAlignment="1" applyProtection="1">
      <alignment horizontal="center" vertical="center"/>
      <protection locked="0"/>
    </xf>
    <xf numFmtId="0" fontId="42" fillId="0" borderId="0" xfId="43" applyFont="1" applyAlignment="1">
      <alignment horizontal="center" vertical="center"/>
    </xf>
    <xf numFmtId="4" fontId="3" fillId="0" borderId="84" xfId="43" applyNumberFormat="1" applyFont="1" applyBorder="1" applyAlignment="1">
      <alignment vertical="center"/>
    </xf>
    <xf numFmtId="0" fontId="3" fillId="0" borderId="0" xfId="35" applyFont="1" applyAlignment="1">
      <alignment horizontal="center"/>
    </xf>
    <xf numFmtId="0" fontId="3" fillId="0" borderId="0" xfId="39" applyFont="1"/>
    <xf numFmtId="0" fontId="3" fillId="0" borderId="0" xfId="39" applyFont="1" applyAlignment="1">
      <alignment horizontal="center" vertical="center"/>
    </xf>
    <xf numFmtId="4" fontId="43" fillId="27" borderId="43" xfId="35" applyNumberFormat="1" applyFont="1" applyFill="1" applyBorder="1" applyAlignment="1">
      <alignment horizontal="center" vertical="center" wrapText="1"/>
    </xf>
    <xf numFmtId="0" fontId="43" fillId="27" borderId="77" xfId="35" applyFont="1" applyFill="1" applyBorder="1" applyAlignment="1">
      <alignment horizontal="center" vertical="center" wrapText="1"/>
    </xf>
    <xf numFmtId="4" fontId="43" fillId="27" borderId="77" xfId="35" applyNumberFormat="1" applyFont="1" applyFill="1" applyBorder="1" applyAlignment="1">
      <alignment horizontal="center" vertical="center" wrapText="1"/>
    </xf>
    <xf numFmtId="4" fontId="43" fillId="27" borderId="44" xfId="35" applyNumberFormat="1" applyFont="1" applyFill="1" applyBorder="1" applyAlignment="1">
      <alignment horizontal="center" vertical="center" wrapText="1"/>
    </xf>
    <xf numFmtId="0" fontId="31" fillId="0" borderId="26" xfId="35" applyFont="1" applyBorder="1" applyAlignment="1">
      <alignment horizontal="center"/>
    </xf>
    <xf numFmtId="0" fontId="31" fillId="0" borderId="27" xfId="35" applyFont="1" applyBorder="1" applyAlignment="1">
      <alignment horizontal="center"/>
    </xf>
    <xf numFmtId="0" fontId="31" fillId="0" borderId="30" xfId="35" applyFont="1" applyBorder="1" applyAlignment="1">
      <alignment horizontal="center"/>
    </xf>
    <xf numFmtId="0" fontId="31" fillId="0" borderId="23" xfId="35" applyFont="1" applyBorder="1" applyAlignment="1">
      <alignment vertical="center" wrapText="1"/>
    </xf>
    <xf numFmtId="0" fontId="31" fillId="0" borderId="23" xfId="35" applyFont="1" applyBorder="1" applyAlignment="1">
      <alignment horizontal="center"/>
    </xf>
    <xf numFmtId="0" fontId="3" fillId="0" borderId="23" xfId="35" applyFont="1" applyBorder="1" applyAlignment="1">
      <alignment horizontal="center"/>
    </xf>
    <xf numFmtId="4" fontId="4" fillId="0" borderId="23" xfId="35" applyNumberFormat="1" applyFont="1" applyBorder="1"/>
    <xf numFmtId="4" fontId="3" fillId="0" borderId="23" xfId="35" applyNumberFormat="1" applyFont="1" applyBorder="1" applyAlignment="1">
      <alignment horizontal="center"/>
    </xf>
    <xf numFmtId="0" fontId="32" fillId="27" borderId="98" xfId="35" applyFont="1" applyFill="1" applyBorder="1" applyAlignment="1">
      <alignment vertical="center" wrapText="1"/>
    </xf>
    <xf numFmtId="0" fontId="3" fillId="0" borderId="89" xfId="35" applyFont="1" applyBorder="1"/>
    <xf numFmtId="4" fontId="10" fillId="0" borderId="89" xfId="35" applyNumberFormat="1" applyFont="1" applyBorder="1"/>
    <xf numFmtId="0" fontId="41" fillId="0" borderId="0" xfId="34" applyFont="1"/>
    <xf numFmtId="0" fontId="4" fillId="0" borderId="0" xfId="44" applyFont="1" applyAlignment="1">
      <alignment horizontal="center" vertical="center"/>
    </xf>
    <xf numFmtId="0" fontId="32" fillId="0" borderId="0" xfId="44" applyFont="1" applyAlignment="1">
      <alignment vertical="center"/>
    </xf>
    <xf numFmtId="49" fontId="33" fillId="0" borderId="0" xfId="44" applyNumberFormat="1" applyFont="1" applyAlignment="1">
      <alignment horizontal="left" vertical="top"/>
    </xf>
    <xf numFmtId="0" fontId="33" fillId="0" borderId="0" xfId="44" applyFont="1" applyAlignment="1">
      <alignment horizontal="center"/>
    </xf>
    <xf numFmtId="0" fontId="3" fillId="0" borderId="0" xfId="44" applyFont="1" applyAlignment="1">
      <alignment horizontal="center"/>
    </xf>
    <xf numFmtId="0" fontId="33" fillId="0" borderId="0" xfId="44" applyFont="1"/>
    <xf numFmtId="0" fontId="4" fillId="0" borderId="0" xfId="44" applyFont="1" applyAlignment="1">
      <alignment horizontal="center" vertical="center" wrapText="1"/>
    </xf>
    <xf numFmtId="0" fontId="42" fillId="0" borderId="0" xfId="44" applyFont="1" applyAlignment="1">
      <alignment horizontal="center" vertical="center" wrapText="1"/>
    </xf>
    <xf numFmtId="0" fontId="32" fillId="0" borderId="0" xfId="44" applyFont="1" applyAlignment="1">
      <alignment horizontal="left" vertical="top" wrapText="1"/>
    </xf>
    <xf numFmtId="0" fontId="32" fillId="0" borderId="0" xfId="44" applyFont="1" applyAlignment="1">
      <alignment horizontal="center" vertical="center" wrapText="1"/>
    </xf>
    <xf numFmtId="49" fontId="32" fillId="27" borderId="106" xfId="44" applyNumberFormat="1" applyFont="1" applyFill="1" applyBorder="1" applyAlignment="1">
      <alignment horizontal="center" vertical="center" wrapText="1"/>
    </xf>
    <xf numFmtId="0" fontId="32" fillId="27" borderId="106" xfId="44" applyFont="1" applyFill="1" applyBorder="1" applyAlignment="1">
      <alignment horizontal="center" vertical="center" wrapText="1"/>
    </xf>
    <xf numFmtId="4" fontId="32" fillId="27" borderId="106" xfId="44" applyNumberFormat="1" applyFont="1" applyFill="1" applyBorder="1" applyAlignment="1">
      <alignment horizontal="center" vertical="center" wrapText="1"/>
    </xf>
    <xf numFmtId="49" fontId="33" fillId="0" borderId="25" xfId="44" applyNumberFormat="1" applyFont="1" applyBorder="1" applyAlignment="1">
      <alignment horizontal="left" vertical="top" wrapText="1"/>
    </xf>
    <xf numFmtId="0" fontId="33" fillId="0" borderId="25" xfId="44" applyFont="1" applyBorder="1" applyAlignment="1">
      <alignment horizontal="center" wrapText="1"/>
    </xf>
    <xf numFmtId="0" fontId="3" fillId="0" borderId="0" xfId="44" applyFont="1" applyAlignment="1">
      <alignment horizontal="center" wrapText="1"/>
    </xf>
    <xf numFmtId="0" fontId="32" fillId="0" borderId="0" xfId="44" applyFont="1" applyAlignment="1">
      <alignment vertical="center" wrapText="1"/>
    </xf>
    <xf numFmtId="49" fontId="32" fillId="28" borderId="107" xfId="44" applyNumberFormat="1" applyFont="1" applyFill="1" applyBorder="1" applyAlignment="1">
      <alignment horizontal="left" vertical="top" wrapText="1"/>
    </xf>
    <xf numFmtId="0" fontId="33" fillId="28" borderId="107" xfId="44" applyFont="1" applyFill="1" applyBorder="1" applyAlignment="1">
      <alignment horizontal="center" wrapText="1"/>
    </xf>
    <xf numFmtId="4" fontId="33" fillId="28" borderId="107" xfId="44" applyNumberFormat="1" applyFont="1" applyFill="1" applyBorder="1" applyAlignment="1">
      <alignment horizontal="right" wrapText="1"/>
    </xf>
    <xf numFmtId="4" fontId="33" fillId="28" borderId="107" xfId="44" applyNumberFormat="1" applyFont="1" applyFill="1" applyBorder="1" applyAlignment="1" applyProtection="1">
      <alignment horizontal="right" wrapText="1"/>
      <protection locked="0"/>
    </xf>
    <xf numFmtId="49" fontId="32" fillId="24" borderId="107" xfId="44" applyNumberFormat="1" applyFont="1" applyFill="1" applyBorder="1" applyAlignment="1">
      <alignment horizontal="left" vertical="top" wrapText="1"/>
    </xf>
    <xf numFmtId="0" fontId="33" fillId="24" borderId="107" xfId="44" applyFont="1" applyFill="1" applyBorder="1" applyAlignment="1">
      <alignment horizontal="center" wrapText="1"/>
    </xf>
    <xf numFmtId="4" fontId="33" fillId="24" borderId="107" xfId="44" applyNumberFormat="1" applyFont="1" applyFill="1" applyBorder="1" applyAlignment="1">
      <alignment horizontal="right" wrapText="1"/>
    </xf>
    <xf numFmtId="4" fontId="33" fillId="24" borderId="107" xfId="44" applyNumberFormat="1" applyFont="1" applyFill="1" applyBorder="1" applyAlignment="1" applyProtection="1">
      <alignment horizontal="right" wrapText="1"/>
      <protection locked="0"/>
    </xf>
    <xf numFmtId="49" fontId="33" fillId="0" borderId="107" xfId="44" applyNumberFormat="1" applyFont="1" applyBorder="1" applyAlignment="1">
      <alignment horizontal="left" vertical="top" wrapText="1"/>
    </xf>
    <xf numFmtId="0" fontId="33" fillId="0" borderId="107" xfId="44" applyFont="1" applyBorder="1" applyAlignment="1">
      <alignment horizontal="center" wrapText="1"/>
    </xf>
    <xf numFmtId="4" fontId="33" fillId="0" borderId="107" xfId="44" applyNumberFormat="1" applyFont="1" applyBorder="1" applyAlignment="1">
      <alignment horizontal="right" wrapText="1"/>
    </xf>
    <xf numFmtId="4" fontId="33" fillId="0" borderId="107" xfId="44" applyNumberFormat="1" applyFont="1" applyBorder="1" applyAlignment="1" applyProtection="1">
      <alignment horizontal="right" wrapText="1"/>
      <protection locked="0"/>
    </xf>
    <xf numFmtId="0" fontId="33" fillId="0" borderId="107" xfId="44" applyFont="1" applyBorder="1" applyAlignment="1">
      <alignment horizontal="left" vertical="top" wrapText="1"/>
    </xf>
    <xf numFmtId="49" fontId="33" fillId="0" borderId="0" xfId="44" applyNumberFormat="1" applyFont="1" applyAlignment="1">
      <alignment horizontal="left" vertical="center"/>
    </xf>
    <xf numFmtId="0" fontId="33" fillId="0" borderId="0" xfId="44" applyFont="1" applyAlignment="1">
      <alignment horizontal="center" vertical="center"/>
    </xf>
    <xf numFmtId="4" fontId="33" fillId="0" borderId="0" xfId="44" applyNumberFormat="1" applyFont="1" applyAlignment="1" applyProtection="1">
      <alignment vertical="center"/>
      <protection locked="0"/>
    </xf>
    <xf numFmtId="0" fontId="4" fillId="0" borderId="0" xfId="44" applyFont="1" applyAlignment="1">
      <alignment horizontal="right" vertical="center"/>
    </xf>
    <xf numFmtId="0" fontId="32" fillId="27" borderId="11" xfId="44" applyFont="1" applyFill="1" applyBorder="1" applyAlignment="1">
      <alignment horizontal="center" vertical="center"/>
    </xf>
    <xf numFmtId="0" fontId="3" fillId="0" borderId="0" xfId="33" applyAlignment="1">
      <alignment vertical="center"/>
    </xf>
    <xf numFmtId="0" fontId="66" fillId="0" borderId="0" xfId="33" applyFont="1" applyAlignment="1">
      <alignment horizontal="right" vertical="center"/>
    </xf>
    <xf numFmtId="0" fontId="3" fillId="0" borderId="0" xfId="33" applyAlignment="1">
      <alignment horizontal="justify" vertical="center" wrapText="1"/>
    </xf>
    <xf numFmtId="0" fontId="9" fillId="0" borderId="0" xfId="33" applyFont="1" applyAlignment="1">
      <alignment horizontal="center" vertical="center" wrapText="1"/>
    </xf>
    <xf numFmtId="0" fontId="42" fillId="0" borderId="0" xfId="33" applyFont="1" applyAlignment="1">
      <alignment horizontal="center" vertical="center" wrapText="1"/>
    </xf>
    <xf numFmtId="0" fontId="42" fillId="0" borderId="0" xfId="33" applyFont="1" applyAlignment="1">
      <alignment vertical="center" wrapText="1"/>
    </xf>
    <xf numFmtId="4" fontId="4" fillId="27" borderId="108" xfId="35" applyNumberFormat="1" applyFont="1" applyFill="1" applyBorder="1" applyAlignment="1">
      <alignment horizontal="center" vertical="center" wrapText="1"/>
    </xf>
    <xf numFmtId="49" fontId="4" fillId="27" borderId="106" xfId="33" applyNumberFormat="1" applyFont="1" applyFill="1" applyBorder="1" applyAlignment="1">
      <alignment horizontal="center" vertical="center" wrapText="1"/>
    </xf>
    <xf numFmtId="0" fontId="4" fillId="27" borderId="108" xfId="33" applyFont="1" applyFill="1" applyBorder="1" applyAlignment="1">
      <alignment horizontal="center" vertical="center" wrapText="1"/>
    </xf>
    <xf numFmtId="4" fontId="4" fillId="27" borderId="108" xfId="33" applyNumberFormat="1" applyFont="1" applyFill="1" applyBorder="1" applyAlignment="1">
      <alignment horizontal="center" vertical="center" wrapText="1"/>
    </xf>
    <xf numFmtId="49" fontId="4" fillId="28" borderId="109" xfId="33" applyNumberFormat="1" applyFont="1" applyFill="1" applyBorder="1" applyAlignment="1">
      <alignment vertical="center" wrapText="1"/>
    </xf>
    <xf numFmtId="0" fontId="4" fillId="28" borderId="110" xfId="33" applyFont="1" applyFill="1" applyBorder="1" applyAlignment="1">
      <alignment horizontal="left" vertical="center" wrapText="1"/>
    </xf>
    <xf numFmtId="169" fontId="4" fillId="28" borderId="110" xfId="33" applyNumberFormat="1" applyFont="1" applyFill="1" applyBorder="1" applyAlignment="1">
      <alignment horizontal="right" vertical="center" wrapText="1"/>
    </xf>
    <xf numFmtId="0" fontId="5" fillId="0" borderId="0" xfId="33" applyFont="1" applyAlignment="1">
      <alignment horizontal="right" vertical="center"/>
    </xf>
    <xf numFmtId="4" fontId="5" fillId="0" borderId="0" xfId="33" applyNumberFormat="1" applyFont="1" applyAlignment="1">
      <alignment horizontal="right" vertical="center"/>
    </xf>
    <xf numFmtId="49" fontId="4" fillId="28" borderId="107" xfId="33" applyNumberFormat="1" applyFont="1" applyFill="1" applyBorder="1" applyAlignment="1">
      <alignment vertical="center" wrapText="1"/>
    </xf>
    <xf numFmtId="0" fontId="4" fillId="28" borderId="111" xfId="33" applyFont="1" applyFill="1" applyBorder="1" applyAlignment="1">
      <alignment horizontal="left" vertical="center" wrapText="1"/>
    </xf>
    <xf numFmtId="169" fontId="4" fillId="28" borderId="111" xfId="33" applyNumberFormat="1" applyFont="1" applyFill="1" applyBorder="1" applyAlignment="1">
      <alignment horizontal="right" vertical="center" wrapText="1"/>
    </xf>
    <xf numFmtId="4" fontId="66" fillId="0" borderId="0" xfId="33" applyNumberFormat="1" applyFont="1" applyAlignment="1">
      <alignment horizontal="right" vertical="center"/>
    </xf>
    <xf numFmtId="0" fontId="65" fillId="0" borderId="0" xfId="33" applyFont="1"/>
    <xf numFmtId="4" fontId="65" fillId="0" borderId="0" xfId="33" applyNumberFormat="1" applyFont="1"/>
    <xf numFmtId="49" fontId="3" fillId="0" borderId="22" xfId="33" applyNumberFormat="1" applyBorder="1" applyAlignment="1">
      <alignment horizontal="left" vertical="center"/>
    </xf>
    <xf numFmtId="0" fontId="3" fillId="0" borderId="22" xfId="33" applyBorder="1" applyAlignment="1">
      <alignment horizontal="left" vertical="center" wrapText="1"/>
    </xf>
    <xf numFmtId="4" fontId="3" fillId="0" borderId="22" xfId="33" applyNumberFormat="1" applyBorder="1" applyAlignment="1">
      <alignment vertical="center"/>
    </xf>
    <xf numFmtId="4" fontId="3" fillId="0" borderId="22" xfId="33" applyNumberFormat="1" applyBorder="1" applyAlignment="1" applyProtection="1">
      <alignment vertical="center"/>
      <protection locked="0"/>
    </xf>
    <xf numFmtId="169" fontId="4" fillId="27" borderId="11" xfId="33" applyNumberFormat="1" applyFont="1" applyFill="1" applyBorder="1" applyAlignment="1">
      <alignment horizontal="right" vertical="center"/>
    </xf>
    <xf numFmtId="4" fontId="3" fillId="0" borderId="0" xfId="33" applyNumberFormat="1" applyAlignment="1">
      <alignment vertical="center"/>
    </xf>
    <xf numFmtId="0" fontId="33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0" fontId="32" fillId="27" borderId="106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justify" vertical="center" wrapText="1"/>
    </xf>
    <xf numFmtId="0" fontId="32" fillId="28" borderId="107" xfId="0" applyFont="1" applyFill="1" applyBorder="1" applyAlignment="1">
      <alignment horizontal="justify" vertical="center" wrapText="1"/>
    </xf>
    <xf numFmtId="0" fontId="32" fillId="24" borderId="107" xfId="0" applyFont="1" applyFill="1" applyBorder="1" applyAlignment="1">
      <alignment horizontal="justify" vertical="center" wrapText="1"/>
    </xf>
    <xf numFmtId="0" fontId="32" fillId="0" borderId="107" xfId="0" applyFont="1" applyBorder="1" applyAlignment="1">
      <alignment horizontal="justify" vertical="top" wrapText="1"/>
    </xf>
    <xf numFmtId="0" fontId="33" fillId="0" borderId="0" xfId="0" applyFont="1" applyAlignment="1">
      <alignment horizontal="left" vertical="center" wrapText="1"/>
    </xf>
    <xf numFmtId="4" fontId="67" fillId="29" borderId="84" xfId="42" applyNumberFormat="1" applyFont="1" applyFill="1" applyBorder="1" applyAlignment="1">
      <alignment horizontal="right" vertical="center"/>
    </xf>
    <xf numFmtId="4" fontId="67" fillId="0" borderId="112" xfId="42" applyNumberFormat="1" applyFont="1" applyBorder="1" applyAlignment="1">
      <alignment horizontal="right" vertical="center"/>
    </xf>
    <xf numFmtId="0" fontId="68" fillId="0" borderId="0" xfId="44" applyFont="1" applyAlignment="1">
      <alignment vertical="center"/>
    </xf>
    <xf numFmtId="0" fontId="69" fillId="0" borderId="0" xfId="44" applyFont="1"/>
    <xf numFmtId="0" fontId="68" fillId="0" borderId="0" xfId="44" applyFont="1"/>
    <xf numFmtId="4" fontId="68" fillId="27" borderId="106" xfId="44" applyNumberFormat="1" applyFont="1" applyFill="1" applyBorder="1" applyAlignment="1">
      <alignment horizontal="center" vertical="center" wrapText="1"/>
    </xf>
    <xf numFmtId="0" fontId="68" fillId="0" borderId="0" xfId="44" applyFont="1" applyAlignment="1">
      <alignment vertical="center" wrapText="1"/>
    </xf>
    <xf numFmtId="4" fontId="68" fillId="28" borderId="107" xfId="44" applyNumberFormat="1" applyFont="1" applyFill="1" applyBorder="1" applyAlignment="1" applyProtection="1">
      <alignment horizontal="right" wrapText="1"/>
      <protection locked="0"/>
    </xf>
    <xf numFmtId="4" fontId="68" fillId="24" borderId="107" xfId="44" applyNumberFormat="1" applyFont="1" applyFill="1" applyBorder="1" applyAlignment="1" applyProtection="1">
      <alignment horizontal="right" wrapText="1"/>
      <protection locked="0"/>
    </xf>
    <xf numFmtId="4" fontId="68" fillId="0" borderId="107" xfId="44" applyNumberFormat="1" applyFont="1" applyBorder="1" applyAlignment="1" applyProtection="1">
      <alignment horizontal="right" wrapText="1"/>
      <protection locked="0"/>
    </xf>
    <xf numFmtId="4" fontId="69" fillId="0" borderId="0" xfId="44" applyNumberFormat="1" applyFont="1" applyAlignment="1" applyProtection="1">
      <alignment vertical="center"/>
      <protection locked="0"/>
    </xf>
    <xf numFmtId="4" fontId="68" fillId="27" borderId="11" xfId="44" applyNumberFormat="1" applyFont="1" applyFill="1" applyBorder="1" applyAlignment="1" applyProtection="1">
      <alignment vertical="center"/>
      <protection locked="0"/>
    </xf>
    <xf numFmtId="167" fontId="3" fillId="30" borderId="20" xfId="0" applyNumberFormat="1" applyFont="1" applyFill="1" applyBorder="1" applyAlignment="1">
      <alignment horizontal="center" vertical="center"/>
    </xf>
    <xf numFmtId="0" fontId="67" fillId="0" borderId="14" xfId="0" applyFont="1" applyBorder="1" applyAlignment="1">
      <alignment horizontal="right"/>
    </xf>
    <xf numFmtId="2" fontId="71" fillId="0" borderId="0" xfId="0" applyNumberFormat="1" applyFont="1" applyAlignment="1">
      <alignment vertical="top" wrapText="1"/>
    </xf>
    <xf numFmtId="170" fontId="3" fillId="25" borderId="16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 indent="1"/>
    </xf>
    <xf numFmtId="1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 vertical="center"/>
    </xf>
    <xf numFmtId="2" fontId="72" fillId="0" borderId="0" xfId="0" applyNumberFormat="1" applyFont="1" applyAlignment="1">
      <alignment vertical="center"/>
    </xf>
    <xf numFmtId="0" fontId="72" fillId="0" borderId="0" xfId="0" applyFont="1" applyAlignment="1">
      <alignment horizontal="center" vertical="center" wrapText="1"/>
    </xf>
    <xf numFmtId="165" fontId="72" fillId="0" borderId="0" xfId="0" applyNumberFormat="1" applyFont="1" applyAlignment="1">
      <alignment horizontal="center" vertical="center"/>
    </xf>
    <xf numFmtId="2" fontId="72" fillId="0" borderId="0" xfId="0" applyNumberFormat="1" applyFont="1" applyAlignment="1">
      <alignment horizontal="right" vertical="center" wrapText="1" indent="1"/>
    </xf>
    <xf numFmtId="2" fontId="72" fillId="0" borderId="0" xfId="0" applyNumberFormat="1" applyFont="1" applyAlignment="1">
      <alignment horizontal="centerContinuous" vertical="center"/>
    </xf>
    <xf numFmtId="0" fontId="72" fillId="0" borderId="11" xfId="0" applyFont="1" applyBorder="1" applyAlignment="1">
      <alignment vertical="center"/>
    </xf>
    <xf numFmtId="0" fontId="72" fillId="0" borderId="11" xfId="0" applyFont="1" applyBorder="1" applyAlignment="1">
      <alignment horizontal="right" vertical="center" indent="1"/>
    </xf>
    <xf numFmtId="4" fontId="72" fillId="0" borderId="11" xfId="0" applyNumberFormat="1" applyFont="1" applyBorder="1" applyAlignment="1">
      <alignment vertical="center"/>
    </xf>
    <xf numFmtId="0" fontId="72" fillId="0" borderId="11" xfId="0" applyFont="1" applyBorder="1" applyAlignment="1">
      <alignment horizontal="left" vertical="center"/>
    </xf>
    <xf numFmtId="10" fontId="72" fillId="0" borderId="16" xfId="0" applyNumberFormat="1" applyFont="1" applyBorder="1" applyAlignment="1">
      <alignment horizontal="center" vertical="center"/>
    </xf>
    <xf numFmtId="165" fontId="72" fillId="25" borderId="16" xfId="0" applyNumberFormat="1" applyFont="1" applyFill="1" applyBorder="1" applyAlignment="1">
      <alignment horizontal="center" vertical="center"/>
    </xf>
    <xf numFmtId="4" fontId="72" fillId="0" borderId="11" xfId="0" applyNumberFormat="1" applyFont="1" applyBorder="1" applyAlignment="1">
      <alignment horizontal="right" vertical="center" indent="1"/>
    </xf>
    <xf numFmtId="166" fontId="72" fillId="0" borderId="16" xfId="0" applyNumberFormat="1" applyFont="1" applyBorder="1" applyAlignment="1">
      <alignment vertical="center"/>
    </xf>
    <xf numFmtId="170" fontId="72" fillId="0" borderId="0" xfId="0" applyNumberFormat="1" applyFont="1" applyAlignment="1">
      <alignment horizontal="center"/>
    </xf>
    <xf numFmtId="0" fontId="72" fillId="0" borderId="18" xfId="0" applyFont="1" applyBorder="1" applyAlignment="1">
      <alignment vertical="center"/>
    </xf>
    <xf numFmtId="0" fontId="72" fillId="0" borderId="18" xfId="0" applyFont="1" applyBorder="1" applyAlignment="1">
      <alignment horizontal="center" vertical="center"/>
    </xf>
    <xf numFmtId="165" fontId="72" fillId="25" borderId="18" xfId="0" applyNumberFormat="1" applyFont="1" applyFill="1" applyBorder="1" applyAlignment="1">
      <alignment horizontal="center" vertical="center"/>
    </xf>
    <xf numFmtId="4" fontId="72" fillId="0" borderId="18" xfId="0" applyNumberFormat="1" applyFont="1" applyBorder="1" applyAlignment="1">
      <alignment horizontal="right" vertical="center" indent="1"/>
    </xf>
    <xf numFmtId="4" fontId="72" fillId="0" borderId="18" xfId="0" applyNumberFormat="1" applyFont="1" applyBorder="1" applyAlignment="1">
      <alignment vertical="center"/>
    </xf>
    <xf numFmtId="0" fontId="72" fillId="0" borderId="19" xfId="0" applyFont="1" applyBorder="1" applyAlignment="1">
      <alignment vertical="center"/>
    </xf>
    <xf numFmtId="0" fontId="72" fillId="0" borderId="19" xfId="0" applyFont="1" applyBorder="1" applyAlignment="1">
      <alignment horizontal="center" vertical="center"/>
    </xf>
    <xf numFmtId="165" fontId="72" fillId="25" borderId="19" xfId="0" applyNumberFormat="1" applyFont="1" applyFill="1" applyBorder="1" applyAlignment="1">
      <alignment horizontal="center" vertical="center"/>
    </xf>
    <xf numFmtId="4" fontId="72" fillId="0" borderId="19" xfId="0" applyNumberFormat="1" applyFont="1" applyBorder="1" applyAlignment="1">
      <alignment horizontal="right" vertical="center" indent="1"/>
    </xf>
    <xf numFmtId="4" fontId="72" fillId="0" borderId="19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165" fontId="72" fillId="25" borderId="0" xfId="0" applyNumberFormat="1" applyFont="1" applyFill="1" applyAlignment="1">
      <alignment horizontal="center" vertical="center"/>
    </xf>
    <xf numFmtId="4" fontId="72" fillId="0" borderId="0" xfId="0" applyNumberFormat="1" applyFont="1" applyAlignment="1">
      <alignment horizontal="right" vertical="center" indent="1"/>
    </xf>
    <xf numFmtId="4" fontId="72" fillId="0" borderId="0" xfId="0" applyNumberFormat="1" applyFont="1" applyAlignment="1">
      <alignment vertical="center"/>
    </xf>
    <xf numFmtId="0" fontId="72" fillId="0" borderId="20" xfId="0" applyFont="1" applyBorder="1" applyAlignment="1">
      <alignment horizontal="left" vertical="center"/>
    </xf>
    <xf numFmtId="165" fontId="72" fillId="25" borderId="18" xfId="0" quotePrefix="1" applyNumberFormat="1" applyFont="1" applyFill="1" applyBorder="1" applyAlignment="1">
      <alignment horizontal="center" vertical="center"/>
    </xf>
    <xf numFmtId="166" fontId="72" fillId="0" borderId="18" xfId="0" applyNumberFormat="1" applyFont="1" applyBorder="1" applyAlignment="1">
      <alignment vertical="center"/>
    </xf>
    <xf numFmtId="2" fontId="72" fillId="0" borderId="14" xfId="0" applyNumberFormat="1" applyFont="1" applyBorder="1" applyAlignment="1">
      <alignment horizontal="left" vertical="center"/>
    </xf>
    <xf numFmtId="0" fontId="72" fillId="0" borderId="14" xfId="0" applyFont="1" applyBorder="1"/>
    <xf numFmtId="0" fontId="72" fillId="0" borderId="14" xfId="0" applyFont="1" applyBorder="1" applyAlignment="1">
      <alignment horizontal="center"/>
    </xf>
    <xf numFmtId="4" fontId="73" fillId="0" borderId="10" xfId="0" applyNumberFormat="1" applyFont="1" applyBorder="1" applyAlignment="1">
      <alignment vertical="center"/>
    </xf>
    <xf numFmtId="4" fontId="74" fillId="0" borderId="70" xfId="0" applyNumberFormat="1" applyFont="1" applyBorder="1" applyAlignment="1" applyProtection="1">
      <alignment horizontal="center" vertical="center" shrinkToFit="1"/>
      <protection hidden="1"/>
    </xf>
    <xf numFmtId="2" fontId="72" fillId="0" borderId="0" xfId="0" applyNumberFormat="1" applyFont="1" applyAlignment="1">
      <alignment horizontal="left" vertical="center"/>
    </xf>
    <xf numFmtId="0" fontId="72" fillId="0" borderId="0" xfId="0" applyFont="1"/>
    <xf numFmtId="2" fontId="72" fillId="0" borderId="10" xfId="0" applyNumberFormat="1" applyFont="1" applyBorder="1" applyAlignment="1">
      <alignment horizontal="right" vertical="center"/>
    </xf>
    <xf numFmtId="10" fontId="72" fillId="0" borderId="10" xfId="42" quotePrefix="1" applyNumberFormat="1" applyFont="1" applyBorder="1" applyAlignment="1">
      <alignment horizontal="right" vertical="center" indent="1"/>
    </xf>
    <xf numFmtId="4" fontId="72" fillId="0" borderId="15" xfId="0" applyNumberFormat="1" applyFont="1" applyBorder="1" applyAlignment="1">
      <alignment vertical="center"/>
    </xf>
    <xf numFmtId="4" fontId="72" fillId="0" borderId="0" xfId="0" applyNumberFormat="1" applyFont="1" applyAlignment="1">
      <alignment horizontal="center"/>
    </xf>
    <xf numFmtId="166" fontId="72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left" vertical="center"/>
    </xf>
    <xf numFmtId="49" fontId="71" fillId="0" borderId="0" xfId="0" applyNumberFormat="1" applyFont="1" applyAlignment="1">
      <alignment horizontal="left" vertical="center"/>
    </xf>
    <xf numFmtId="167" fontId="3" fillId="30" borderId="17" xfId="0" applyNumberFormat="1" applyFont="1" applyFill="1" applyBorder="1" applyAlignment="1">
      <alignment horizontal="center" vertical="center"/>
    </xf>
    <xf numFmtId="167" fontId="3" fillId="30" borderId="18" xfId="0" applyNumberFormat="1" applyFont="1" applyFill="1" applyBorder="1" applyAlignment="1">
      <alignment horizontal="center" vertical="center"/>
    </xf>
    <xf numFmtId="0" fontId="70" fillId="0" borderId="0" xfId="0" applyFont="1"/>
    <xf numFmtId="49" fontId="71" fillId="0" borderId="0" xfId="0" applyNumberFormat="1" applyFont="1" applyAlignment="1">
      <alignment vertical="top" wrapText="1"/>
    </xf>
    <xf numFmtId="0" fontId="75" fillId="0" borderId="0" xfId="35" applyFont="1"/>
    <xf numFmtId="0" fontId="75" fillId="0" borderId="0" xfId="40" applyFont="1"/>
    <xf numFmtId="0" fontId="76" fillId="0" borderId="0" xfId="35" applyFont="1" applyAlignment="1">
      <alignment horizontal="center" vertical="center"/>
    </xf>
    <xf numFmtId="0" fontId="4" fillId="0" borderId="0" xfId="0" applyFont="1"/>
    <xf numFmtId="0" fontId="5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4" fontId="77" fillId="0" borderId="70" xfId="0" applyNumberFormat="1" applyFont="1" applyBorder="1" applyAlignment="1" applyProtection="1">
      <alignment horizontal="center" vertical="center" shrinkToFit="1"/>
      <protection hidden="1"/>
    </xf>
    <xf numFmtId="0" fontId="78" fillId="0" borderId="0" xfId="0" applyFont="1"/>
    <xf numFmtId="171" fontId="3" fillId="25" borderId="1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67" fontId="3" fillId="25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4" fillId="30" borderId="15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67" fontId="3" fillId="25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vertical="center"/>
    </xf>
    <xf numFmtId="10" fontId="3" fillId="0" borderId="11" xfId="0" applyNumberFormat="1" applyFont="1" applyBorder="1" applyAlignment="1">
      <alignment horizontal="center" vertical="center"/>
    </xf>
    <xf numFmtId="0" fontId="4" fillId="31" borderId="68" xfId="42" applyFont="1" applyFill="1" applyBorder="1" applyAlignment="1">
      <alignment horizontal="center" vertical="center" wrapText="1"/>
    </xf>
    <xf numFmtId="4" fontId="37" fillId="31" borderId="84" xfId="42" applyNumberFormat="1" applyFont="1" applyFill="1" applyBorder="1" applyAlignment="1">
      <alignment horizontal="right" vertical="center"/>
    </xf>
    <xf numFmtId="3" fontId="37" fillId="31" borderId="80" xfId="42" applyNumberFormat="1" applyFont="1" applyFill="1" applyBorder="1" applyAlignment="1" applyProtection="1">
      <alignment horizontal="right" vertical="center"/>
      <protection locked="0"/>
    </xf>
    <xf numFmtId="0" fontId="4" fillId="31" borderId="68" xfId="41" applyFont="1" applyFill="1" applyBorder="1" applyAlignment="1">
      <alignment horizontal="center" vertical="center" wrapText="1"/>
    </xf>
    <xf numFmtId="4" fontId="32" fillId="27" borderId="84" xfId="43" applyNumberFormat="1" applyFont="1" applyFill="1" applyBorder="1" applyAlignment="1">
      <alignment horizontal="center" vertical="center" wrapText="1"/>
    </xf>
    <xf numFmtId="0" fontId="3" fillId="0" borderId="84" xfId="43" applyFont="1" applyBorder="1" applyAlignment="1">
      <alignment horizontal="center" vertical="center"/>
    </xf>
    <xf numFmtId="4" fontId="3" fillId="32" borderId="84" xfId="43" applyNumberFormat="1" applyFont="1" applyFill="1" applyBorder="1" applyAlignment="1">
      <alignment horizontal="right" vertical="center"/>
    </xf>
    <xf numFmtId="3" fontId="4" fillId="0" borderId="84" xfId="43" applyNumberFormat="1" applyFont="1" applyBorder="1" applyAlignment="1">
      <alignment horizontal="center" vertical="center"/>
    </xf>
    <xf numFmtId="4" fontId="4" fillId="25" borderId="84" xfId="43" applyNumberFormat="1" applyFont="1" applyFill="1" applyBorder="1" applyAlignment="1" applyProtection="1">
      <alignment vertical="center"/>
      <protection locked="0"/>
    </xf>
    <xf numFmtId="4" fontId="3" fillId="0" borderId="84" xfId="43" applyNumberFormat="1" applyFont="1" applyBorder="1" applyAlignment="1">
      <alignment horizontal="right" vertical="center"/>
    </xf>
    <xf numFmtId="4" fontId="32" fillId="27" borderId="113" xfId="34" applyNumberFormat="1" applyFont="1" applyFill="1" applyBorder="1" applyAlignment="1">
      <alignment horizontal="center" vertical="center" wrapText="1"/>
    </xf>
    <xf numFmtId="0" fontId="33" fillId="27" borderId="114" xfId="34" applyFont="1" applyFill="1" applyBorder="1" applyAlignment="1">
      <alignment vertical="center"/>
    </xf>
    <xf numFmtId="4" fontId="32" fillId="27" borderId="66" xfId="34" applyNumberFormat="1" applyFont="1" applyFill="1" applyBorder="1" applyAlignment="1">
      <alignment horizontal="center" vertical="center" wrapText="1"/>
    </xf>
    <xf numFmtId="0" fontId="33" fillId="27" borderId="72" xfId="34" applyFont="1" applyFill="1" applyBorder="1" applyAlignment="1">
      <alignment vertical="center"/>
    </xf>
    <xf numFmtId="4" fontId="4" fillId="0" borderId="0" xfId="35" applyNumberFormat="1" applyFont="1"/>
    <xf numFmtId="4" fontId="4" fillId="25" borderId="23" xfId="35" applyNumberFormat="1" applyFont="1" applyFill="1" applyBorder="1" applyProtection="1">
      <protection locked="0"/>
    </xf>
    <xf numFmtId="4" fontId="4" fillId="30" borderId="17" xfId="0" applyNumberFormat="1" applyFont="1" applyFill="1" applyBorder="1" applyAlignment="1">
      <alignment horizontal="center" vertical="center"/>
    </xf>
    <xf numFmtId="4" fontId="4" fillId="30" borderId="10" xfId="0" applyNumberFormat="1" applyFont="1" applyFill="1" applyBorder="1" applyAlignment="1">
      <alignment vertical="center"/>
    </xf>
    <xf numFmtId="9" fontId="67" fillId="0" borderId="84" xfId="46" applyFont="1" applyBorder="1" applyAlignment="1" applyProtection="1">
      <alignment vertical="center"/>
    </xf>
    <xf numFmtId="4" fontId="67" fillId="0" borderId="84" xfId="35" applyNumberFormat="1" applyFont="1" applyBorder="1" applyAlignment="1">
      <alignment vertical="center"/>
    </xf>
    <xf numFmtId="4" fontId="67" fillId="33" borderId="84" xfId="35" applyNumberFormat="1" applyFont="1" applyFill="1" applyBorder="1" applyAlignment="1">
      <alignment vertical="center"/>
    </xf>
    <xf numFmtId="0" fontId="80" fillId="0" borderId="0" xfId="35" applyFont="1"/>
    <xf numFmtId="0" fontId="80" fillId="0" borderId="0" xfId="40" applyFont="1"/>
    <xf numFmtId="0" fontId="81" fillId="0" borderId="0" xfId="35" applyFont="1" applyAlignment="1">
      <alignment horizontal="center" vertical="center"/>
    </xf>
    <xf numFmtId="4" fontId="82" fillId="0" borderId="28" xfId="35" applyNumberFormat="1" applyFont="1" applyBorder="1" applyAlignment="1">
      <alignment vertical="center"/>
    </xf>
    <xf numFmtId="9" fontId="82" fillId="0" borderId="84" xfId="46" applyFont="1" applyBorder="1" applyAlignment="1" applyProtection="1">
      <alignment vertical="center"/>
    </xf>
    <xf numFmtId="4" fontId="82" fillId="0" borderId="24" xfId="35" applyNumberFormat="1" applyFont="1" applyBorder="1" applyAlignment="1">
      <alignment vertical="center"/>
    </xf>
    <xf numFmtId="4" fontId="82" fillId="33" borderId="24" xfId="35" applyNumberFormat="1" applyFont="1" applyFill="1" applyBorder="1" applyAlignment="1">
      <alignment vertical="center"/>
    </xf>
    <xf numFmtId="9" fontId="83" fillId="0" borderId="84" xfId="46" applyFont="1" applyBorder="1" applyAlignment="1" applyProtection="1">
      <alignment horizontal="center" vertical="center"/>
    </xf>
    <xf numFmtId="9" fontId="67" fillId="0" borderId="112" xfId="46" applyFont="1" applyBorder="1" applyAlignment="1" applyProtection="1">
      <alignment horizontal="center" vertical="center"/>
    </xf>
    <xf numFmtId="9" fontId="67" fillId="0" borderId="87" xfId="46" applyFont="1" applyBorder="1" applyAlignment="1" applyProtection="1">
      <alignment horizontal="center" vertical="center"/>
    </xf>
    <xf numFmtId="9" fontId="67" fillId="0" borderId="80" xfId="46" applyFont="1" applyBorder="1" applyAlignment="1" applyProtection="1">
      <alignment horizontal="center" vertical="center"/>
    </xf>
    <xf numFmtId="165" fontId="3" fillId="34" borderId="16" xfId="0" applyNumberFormat="1" applyFont="1" applyFill="1" applyBorder="1" applyAlignment="1">
      <alignment horizontal="center" vertical="center"/>
    </xf>
    <xf numFmtId="165" fontId="3" fillId="25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Border="1" applyAlignment="1">
      <alignment vertical="center"/>
    </xf>
    <xf numFmtId="0" fontId="31" fillId="0" borderId="0" xfId="35" applyFont="1" applyAlignment="1">
      <alignment vertical="top" wrapText="1"/>
    </xf>
    <xf numFmtId="0" fontId="3" fillId="0" borderId="0" xfId="35" applyFont="1" applyAlignment="1">
      <alignment vertical="top" wrapText="1"/>
    </xf>
    <xf numFmtId="0" fontId="78" fillId="0" borderId="99" xfId="35" applyFont="1" applyBorder="1" applyAlignment="1">
      <alignment vertical="center"/>
    </xf>
    <xf numFmtId="0" fontId="78" fillId="0" borderId="0" xfId="35" applyFont="1" applyAlignment="1">
      <alignment vertical="center"/>
    </xf>
    <xf numFmtId="0" fontId="39" fillId="0" borderId="0" xfId="41" applyFont="1"/>
    <xf numFmtId="0" fontId="59" fillId="29" borderId="80" xfId="42" applyFont="1" applyFill="1" applyBorder="1" applyAlignment="1">
      <alignment horizontal="right" vertical="center"/>
    </xf>
    <xf numFmtId="172" fontId="3" fillId="0" borderId="0" xfId="0" applyNumberFormat="1" applyFont="1" applyAlignment="1">
      <alignment vertical="center"/>
    </xf>
    <xf numFmtId="0" fontId="84" fillId="35" borderId="0" xfId="35" applyFont="1" applyFill="1"/>
    <xf numFmtId="4" fontId="86" fillId="35" borderId="24" xfId="35" applyNumberFormat="1" applyFont="1" applyFill="1" applyBorder="1" applyAlignment="1">
      <alignment vertical="center"/>
    </xf>
    <xf numFmtId="0" fontId="87" fillId="35" borderId="0" xfId="35" applyFont="1" applyFill="1"/>
    <xf numFmtId="10" fontId="3" fillId="0" borderId="10" xfId="42" applyNumberFormat="1" applyFont="1" applyBorder="1" applyAlignment="1">
      <alignment horizontal="center" vertical="center"/>
    </xf>
    <xf numFmtId="4" fontId="36" fillId="0" borderId="0" xfId="35" applyNumberFormat="1" applyFont="1" applyAlignment="1">
      <alignment wrapText="1"/>
    </xf>
    <xf numFmtId="0" fontId="36" fillId="0" borderId="0" xfId="35" applyFont="1" applyAlignment="1">
      <alignment horizontal="center" vertical="center"/>
    </xf>
    <xf numFmtId="0" fontId="36" fillId="0" borderId="0" xfId="35" applyFont="1" applyAlignment="1">
      <alignment horizontal="center" vertical="top"/>
    </xf>
    <xf numFmtId="4" fontId="37" fillId="0" borderId="0" xfId="35" applyNumberFormat="1" applyFont="1" applyAlignment="1">
      <alignment horizontal="right"/>
    </xf>
    <xf numFmtId="4" fontId="3" fillId="0" borderId="125" xfId="0" applyNumberFormat="1" applyFont="1" applyBorder="1" applyAlignment="1">
      <alignment horizontal="center" vertical="center"/>
    </xf>
    <xf numFmtId="172" fontId="3" fillId="0" borderId="0" xfId="0" applyNumberFormat="1" applyFont="1"/>
    <xf numFmtId="49" fontId="32" fillId="0" borderId="0" xfId="44" applyNumberFormat="1" applyFont="1" applyAlignment="1">
      <alignment horizontal="right" vertical="top"/>
    </xf>
    <xf numFmtId="0" fontId="32" fillId="0" borderId="0" xfId="0" applyFont="1" applyAlignment="1">
      <alignment horizontal="right" vertical="center" wrapText="1"/>
    </xf>
    <xf numFmtId="0" fontId="4" fillId="0" borderId="0" xfId="33" applyFont="1" applyAlignment="1">
      <alignment horizontal="right" vertical="center" wrapText="1"/>
    </xf>
    <xf numFmtId="0" fontId="4" fillId="0" borderId="0" xfId="33" applyFont="1" applyAlignment="1">
      <alignment horizontal="right" vertical="center"/>
    </xf>
    <xf numFmtId="173" fontId="4" fillId="36" borderId="126" xfId="33" applyNumberFormat="1" applyFont="1" applyFill="1" applyBorder="1" applyAlignment="1">
      <alignment vertical="center"/>
    </xf>
    <xf numFmtId="172" fontId="32" fillId="27" borderId="11" xfId="44" applyNumberFormat="1" applyFont="1" applyFill="1" applyBorder="1" applyAlignment="1" applyProtection="1">
      <alignment vertical="center"/>
      <protection locked="0"/>
    </xf>
    <xf numFmtId="173" fontId="4" fillId="28" borderId="110" xfId="33" applyNumberFormat="1" applyFont="1" applyFill="1" applyBorder="1" applyAlignment="1" applyProtection="1">
      <alignment horizontal="right" vertical="center" wrapText="1"/>
      <protection locked="0"/>
    </xf>
    <xf numFmtId="173" fontId="4" fillId="28" borderId="111" xfId="33" applyNumberFormat="1" applyFont="1" applyFill="1" applyBorder="1" applyAlignment="1" applyProtection="1">
      <alignment horizontal="right" vertical="center" wrapText="1"/>
      <protection locked="0"/>
    </xf>
    <xf numFmtId="173" fontId="4" fillId="36" borderId="11" xfId="33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distributed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distributed" wrapText="1"/>
    </xf>
    <xf numFmtId="0" fontId="3" fillId="0" borderId="19" xfId="0" applyFont="1" applyBorder="1" applyAlignment="1">
      <alignment horizontal="left" vertical="distributed" wrapText="1"/>
    </xf>
    <xf numFmtId="0" fontId="3" fillId="0" borderId="18" xfId="0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44" applyFont="1" applyAlignment="1">
      <alignment horizontal="center" vertical="center"/>
    </xf>
    <xf numFmtId="0" fontId="88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4" fillId="0" borderId="0" xfId="44" applyFont="1" applyAlignment="1">
      <alignment horizontal="center" vertical="center" wrapText="1"/>
    </xf>
    <xf numFmtId="0" fontId="4" fillId="0" borderId="0" xfId="44" applyFont="1" applyAlignment="1">
      <alignment horizontal="center" vertical="center"/>
    </xf>
    <xf numFmtId="0" fontId="3" fillId="0" borderId="17" xfId="55" applyNumberFormat="1" applyFont="1" applyBorder="1" applyAlignment="1">
      <alignment horizontal="left" vertical="center"/>
    </xf>
    <xf numFmtId="0" fontId="3" fillId="0" borderId="17" xfId="55" applyFont="1" applyBorder="1" applyAlignment="1">
      <alignment vertical="center" wrapText="1"/>
    </xf>
    <xf numFmtId="10" fontId="3" fillId="0" borderId="17" xfId="55" applyNumberFormat="1" applyFont="1" applyBorder="1" applyAlignment="1">
      <alignment horizontal="center" vertical="center"/>
    </xf>
    <xf numFmtId="165" fontId="3" fillId="25" borderId="17" xfId="55" applyNumberFormat="1" applyFont="1" applyFill="1" applyBorder="1" applyAlignment="1">
      <alignment horizontal="center" vertical="center"/>
    </xf>
    <xf numFmtId="4" fontId="3" fillId="0" borderId="17" xfId="55" applyNumberFormat="1" applyFont="1" applyBorder="1" applyAlignment="1">
      <alignment vertical="center"/>
    </xf>
    <xf numFmtId="166" fontId="3" fillId="0" borderId="17" xfId="55" applyNumberFormat="1" applyFont="1" applyBorder="1" applyAlignment="1">
      <alignment vertical="center"/>
    </xf>
    <xf numFmtId="0" fontId="3" fillId="0" borderId="0" xfId="56"/>
    <xf numFmtId="0" fontId="3" fillId="0" borderId="19" xfId="55" applyNumberFormat="1" applyFont="1" applyBorder="1" applyAlignment="1">
      <alignment horizontal="left" vertical="center"/>
    </xf>
    <xf numFmtId="0" fontId="3" fillId="0" borderId="17" xfId="55" applyFont="1" applyBorder="1" applyAlignment="1">
      <alignment horizontal="center" vertical="center"/>
    </xf>
    <xf numFmtId="165" fontId="3" fillId="25" borderId="17" xfId="55" quotePrefix="1" applyNumberFormat="1" applyFont="1" applyFill="1" applyBorder="1" applyAlignment="1">
      <alignment horizontal="center" vertical="center"/>
    </xf>
    <xf numFmtId="0" fontId="3" fillId="0" borderId="18" xfId="55" applyNumberFormat="1" applyFont="1" applyBorder="1" applyAlignment="1">
      <alignment horizontal="left" vertical="center"/>
    </xf>
    <xf numFmtId="0" fontId="3" fillId="0" borderId="18" xfId="55" applyFont="1" applyBorder="1" applyAlignment="1">
      <alignment horizontal="center" vertical="center"/>
    </xf>
    <xf numFmtId="165" fontId="3" fillId="25" borderId="18" xfId="55" quotePrefix="1" applyNumberFormat="1" applyFont="1" applyFill="1" applyBorder="1" applyAlignment="1">
      <alignment horizontal="center" vertical="center"/>
    </xf>
    <xf numFmtId="166" fontId="3" fillId="0" borderId="18" xfId="55" applyNumberFormat="1" applyFont="1" applyBorder="1" applyAlignment="1">
      <alignment vertical="center"/>
    </xf>
    <xf numFmtId="0" fontId="3" fillId="0" borderId="19" xfId="55" applyFont="1" applyBorder="1" applyAlignment="1">
      <alignment horizontal="center" vertical="center"/>
    </xf>
    <xf numFmtId="165" fontId="3" fillId="25" borderId="19" xfId="55" quotePrefix="1" applyNumberFormat="1" applyFont="1" applyFill="1" applyBorder="1" applyAlignment="1">
      <alignment horizontal="center" vertical="center"/>
    </xf>
    <xf numFmtId="166" fontId="3" fillId="0" borderId="19" xfId="55" applyNumberFormat="1" applyFont="1" applyBorder="1" applyAlignment="1">
      <alignment vertical="center"/>
    </xf>
    <xf numFmtId="0" fontId="3" fillId="0" borderId="20" xfId="55" applyNumberFormat="1" applyFont="1" applyBorder="1" applyAlignment="1">
      <alignment horizontal="left" vertical="center"/>
    </xf>
    <xf numFmtId="0" fontId="3" fillId="0" borderId="13" xfId="55" applyFont="1" applyBorder="1" applyAlignment="1">
      <alignment vertical="center" wrapText="1"/>
    </xf>
    <xf numFmtId="0" fontId="3" fillId="0" borderId="20" xfId="55" applyFont="1" applyBorder="1" applyAlignment="1">
      <alignment horizontal="center" vertical="center"/>
    </xf>
    <xf numFmtId="165" fontId="3" fillId="25" borderId="20" xfId="55" quotePrefix="1" applyNumberFormat="1" applyFont="1" applyFill="1" applyBorder="1" applyAlignment="1">
      <alignment horizontal="center" vertical="center"/>
    </xf>
    <xf numFmtId="4" fontId="3" fillId="0" borderId="13" xfId="55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26" borderId="0" xfId="0" applyFont="1" applyFill="1" applyAlignment="1">
      <alignment vertical="top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33" fillId="0" borderId="67" xfId="42" applyFont="1" applyBorder="1" applyAlignment="1">
      <alignment vertical="center"/>
    </xf>
    <xf numFmtId="2" fontId="35" fillId="0" borderId="67" xfId="42" applyNumberFormat="1" applyFont="1" applyBorder="1" applyAlignment="1">
      <alignment vertical="center"/>
    </xf>
    <xf numFmtId="0" fontId="8" fillId="0" borderId="0" xfId="37" applyBorder="1"/>
    <xf numFmtId="0" fontId="33" fillId="0" borderId="0" xfId="42" applyFont="1" applyBorder="1" applyAlignment="1">
      <alignment horizontal="center" vertical="center"/>
    </xf>
    <xf numFmtId="0" fontId="33" fillId="37" borderId="0" xfId="42" applyFont="1" applyFill="1" applyBorder="1" applyAlignment="1">
      <alignment horizontal="center" vertical="center"/>
    </xf>
    <xf numFmtId="4" fontId="33" fillId="37" borderId="0" xfId="42" applyNumberFormat="1" applyFont="1" applyFill="1" applyBorder="1" applyAlignment="1">
      <alignment vertical="center"/>
    </xf>
    <xf numFmtId="0" fontId="3" fillId="0" borderId="0" xfId="33" applyAlignment="1">
      <alignment horizontal="justify" vertical="center" wrapText="1"/>
    </xf>
    <xf numFmtId="0" fontId="0" fillId="0" borderId="0" xfId="0" applyAlignment="1">
      <alignment vertical="center" wrapText="1"/>
    </xf>
    <xf numFmtId="0" fontId="33" fillId="0" borderId="32" xfId="42" applyFont="1" applyBorder="1" applyAlignment="1">
      <alignment horizontal="center" vertical="center"/>
    </xf>
    <xf numFmtId="0" fontId="33" fillId="0" borderId="0" xfId="42" applyFont="1" applyBorder="1" applyAlignment="1">
      <alignment vertical="center"/>
    </xf>
    <xf numFmtId="0" fontId="33" fillId="0" borderId="84" xfId="42" applyFont="1" applyBorder="1" applyAlignment="1">
      <alignment horizontal="center" vertical="center"/>
    </xf>
    <xf numFmtId="4" fontId="33" fillId="0" borderId="127" xfId="42" applyNumberFormat="1" applyFont="1" applyBorder="1" applyAlignment="1">
      <alignment vertical="center"/>
    </xf>
    <xf numFmtId="4" fontId="34" fillId="0" borderId="72" xfId="42" applyNumberFormat="1" applyFont="1" applyBorder="1" applyAlignment="1">
      <alignment vertical="center"/>
    </xf>
    <xf numFmtId="4" fontId="33" fillId="0" borderId="89" xfId="42" applyNumberFormat="1" applyFont="1" applyBorder="1" applyAlignment="1">
      <alignment vertical="center"/>
    </xf>
    <xf numFmtId="4" fontId="33" fillId="0" borderId="128" xfId="42" applyNumberFormat="1" applyFont="1" applyBorder="1" applyAlignment="1">
      <alignment vertical="center"/>
    </xf>
    <xf numFmtId="4" fontId="33" fillId="0" borderId="25" xfId="42" applyNumberFormat="1" applyFont="1" applyBorder="1" applyAlignment="1">
      <alignment vertical="center"/>
    </xf>
    <xf numFmtId="4" fontId="33" fillId="0" borderId="54" xfId="42" applyNumberFormat="1" applyFont="1" applyBorder="1" applyAlignment="1">
      <alignment vertical="center"/>
    </xf>
    <xf numFmtId="4" fontId="33" fillId="0" borderId="129" xfId="42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vertical="center"/>
    </xf>
    <xf numFmtId="165" fontId="3" fillId="25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33" applyAlignment="1">
      <alignment horizontal="justify" vertical="center" wrapText="1"/>
    </xf>
    <xf numFmtId="0" fontId="0" fillId="0" borderId="0" xfId="0" applyAlignment="1">
      <alignment vertical="center" wrapText="1"/>
    </xf>
    <xf numFmtId="0" fontId="36" fillId="0" borderId="0" xfId="41" applyFont="1" applyAlignment="1">
      <alignment horizontal="center" wrapText="1"/>
    </xf>
    <xf numFmtId="0" fontId="32" fillId="27" borderId="99" xfId="35" applyFont="1" applyFill="1" applyBorder="1" applyAlignment="1">
      <alignment horizontal="center" vertical="center" wrapText="1"/>
    </xf>
    <xf numFmtId="0" fontId="3" fillId="0" borderId="23" xfId="35" applyFont="1" applyBorder="1" applyAlignment="1">
      <alignment vertical="top" wrapText="1"/>
    </xf>
    <xf numFmtId="4" fontId="4" fillId="35" borderId="31" xfId="35" applyNumberFormat="1" applyFont="1" applyFill="1" applyBorder="1" applyAlignment="1">
      <alignment vertical="center"/>
    </xf>
    <xf numFmtId="4" fontId="4" fillId="35" borderId="23" xfId="35" applyNumberFormat="1" applyFont="1" applyFill="1" applyBorder="1" applyProtection="1">
      <protection locked="0"/>
    </xf>
    <xf numFmtId="4" fontId="4" fillId="35" borderId="35" xfId="35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33" applyAlignment="1">
      <alignment horizontal="justify" vertical="center" wrapText="1"/>
    </xf>
    <xf numFmtId="4" fontId="4" fillId="37" borderId="31" xfId="35" applyNumberFormat="1" applyFont="1" applyFill="1" applyBorder="1" applyAlignment="1">
      <alignment vertical="center"/>
    </xf>
    <xf numFmtId="0" fontId="36" fillId="0" borderId="33" xfId="35" applyFont="1" applyBorder="1" applyAlignment="1">
      <alignment vertical="center" wrapText="1"/>
    </xf>
    <xf numFmtId="0" fontId="36" fillId="0" borderId="0" xfId="35" applyFont="1" applyBorder="1" applyAlignment="1">
      <alignment vertical="center" wrapText="1"/>
    </xf>
    <xf numFmtId="0" fontId="3" fillId="37" borderId="75" xfId="35" applyFont="1" applyFill="1" applyBorder="1" applyAlignment="1">
      <alignment horizontal="center" vertical="center"/>
    </xf>
    <xf numFmtId="4" fontId="4" fillId="37" borderId="130" xfId="35" applyNumberFormat="1" applyFont="1" applyFill="1" applyBorder="1" applyAlignment="1">
      <alignment vertical="center"/>
    </xf>
    <xf numFmtId="0" fontId="3" fillId="37" borderId="0" xfId="35" applyFont="1" applyFill="1" applyBorder="1" applyAlignment="1">
      <alignment vertical="center" wrapText="1"/>
    </xf>
    <xf numFmtId="0" fontId="3" fillId="37" borderId="0" xfId="35" applyFont="1" applyFill="1" applyBorder="1" applyAlignment="1">
      <alignment horizontal="center" vertical="center"/>
    </xf>
    <xf numFmtId="4" fontId="4" fillId="37" borderId="0" xfId="35" applyNumberFormat="1" applyFont="1" applyFill="1" applyBorder="1" applyAlignment="1">
      <alignment vertical="center"/>
    </xf>
    <xf numFmtId="0" fontId="3" fillId="37" borderId="131" xfId="35" applyFont="1" applyFill="1" applyBorder="1" applyAlignment="1">
      <alignment horizontal="center" vertical="center"/>
    </xf>
    <xf numFmtId="0" fontId="3" fillId="0" borderId="55" xfId="35" applyFont="1" applyBorder="1" applyAlignment="1">
      <alignment horizontal="center" vertical="center"/>
    </xf>
    <xf numFmtId="0" fontId="3" fillId="0" borderId="69" xfId="35" applyFont="1" applyBorder="1" applyAlignment="1">
      <alignment vertical="center" wrapText="1"/>
    </xf>
    <xf numFmtId="0" fontId="3" fillId="0" borderId="60" xfId="35" applyFont="1" applyBorder="1" applyAlignment="1">
      <alignment horizontal="center" vertical="center"/>
    </xf>
    <xf numFmtId="4" fontId="4" fillId="37" borderId="58" xfId="35" applyNumberFormat="1" applyFont="1" applyFill="1" applyBorder="1" applyAlignment="1">
      <alignment vertical="center"/>
    </xf>
    <xf numFmtId="4" fontId="3" fillId="37" borderId="0" xfId="35" applyNumberFormat="1" applyFont="1" applyFill="1" applyBorder="1" applyAlignment="1">
      <alignment vertical="center"/>
    </xf>
    <xf numFmtId="0" fontId="3" fillId="37" borderId="74" xfId="35" applyFont="1" applyFill="1" applyBorder="1" applyAlignment="1">
      <alignment horizontal="left" vertical="center" wrapText="1"/>
    </xf>
    <xf numFmtId="0" fontId="3" fillId="37" borderId="0" xfId="35" applyFont="1" applyFill="1" applyBorder="1" applyAlignment="1">
      <alignment horizontal="left" vertical="center" wrapText="1"/>
    </xf>
    <xf numFmtId="4" fontId="37" fillId="0" borderId="87" xfId="35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6" fillId="0" borderId="118" xfId="35" applyFont="1" applyBorder="1" applyAlignment="1">
      <alignment wrapText="1"/>
    </xf>
    <xf numFmtId="4" fontId="4" fillId="0" borderId="118" xfId="35" applyNumberFormat="1" applyFont="1" applyBorder="1"/>
    <xf numFmtId="0" fontId="36" fillId="0" borderId="27" xfId="35" applyFont="1" applyBorder="1" applyAlignment="1">
      <alignment horizontal="center" vertical="center"/>
    </xf>
    <xf numFmtId="0" fontId="36" fillId="0" borderId="23" xfId="35" applyFont="1" applyBorder="1" applyAlignment="1">
      <alignment horizontal="center" vertical="center"/>
    </xf>
    <xf numFmtId="0" fontId="36" fillId="0" borderId="33" xfId="35" applyFont="1" applyBorder="1" applyAlignment="1">
      <alignment horizontal="center" vertical="center"/>
    </xf>
    <xf numFmtId="0" fontId="36" fillId="0" borderId="87" xfId="35" applyFont="1" applyBorder="1" applyAlignment="1">
      <alignment horizontal="center" vertical="center"/>
    </xf>
    <xf numFmtId="0" fontId="36" fillId="0" borderId="118" xfId="35" applyFont="1" applyBorder="1" applyAlignment="1">
      <alignment horizontal="center" vertical="top"/>
    </xf>
    <xf numFmtId="4" fontId="37" fillId="0" borderId="27" xfId="35" applyNumberFormat="1" applyFont="1" applyBorder="1" applyAlignment="1">
      <alignment vertical="center"/>
    </xf>
    <xf numFmtId="4" fontId="37" fillId="0" borderId="23" xfId="35" applyNumberFormat="1" applyFont="1" applyBorder="1" applyAlignment="1">
      <alignment vertical="center"/>
    </xf>
    <xf numFmtId="4" fontId="37" fillId="0" borderId="33" xfId="35" applyNumberFormat="1" applyFont="1" applyBorder="1" applyAlignment="1">
      <alignment vertical="center"/>
    </xf>
    <xf numFmtId="4" fontId="32" fillId="27" borderId="115" xfId="35" applyNumberFormat="1" applyFont="1" applyFill="1" applyBorder="1" applyAlignment="1">
      <alignment horizontal="center" vertical="center" wrapText="1"/>
    </xf>
    <xf numFmtId="4" fontId="32" fillId="27" borderId="68" xfId="35" applyNumberFormat="1" applyFont="1" applyFill="1" applyBorder="1" applyAlignment="1">
      <alignment horizontal="center" vertical="center" wrapText="1"/>
    </xf>
    <xf numFmtId="4" fontId="32" fillId="27" borderId="116" xfId="35" applyNumberFormat="1" applyFont="1" applyFill="1" applyBorder="1" applyAlignment="1">
      <alignment horizontal="center" vertical="center" wrapText="1"/>
    </xf>
    <xf numFmtId="4" fontId="41" fillId="0" borderId="0" xfId="44" applyNumberFormat="1" applyFont="1" applyAlignment="1">
      <alignment horizontal="left" vertical="center"/>
    </xf>
    <xf numFmtId="0" fontId="41" fillId="0" borderId="0" xfId="44" applyFont="1" applyAlignment="1">
      <alignment horizontal="left" vertical="center"/>
    </xf>
    <xf numFmtId="0" fontId="4" fillId="0" borderId="0" xfId="44" applyFont="1" applyAlignment="1">
      <alignment horizontal="center" vertical="center" wrapText="1"/>
    </xf>
    <xf numFmtId="0" fontId="32" fillId="0" borderId="0" xfId="44" applyFont="1" applyAlignment="1">
      <alignment horizontal="right" vertical="center" wrapText="1"/>
    </xf>
    <xf numFmtId="49" fontId="85" fillId="0" borderId="0" xfId="44" applyNumberFormat="1" applyFont="1" applyAlignment="1">
      <alignment horizontal="left" vertical="top"/>
    </xf>
    <xf numFmtId="0" fontId="85" fillId="0" borderId="0" xfId="0" applyFont="1" applyAlignment="1">
      <alignment horizontal="justify" vertical="center" wrapText="1"/>
    </xf>
    <xf numFmtId="0" fontId="4" fillId="0" borderId="0" xfId="44" applyFont="1" applyAlignment="1">
      <alignment horizontal="center" vertical="center"/>
    </xf>
    <xf numFmtId="0" fontId="88" fillId="0" borderId="0" xfId="0" applyFont="1" applyAlignment="1">
      <alignment vertical="center"/>
    </xf>
    <xf numFmtId="49" fontId="41" fillId="0" borderId="0" xfId="33" applyNumberFormat="1" applyFont="1" applyAlignment="1">
      <alignment horizontal="left" vertical="center"/>
    </xf>
    <xf numFmtId="0" fontId="41" fillId="0" borderId="0" xfId="33" applyFont="1" applyAlignment="1">
      <alignment horizontal="left" vertical="center"/>
    </xf>
    <xf numFmtId="0" fontId="55" fillId="0" borderId="0" xfId="33" applyFont="1" applyAlignment="1">
      <alignment horizontal="left" vertical="center" wrapText="1"/>
    </xf>
    <xf numFmtId="0" fontId="4" fillId="0" borderId="89" xfId="35" applyFont="1" applyBorder="1" applyAlignment="1">
      <alignment horizontal="center" vertical="center" wrapText="1"/>
    </xf>
    <xf numFmtId="0" fontId="4" fillId="0" borderId="0" xfId="33" applyFont="1" applyAlignment="1">
      <alignment horizontal="right" vertical="center" wrapText="1"/>
    </xf>
    <xf numFmtId="49" fontId="85" fillId="0" borderId="0" xfId="33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left" vertical="distributed" wrapText="1"/>
    </xf>
    <xf numFmtId="0" fontId="3" fillId="0" borderId="10" xfId="0" applyFont="1" applyBorder="1" applyAlignment="1">
      <alignment horizontal="center" vertical="center" wrapText="1"/>
    </xf>
    <xf numFmtId="0" fontId="4" fillId="28" borderId="0" xfId="0" applyFont="1" applyFill="1" applyAlignment="1">
      <alignment vertical="top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distributed" wrapText="1"/>
    </xf>
    <xf numFmtId="0" fontId="3" fillId="0" borderId="18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center"/>
    </xf>
    <xf numFmtId="165" fontId="73" fillId="0" borderId="10" xfId="0" applyNumberFormat="1" applyFont="1" applyBorder="1" applyAlignment="1">
      <alignment horizontal="left" vertical="center"/>
    </xf>
    <xf numFmtId="165" fontId="72" fillId="0" borderId="10" xfId="0" applyNumberFormat="1" applyFont="1" applyBorder="1" applyAlignment="1">
      <alignment horizontal="left" vertical="center"/>
    </xf>
    <xf numFmtId="0" fontId="72" fillId="0" borderId="18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3" fillId="0" borderId="11" xfId="0" applyFont="1" applyBorder="1" applyAlignment="1">
      <alignment vertical="center"/>
    </xf>
    <xf numFmtId="0" fontId="72" fillId="0" borderId="17" xfId="0" applyFont="1" applyBorder="1" applyAlignment="1">
      <alignment horizontal="left" vertical="center" wrapText="1"/>
    </xf>
    <xf numFmtId="4" fontId="72" fillId="0" borderId="20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1" fillId="0" borderId="0" xfId="0" applyFont="1" applyAlignment="1">
      <alignment horizontal="justify" vertical="top" wrapText="1"/>
    </xf>
    <xf numFmtId="4" fontId="3" fillId="0" borderId="2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left" vertical="center" wrapText="1"/>
    </xf>
    <xf numFmtId="0" fontId="41" fillId="25" borderId="0" xfId="0" applyFont="1" applyFill="1" applyAlignment="1">
      <alignment horizontal="justify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distributed" wrapText="1"/>
    </xf>
    <xf numFmtId="0" fontId="4" fillId="24" borderId="0" xfId="0" applyFont="1" applyFill="1" applyAlignment="1">
      <alignment vertical="top"/>
    </xf>
    <xf numFmtId="4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distributed" wrapText="1"/>
    </xf>
    <xf numFmtId="0" fontId="3" fillId="0" borderId="19" xfId="0" applyFont="1" applyBorder="1" applyAlignment="1">
      <alignment horizontal="left" vertical="distributed" wrapText="1"/>
    </xf>
    <xf numFmtId="0" fontId="3" fillId="0" borderId="13" xfId="0" applyFont="1" applyBorder="1" applyAlignment="1">
      <alignment horizontal="left" vertical="distributed" wrapText="1"/>
    </xf>
    <xf numFmtId="0" fontId="3" fillId="0" borderId="17" xfId="55" applyFont="1" applyBorder="1" applyAlignment="1">
      <alignment vertical="center" wrapText="1"/>
    </xf>
    <xf numFmtId="0" fontId="0" fillId="0" borderId="17" xfId="0" applyBorder="1" applyAlignment="1">
      <alignment vertical="center"/>
    </xf>
    <xf numFmtId="165" fontId="4" fillId="0" borderId="15" xfId="0" applyNumberFormat="1" applyFont="1" applyBorder="1" applyAlignment="1">
      <alignment horizontal="left" vertical="center"/>
    </xf>
    <xf numFmtId="0" fontId="4" fillId="0" borderId="0" xfId="0" applyFont="1" applyAlignment="1">
      <alignment horizontal="justify" vertical="top" wrapText="1"/>
    </xf>
    <xf numFmtId="0" fontId="4" fillId="0" borderId="18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distributed" wrapText="1"/>
    </xf>
    <xf numFmtId="2" fontId="39" fillId="0" borderId="0" xfId="0" applyNumberFormat="1" applyFont="1" applyAlignment="1">
      <alignment horizontal="center"/>
    </xf>
    <xf numFmtId="2" fontId="3" fillId="0" borderId="19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distributed" wrapText="1"/>
    </xf>
    <xf numFmtId="2" fontId="3" fillId="0" borderId="21" xfId="0" applyNumberFormat="1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3" fillId="0" borderId="22" xfId="0" applyFont="1" applyBorder="1" applyAlignment="1">
      <alignment horizontal="left" vertical="distributed" wrapText="1"/>
    </xf>
    <xf numFmtId="0" fontId="3" fillId="0" borderId="15" xfId="0" applyFont="1" applyBorder="1" applyAlignment="1">
      <alignment horizontal="left" vertical="distributed" wrapText="1"/>
    </xf>
    <xf numFmtId="0" fontId="4" fillId="25" borderId="0" xfId="0" applyFont="1" applyFill="1" applyAlignment="1">
      <alignment vertical="top"/>
    </xf>
    <xf numFmtId="0" fontId="4" fillId="26" borderId="0" xfId="0" applyFont="1" applyFill="1" applyAlignment="1">
      <alignment vertical="top"/>
    </xf>
    <xf numFmtId="4" fontId="3" fillId="0" borderId="11" xfId="0" applyNumberFormat="1" applyFont="1" applyBorder="1" applyAlignment="1">
      <alignment horizontal="left" vertical="distributed" wrapText="1"/>
    </xf>
    <xf numFmtId="0" fontId="3" fillId="0" borderId="0" xfId="0" applyFont="1" applyAlignment="1">
      <alignment horizontal="left" vertical="distributed" wrapText="1"/>
    </xf>
    <xf numFmtId="0" fontId="4" fillId="0" borderId="11" xfId="0" applyFont="1" applyBorder="1" applyAlignment="1">
      <alignment vertical="center" wrapText="1"/>
    </xf>
    <xf numFmtId="4" fontId="3" fillId="0" borderId="20" xfId="0" applyNumberFormat="1" applyFont="1" applyBorder="1" applyAlignment="1">
      <alignment horizontal="left" vertical="distributed" wrapText="1"/>
    </xf>
    <xf numFmtId="4" fontId="3" fillId="0" borderId="21" xfId="0" applyNumberFormat="1" applyFont="1" applyBorder="1" applyAlignment="1">
      <alignment horizontal="left" vertical="distributed" wrapText="1"/>
    </xf>
    <xf numFmtId="4" fontId="3" fillId="0" borderId="13" xfId="0" applyNumberFormat="1" applyFont="1" applyBorder="1" applyAlignment="1">
      <alignment horizontal="left" vertical="distributed" wrapText="1"/>
    </xf>
    <xf numFmtId="4" fontId="3" fillId="0" borderId="18" xfId="0" applyNumberFormat="1" applyFont="1" applyBorder="1" applyAlignment="1">
      <alignment horizontal="left" vertical="distributed" wrapText="1"/>
    </xf>
    <xf numFmtId="0" fontId="4" fillId="30" borderId="17" xfId="0" applyFont="1" applyFill="1" applyBorder="1" applyAlignment="1">
      <alignment horizontal="left" vertical="distributed" wrapText="1"/>
    </xf>
    <xf numFmtId="0" fontId="4" fillId="0" borderId="0" xfId="0" applyFont="1" applyAlignment="1">
      <alignment vertical="top"/>
    </xf>
    <xf numFmtId="0" fontId="3" fillId="0" borderId="22" xfId="0" applyFont="1" applyBorder="1" applyAlignment="1">
      <alignment horizontal="left" vertical="center" wrapText="1"/>
    </xf>
    <xf numFmtId="2" fontId="3" fillId="27" borderId="0" xfId="0" applyNumberFormat="1" applyFont="1" applyFill="1" applyAlignment="1">
      <alignment horizontal="center"/>
    </xf>
    <xf numFmtId="0" fontId="4" fillId="27" borderId="11" xfId="0" applyFont="1" applyFill="1" applyBorder="1" applyAlignment="1">
      <alignment vertical="center"/>
    </xf>
    <xf numFmtId="165" fontId="5" fillId="27" borderId="15" xfId="0" applyNumberFormat="1" applyFont="1" applyFill="1" applyBorder="1" applyAlignment="1">
      <alignment horizontal="left" vertical="center"/>
    </xf>
    <xf numFmtId="165" fontId="6" fillId="27" borderId="10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6" borderId="0" xfId="0" applyFont="1" applyFill="1" applyAlignment="1">
      <alignment vertical="top"/>
    </xf>
    <xf numFmtId="0" fontId="4" fillId="26" borderId="0" xfId="0" applyFont="1" applyFill="1" applyAlignment="1">
      <alignment horizontal="justify" vertical="center" wrapText="1"/>
    </xf>
    <xf numFmtId="0" fontId="3" fillId="27" borderId="10" xfId="0" applyFont="1" applyFill="1" applyBorder="1" applyAlignment="1">
      <alignment horizontal="center" vertical="center"/>
    </xf>
    <xf numFmtId="0" fontId="4" fillId="0" borderId="0" xfId="42" applyFont="1" applyAlignment="1">
      <alignment horizontal="center" vertical="center"/>
    </xf>
    <xf numFmtId="0" fontId="3" fillId="0" borderId="0" xfId="33" applyAlignment="1">
      <alignment horizontal="justify" vertical="center" wrapText="1"/>
    </xf>
    <xf numFmtId="0" fontId="0" fillId="0" borderId="0" xfId="0" applyAlignment="1">
      <alignment vertical="center" wrapText="1"/>
    </xf>
    <xf numFmtId="0" fontId="42" fillId="0" borderId="0" xfId="35" applyFont="1" applyAlignment="1">
      <alignment horizontal="center" vertical="center" wrapText="1"/>
    </xf>
    <xf numFmtId="4" fontId="4" fillId="0" borderId="0" xfId="43" applyNumberFormat="1" applyFont="1" applyAlignment="1">
      <alignment horizontal="center" vertical="center"/>
    </xf>
    <xf numFmtId="4" fontId="32" fillId="27" borderId="84" xfId="43" applyNumberFormat="1" applyFont="1" applyFill="1" applyBorder="1" applyAlignment="1">
      <alignment horizontal="center" vertical="center"/>
    </xf>
    <xf numFmtId="4" fontId="32" fillId="27" borderId="84" xfId="43" applyNumberFormat="1" applyFont="1" applyFill="1" applyBorder="1" applyAlignment="1">
      <alignment horizontal="center" vertical="center" wrapText="1"/>
    </xf>
    <xf numFmtId="0" fontId="48" fillId="0" borderId="0" xfId="35" applyFont="1" applyAlignment="1">
      <alignment horizontal="center"/>
    </xf>
    <xf numFmtId="0" fontId="37" fillId="27" borderId="37" xfId="35" applyFont="1" applyFill="1" applyBorder="1" applyAlignment="1">
      <alignment horizontal="center" vertical="center" wrapText="1"/>
    </xf>
    <xf numFmtId="0" fontId="37" fillId="27" borderId="44" xfId="35" applyFont="1" applyFill="1" applyBorder="1" applyAlignment="1">
      <alignment horizontal="center" vertical="center" wrapText="1"/>
    </xf>
    <xf numFmtId="4" fontId="48" fillId="27" borderId="66" xfId="35" applyNumberFormat="1" applyFont="1" applyFill="1" applyBorder="1" applyAlignment="1">
      <alignment horizontal="center" vertical="center" wrapText="1"/>
    </xf>
    <xf numFmtId="0" fontId="49" fillId="27" borderId="72" xfId="41" applyFont="1" applyFill="1" applyBorder="1" applyAlignment="1">
      <alignment horizontal="center" vertical="center" wrapText="1"/>
    </xf>
    <xf numFmtId="0" fontId="37" fillId="27" borderId="120" xfId="35" applyFont="1" applyFill="1" applyBorder="1" applyAlignment="1">
      <alignment horizontal="center" vertical="center"/>
    </xf>
    <xf numFmtId="0" fontId="37" fillId="27" borderId="121" xfId="35" applyFont="1" applyFill="1" applyBorder="1" applyAlignment="1">
      <alignment horizontal="center" vertical="center"/>
    </xf>
    <xf numFmtId="0" fontId="37" fillId="27" borderId="37" xfId="35" applyFont="1" applyFill="1" applyBorder="1" applyAlignment="1">
      <alignment horizontal="center" vertical="center"/>
    </xf>
    <xf numFmtId="0" fontId="4" fillId="27" borderId="36" xfId="35" applyFont="1" applyFill="1" applyBorder="1" applyAlignment="1">
      <alignment horizontal="center" vertical="center" wrapText="1"/>
    </xf>
    <xf numFmtId="0" fontId="4" fillId="27" borderId="43" xfId="35" applyFont="1" applyFill="1" applyBorder="1" applyAlignment="1">
      <alignment horizontal="center" vertical="center" wrapText="1"/>
    </xf>
    <xf numFmtId="0" fontId="37" fillId="0" borderId="122" xfId="35" applyFont="1" applyBorder="1" applyAlignment="1">
      <alignment horizontal="center" vertical="center" wrapText="1"/>
    </xf>
    <xf numFmtId="0" fontId="37" fillId="0" borderId="123" xfId="35" applyFont="1" applyBorder="1" applyAlignment="1">
      <alignment horizontal="center" vertical="center" wrapText="1"/>
    </xf>
    <xf numFmtId="0" fontId="3" fillId="0" borderId="0" xfId="35" applyFont="1" applyAlignment="1">
      <alignment horizontal="center" vertical="center" wrapText="1"/>
    </xf>
    <xf numFmtId="4" fontId="37" fillId="0" borderId="124" xfId="35" applyNumberFormat="1" applyFont="1" applyBorder="1" applyAlignment="1">
      <alignment horizontal="center" wrapText="1"/>
    </xf>
    <xf numFmtId="4" fontId="37" fillId="0" borderId="103" xfId="35" applyNumberFormat="1" applyFont="1" applyBorder="1" applyAlignment="1">
      <alignment horizontal="center" wrapText="1"/>
    </xf>
    <xf numFmtId="0" fontId="37" fillId="27" borderId="121" xfId="35" applyFont="1" applyFill="1" applyBorder="1" applyAlignment="1">
      <alignment horizontal="center" vertical="center" wrapText="1"/>
    </xf>
    <xf numFmtId="0" fontId="37" fillId="27" borderId="77" xfId="35" applyFont="1" applyFill="1" applyBorder="1" applyAlignment="1">
      <alignment horizontal="center" vertical="center" wrapText="1"/>
    </xf>
    <xf numFmtId="0" fontId="37" fillId="27" borderId="36" xfId="35" applyFont="1" applyFill="1" applyBorder="1" applyAlignment="1">
      <alignment horizontal="center" vertical="top" wrapText="1"/>
    </xf>
    <xf numFmtId="0" fontId="37" fillId="27" borderId="43" xfId="35" applyFont="1" applyFill="1" applyBorder="1" applyAlignment="1">
      <alignment horizontal="center" vertical="top" wrapText="1"/>
    </xf>
    <xf numFmtId="0" fontId="67" fillId="27" borderId="84" xfId="35" applyFont="1" applyFill="1" applyBorder="1" applyAlignment="1">
      <alignment horizontal="center" vertical="center" wrapText="1"/>
    </xf>
    <xf numFmtId="0" fontId="82" fillId="27" borderId="37" xfId="35" applyFont="1" applyFill="1" applyBorder="1" applyAlignment="1">
      <alignment horizontal="center" vertical="center" wrapText="1"/>
    </xf>
    <xf numFmtId="0" fontId="82" fillId="27" borderId="44" xfId="35" applyFont="1" applyFill="1" applyBorder="1" applyAlignment="1">
      <alignment horizontal="center" vertical="center" wrapText="1"/>
    </xf>
    <xf numFmtId="0" fontId="82" fillId="27" borderId="84" xfId="35" applyFont="1" applyFill="1" applyBorder="1" applyAlignment="1">
      <alignment horizontal="center" vertical="center" wrapText="1"/>
    </xf>
    <xf numFmtId="0" fontId="37" fillId="0" borderId="0" xfId="35" applyFont="1" applyAlignment="1">
      <alignment horizontal="center" vertical="center" wrapText="1"/>
    </xf>
    <xf numFmtId="0" fontId="3" fillId="27" borderId="37" xfId="35" quotePrefix="1" applyFont="1" applyFill="1" applyBorder="1" applyAlignment="1">
      <alignment horizontal="center" vertical="center" wrapText="1"/>
    </xf>
    <xf numFmtId="0" fontId="3" fillId="27" borderId="44" xfId="35" applyFont="1" applyFill="1" applyBorder="1" applyAlignment="1">
      <alignment horizontal="center" vertical="center" wrapText="1"/>
    </xf>
    <xf numFmtId="0" fontId="3" fillId="27" borderId="36" xfId="35" applyFont="1" applyFill="1" applyBorder="1" applyAlignment="1">
      <alignment horizontal="center" vertical="top" wrapText="1"/>
    </xf>
    <xf numFmtId="0" fontId="3" fillId="27" borderId="43" xfId="35" applyFont="1" applyFill="1" applyBorder="1" applyAlignment="1">
      <alignment horizontal="center" vertical="top" wrapText="1"/>
    </xf>
    <xf numFmtId="0" fontId="3" fillId="27" borderId="121" xfId="35" applyFont="1" applyFill="1" applyBorder="1" applyAlignment="1">
      <alignment horizontal="center" vertical="center" wrapText="1"/>
    </xf>
    <xf numFmtId="0" fontId="3" fillId="27" borderId="77" xfId="35" applyFont="1" applyFill="1" applyBorder="1" applyAlignment="1">
      <alignment horizontal="center" vertical="center" wrapText="1"/>
    </xf>
    <xf numFmtId="4" fontId="4" fillId="27" borderId="90" xfId="35" applyNumberFormat="1" applyFont="1" applyFill="1" applyBorder="1" applyAlignment="1">
      <alignment horizontal="center" vertical="center" wrapText="1"/>
    </xf>
    <xf numFmtId="4" fontId="4" fillId="27" borderId="117" xfId="35" applyNumberFormat="1" applyFont="1" applyFill="1" applyBorder="1" applyAlignment="1">
      <alignment horizontal="center" vertical="center" wrapText="1"/>
    </xf>
    <xf numFmtId="4" fontId="9" fillId="27" borderId="105" xfId="35" applyNumberFormat="1" applyFont="1" applyFill="1" applyBorder="1" applyAlignment="1">
      <alignment horizontal="center" vertical="center" wrapText="1"/>
    </xf>
    <xf numFmtId="4" fontId="9" fillId="27" borderId="0" xfId="35" applyNumberFormat="1" applyFont="1" applyFill="1" applyAlignment="1">
      <alignment horizontal="center" vertical="center" wrapText="1"/>
    </xf>
    <xf numFmtId="4" fontId="9" fillId="27" borderId="104" xfId="35" applyNumberFormat="1" applyFont="1" applyFill="1" applyBorder="1" applyAlignment="1">
      <alignment horizontal="center" vertical="center" wrapText="1"/>
    </xf>
    <xf numFmtId="0" fontId="64" fillId="0" borderId="0" xfId="39" applyFont="1" applyAlignment="1">
      <alignment horizontal="center" vertical="center" wrapText="1"/>
    </xf>
    <xf numFmtId="0" fontId="4" fillId="27" borderId="64" xfId="35" applyFont="1" applyFill="1" applyBorder="1" applyAlignment="1">
      <alignment horizontal="center" vertical="center" wrapText="1"/>
    </xf>
    <xf numFmtId="0" fontId="3" fillId="27" borderId="98" xfId="39" applyFont="1" applyFill="1" applyBorder="1" applyAlignment="1">
      <alignment horizontal="center" vertical="center"/>
    </xf>
    <xf numFmtId="0" fontId="3" fillId="27" borderId="71" xfId="39" applyFont="1" applyFill="1" applyBorder="1" applyAlignment="1">
      <alignment horizontal="center" vertical="center"/>
    </xf>
    <xf numFmtId="0" fontId="4" fillId="27" borderId="65" xfId="35" applyFont="1" applyFill="1" applyBorder="1" applyAlignment="1">
      <alignment horizontal="center" vertical="center" wrapText="1"/>
    </xf>
    <xf numFmtId="0" fontId="3" fillId="27" borderId="87" xfId="39" applyFont="1" applyFill="1" applyBorder="1" applyAlignment="1">
      <alignment horizontal="center" vertical="center"/>
    </xf>
    <xf numFmtId="0" fontId="3" fillId="27" borderId="118" xfId="39" applyFont="1" applyFill="1" applyBorder="1" applyAlignment="1">
      <alignment horizontal="center" vertical="center"/>
    </xf>
    <xf numFmtId="0" fontId="4" fillId="27" borderId="119" xfId="35" applyFont="1" applyFill="1" applyBorder="1" applyAlignment="1">
      <alignment horizontal="center" vertical="center" wrapText="1"/>
    </xf>
    <xf numFmtId="0" fontId="3" fillId="27" borderId="99" xfId="39" applyFont="1" applyFill="1" applyBorder="1" applyAlignment="1">
      <alignment horizontal="center" vertical="center"/>
    </xf>
    <xf numFmtId="0" fontId="3" fillId="27" borderId="114" xfId="39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left" vertical="center" wrapText="1"/>
    </xf>
    <xf numFmtId="4" fontId="3" fillId="0" borderId="0" xfId="33" applyNumberFormat="1" applyAlignment="1">
      <alignment vertical="center"/>
    </xf>
    <xf numFmtId="0" fontId="3" fillId="0" borderId="0" xfId="44" applyFont="1" applyAlignment="1">
      <alignment horizontal="center"/>
    </xf>
    <xf numFmtId="0" fontId="69" fillId="0" borderId="0" xfId="44" applyFont="1" applyAlignment="1"/>
    <xf numFmtId="0" fontId="33" fillId="0" borderId="0" xfId="44" applyFont="1" applyAlignment="1"/>
  </cellXfs>
  <cellStyles count="57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40% - Naglasak1" xfId="12" builtinId="3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6"/>
    <cellStyle name="Dobro" xfId="19"/>
    <cellStyle name="Isticanje1" xfId="20" builtinId="29" customBuiltin="1"/>
    <cellStyle name="Isticanje2" xfId="21" builtinId="33" customBuiltin="1"/>
    <cellStyle name="Isticanje3" xfId="22" builtinId="37" customBuiltin="1"/>
    <cellStyle name="Isticanje4" xfId="23" builtinId="41" customBuiltin="1"/>
    <cellStyle name="Isticanje5" xfId="24" builtinId="45" customBuiltin="1"/>
    <cellStyle name="Isticanje6" xfId="25" builtinId="49" customBuiltin="1"/>
    <cellStyle name="Izlaz" xfId="45"/>
    <cellStyle name="Izračun" xfId="26" builtinId="22" customBuiltin="1"/>
    <cellStyle name="Loše" xfId="27" builtinId="27" customBuiltin="1"/>
    <cellStyle name="Naslov" xfId="50"/>
    <cellStyle name="Naslov 1" xfId="28" builtinId="16" customBuiltin="1"/>
    <cellStyle name="Naslov 2" xfId="29" builtinId="17" customBuiltin="1"/>
    <cellStyle name="Naslov 3" xfId="30" builtinId="18" customBuiltin="1"/>
    <cellStyle name="Naslov 4" xfId="31" builtinId="19" customBuiltin="1"/>
    <cellStyle name="Neutralno" xfId="32" builtinId="28" customBuiltin="1"/>
    <cellStyle name="Normal 2" xfId="33"/>
    <cellStyle name="Normal_02-UP-C-M" xfId="34"/>
    <cellStyle name="Normal_Sheet1" xfId="55"/>
    <cellStyle name="Normal_Zavrsne analize cijena 2202 sa probom nove satnice" xfId="35"/>
    <cellStyle name="Obično" xfId="0" builtinId="0"/>
    <cellStyle name="Obično 2" xfId="56"/>
    <cellStyle name="Obično_02-CJENIK-RADNICI" xfId="37"/>
    <cellStyle name="Obično_03-CJENIK-PRIJEVOZ" xfId="38"/>
    <cellStyle name="Obično_04-CJENIK-MATERIJAL" xfId="39"/>
    <cellStyle name="Obično_05-CJENIK-MEHANIZACIJA" xfId="40"/>
    <cellStyle name="Obično_Analize-MEHANIZACIJA-ZUC BJ - 2009-2013" xfId="41"/>
    <cellStyle name="Obično_Cijene rada vozila i strojeva CESTING ZA HUC 16.11.2001." xfId="42"/>
    <cellStyle name="Obično_CIJENIK PRIJEVOZA MATERIJALA Osijek 16..04.2002." xfId="43"/>
    <cellStyle name="Obično_HRVATSKE CESTE (redovno održavanje 2014-2018) - BBŽ cijene (Verzija 1)" xfId="44"/>
    <cellStyle name="Postotak" xfId="46" builtinId="5"/>
    <cellStyle name="Povezana ćelija" xfId="47" builtinId="24" customBuiltin="1"/>
    <cellStyle name="Provjera ćelije" xfId="48" builtinId="23" customBuiltin="1"/>
    <cellStyle name="Tekst objašnjenja" xfId="49" builtinId="53" customBuiltin="1"/>
    <cellStyle name="Tekst upozorenja" xfId="53"/>
    <cellStyle name="Ukupni zbroj" xfId="51" builtinId="25" customBuiltin="1"/>
    <cellStyle name="Unos" xfId="52" builtinId="20" customBuiltin="1"/>
    <cellStyle name="Zarez" xfId="54" builtinId="3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Text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831457" y="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hr-HR" sz="1000" b="0" i="0" strike="noStrike">
              <a:solidFill>
                <a:srgbClr val="800000"/>
              </a:solidFill>
              <a:latin typeface="CRO_Swiss_Light-Bold"/>
            </a:rPr>
            <a:t>Duljina: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Tex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831457" y="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hr-HR" sz="1000" b="0" i="0" strike="noStrike">
              <a:solidFill>
                <a:srgbClr val="800000"/>
              </a:solidFill>
              <a:latin typeface="CRO_Swiss_Light-Bold"/>
            </a:rPr>
            <a:t>Duljina: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ODR&#381;AVANJE%20JAVNE%20RASVJETE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ituacije%20odr&#382;avanje/Peru&#353;i&#263;%20d.o.o.%20analiza%20cijena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kulacije"/>
      <sheetName val="troškovnik"/>
      <sheetName val="CJENIK"/>
      <sheetName val="rekapitulacija"/>
      <sheetName val="Obrazac kalkulacije"/>
      <sheetName val="Cjenik RS"/>
      <sheetName val="Cjenik M"/>
      <sheetName val="Cjenik PM"/>
      <sheetName val="Devizni tecaj, porez i gorivo"/>
      <sheetName val="Nabavna cijena"/>
      <sheetName val="Cijena sata rada"/>
      <sheetName val="Cjenik VSO (pomoćna)"/>
      <sheetName val="Cjenik VSO"/>
      <sheetName val="Cjenik M (pomoćna)"/>
      <sheetName val="List1"/>
    </sheetNames>
    <sheetDataSet>
      <sheetData sheetId="0">
        <row r="12">
          <cell r="C12" t="str">
            <v>Teretni automobil nosivosti 3,5-12 t sa dizalicom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1">
          <cell r="C11" t="str">
            <v>Radnik grupa I</v>
          </cell>
        </row>
      </sheetData>
      <sheetData sheetId="6">
        <row r="11">
          <cell r="B11" t="str">
            <v>Kabel PGP 3 X 2,5 mm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9">
          <cell r="B9" t="str">
            <v>Ophodarsko vozilo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oškovnik"/>
      <sheetName val="rekapitulacija"/>
      <sheetName val="Grupa radova 1."/>
      <sheetName val="Grupa radova 2."/>
      <sheetName val="Grupa radova 3."/>
      <sheetName val="Grupa radova 4."/>
      <sheetName val="Grupa radova 5."/>
      <sheetName val="Grupa radova 6."/>
      <sheetName val="Grupa radova 7."/>
      <sheetName val="Grupa radova 8."/>
      <sheetName val="Grupa radova 9."/>
      <sheetName val="Grupa radova 10."/>
      <sheetName val="Grupa radova 11."/>
      <sheetName val="Obrazac kalkulacije"/>
      <sheetName val="Cjenik RS"/>
      <sheetName val="Cjenik M"/>
      <sheetName val="Asfalti"/>
      <sheetName val="Cjenik M (pomoćna)"/>
      <sheetName val="Cjenik PM"/>
      <sheetName val="Devizni tecaj, porez i gorivo"/>
      <sheetName val="Nabavna cijena"/>
      <sheetName val="Cijena sata rada"/>
      <sheetName val="Cjenik VSO (pomoćna)"/>
      <sheetName val="Cjenik V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 t="str">
            <v>AC 16 base BIT 50/70 AG6 M2</v>
          </cell>
        </row>
        <row r="3">
          <cell r="B3" t="str">
            <v>AC 22 base BIT 50/70 AG6 M1</v>
          </cell>
        </row>
        <row r="4">
          <cell r="B4" t="str">
            <v>AC 22 base 50/70 AG6 M2</v>
          </cell>
        </row>
        <row r="5">
          <cell r="B5" t="str">
            <v>AC 32 base BIT 50/70 AG6 M1</v>
          </cell>
        </row>
        <row r="6">
          <cell r="B6" t="str">
            <v>AC 32 base 50/70 AG6 M2</v>
          </cell>
        </row>
        <row r="7">
          <cell r="B7" t="str">
            <v>AC 22 base Pmb 45/80-65 AG6 M1</v>
          </cell>
        </row>
        <row r="8">
          <cell r="B8" t="str">
            <v>AC 4 surf BIT 50/70 AG4 M4</v>
          </cell>
        </row>
        <row r="9">
          <cell r="B9" t="str">
            <v>AC 8 surf BIT 50/70 AG4 M4</v>
          </cell>
        </row>
        <row r="10">
          <cell r="B10" t="str">
            <v>AC 11 surf 50/70 AG4 M4</v>
          </cell>
        </row>
        <row r="11">
          <cell r="B11" t="str">
            <v>AC 11 surf BIT 50/70 AG4 M3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F37"/>
  <sheetViews>
    <sheetView showZeros="0" tabSelected="1" view="pageLayout" topLeftCell="A19" zoomScaleNormal="100" zoomScaleSheetLayoutView="115" workbookViewId="0">
      <selection activeCell="G37" sqref="G37"/>
    </sheetView>
  </sheetViews>
  <sheetFormatPr defaultRowHeight="12.75"/>
  <cols>
    <col min="1" max="1" width="7.140625" style="474" customWidth="1"/>
    <col min="2" max="2" width="45" style="534" customWidth="1"/>
    <col min="3" max="3" width="7" style="475" customWidth="1"/>
    <col min="4" max="4" width="6.85546875" style="476" customWidth="1"/>
    <col min="5" max="5" width="9" style="545" customWidth="1"/>
    <col min="6" max="6" width="10.140625" style="477" customWidth="1"/>
    <col min="7" max="16384" width="9.140625" style="477"/>
  </cols>
  <sheetData>
    <row r="1" spans="1:6" s="473" customFormat="1">
      <c r="A1" s="819" t="s">
        <v>0</v>
      </c>
      <c r="B1" s="820"/>
      <c r="C1" s="825" t="s">
        <v>1197</v>
      </c>
      <c r="D1" s="826"/>
      <c r="E1" s="826"/>
      <c r="F1" s="826"/>
    </row>
    <row r="2" spans="1:6">
      <c r="A2" s="823" t="s">
        <v>1</v>
      </c>
      <c r="B2" s="824"/>
    </row>
    <row r="3" spans="1:6" ht="44.25" customHeight="1">
      <c r="A3" s="821" t="s">
        <v>1195</v>
      </c>
      <c r="B3" s="821"/>
      <c r="C3" s="821"/>
      <c r="D3" s="472"/>
      <c r="E3" s="544"/>
      <c r="F3" s="473"/>
    </row>
    <row r="4" spans="1:6" ht="15" customHeight="1" thickBot="1">
      <c r="A4" s="480"/>
      <c r="B4" s="719" t="s">
        <v>1196</v>
      </c>
      <c r="C4" s="481"/>
      <c r="D4" s="479"/>
      <c r="E4" s="546"/>
    </row>
    <row r="5" spans="1:6" ht="23.25" customHeight="1" thickBot="1">
      <c r="A5" s="480"/>
      <c r="B5" s="535"/>
      <c r="C5" s="481"/>
      <c r="D5" s="816"/>
      <c r="E5" s="817"/>
      <c r="F5" s="818"/>
    </row>
    <row r="6" spans="1:6" s="478" customFormat="1" ht="34.5" thickBot="1">
      <c r="A6" s="482" t="s">
        <v>2</v>
      </c>
      <c r="B6" s="536" t="s">
        <v>3</v>
      </c>
      <c r="C6" s="483" t="s">
        <v>4</v>
      </c>
      <c r="D6" s="483" t="s">
        <v>5</v>
      </c>
      <c r="E6" s="547" t="s">
        <v>6</v>
      </c>
      <c r="F6" s="484" t="s">
        <v>7</v>
      </c>
    </row>
    <row r="7" spans="1:6" s="488" customFormat="1">
      <c r="A7" s="485"/>
      <c r="B7" s="537"/>
      <c r="C7" s="486"/>
      <c r="D7" s="487"/>
      <c r="E7" s="548"/>
    </row>
    <row r="8" spans="1:6" ht="11.25">
      <c r="A8" s="489" t="s">
        <v>8</v>
      </c>
      <c r="B8" s="538" t="s">
        <v>9</v>
      </c>
      <c r="C8" s="490"/>
      <c r="D8" s="491"/>
      <c r="E8" s="549"/>
      <c r="F8" s="492">
        <f>F9</f>
        <v>0</v>
      </c>
    </row>
    <row r="9" spans="1:6" ht="11.25">
      <c r="A9" s="493" t="s">
        <v>10</v>
      </c>
      <c r="B9" s="539" t="s">
        <v>11</v>
      </c>
      <c r="C9" s="494"/>
      <c r="D9" s="495"/>
      <c r="E9" s="550"/>
      <c r="F9" s="496">
        <f>SUM(F10:F11)</f>
        <v>0</v>
      </c>
    </row>
    <row r="10" spans="1:6" ht="33.75">
      <c r="A10" s="497" t="s">
        <v>12</v>
      </c>
      <c r="B10" s="540" t="s">
        <v>13</v>
      </c>
      <c r="C10" s="498" t="s">
        <v>14</v>
      </c>
      <c r="D10" s="499"/>
      <c r="E10" s="551"/>
      <c r="F10" s="500">
        <f>ROUND(ROUND(D10,2)*ROUND(E10,2),2)</f>
        <v>0</v>
      </c>
    </row>
    <row r="11" spans="1:6" ht="40.5" customHeight="1">
      <c r="A11" s="497" t="s">
        <v>15</v>
      </c>
      <c r="B11" s="540" t="s">
        <v>16</v>
      </c>
      <c r="C11" s="498" t="s">
        <v>14</v>
      </c>
      <c r="D11" s="499"/>
      <c r="E11" s="551"/>
      <c r="F11" s="500">
        <f>ROUND(ROUND(D11,2)*ROUND(E11,2),2)</f>
        <v>0</v>
      </c>
    </row>
    <row r="12" spans="1:6" ht="11.25">
      <c r="A12" s="489" t="s">
        <v>17</v>
      </c>
      <c r="B12" s="538" t="s">
        <v>18</v>
      </c>
      <c r="C12" s="490"/>
      <c r="D12" s="491"/>
      <c r="E12" s="549"/>
      <c r="F12" s="492">
        <f>F13</f>
        <v>0</v>
      </c>
    </row>
    <row r="13" spans="1:6" ht="11.25">
      <c r="A13" s="493" t="s">
        <v>19</v>
      </c>
      <c r="B13" s="539" t="s">
        <v>20</v>
      </c>
      <c r="C13" s="494"/>
      <c r="D13" s="495"/>
      <c r="E13" s="550"/>
      <c r="F13" s="496">
        <f>SUM(F14:F14)</f>
        <v>0</v>
      </c>
    </row>
    <row r="14" spans="1:6" ht="22.5">
      <c r="A14" s="497" t="s">
        <v>21</v>
      </c>
      <c r="B14" s="540" t="s">
        <v>22</v>
      </c>
      <c r="C14" s="498" t="s">
        <v>1186</v>
      </c>
      <c r="D14" s="499"/>
      <c r="E14" s="551"/>
      <c r="F14" s="500">
        <f t="shared" ref="F14" si="0">ROUND(ROUND(D14,2)*ROUND(E14,2),2)</f>
        <v>0</v>
      </c>
    </row>
    <row r="15" spans="1:6" ht="11.25">
      <c r="A15" s="489" t="s">
        <v>23</v>
      </c>
      <c r="B15" s="538" t="s">
        <v>24</v>
      </c>
      <c r="C15" s="490"/>
      <c r="D15" s="491"/>
      <c r="E15" s="549"/>
      <c r="F15" s="492">
        <f>SUM(F16:F16)</f>
        <v>0</v>
      </c>
    </row>
    <row r="16" spans="1:6" ht="22.5">
      <c r="A16" s="501" t="s">
        <v>25</v>
      </c>
      <c r="B16" s="540" t="s">
        <v>26</v>
      </c>
      <c r="C16" s="498" t="s">
        <v>14</v>
      </c>
      <c r="D16" s="499"/>
      <c r="E16" s="551"/>
      <c r="F16" s="500">
        <f t="shared" ref="F16" si="1">ROUND(ROUND(D16,2)*ROUND(E16,2),2)</f>
        <v>0</v>
      </c>
    </row>
    <row r="17" spans="1:6" ht="22.5">
      <c r="A17" s="489" t="s">
        <v>27</v>
      </c>
      <c r="B17" s="538" t="s">
        <v>28</v>
      </c>
      <c r="C17" s="490"/>
      <c r="D17" s="491"/>
      <c r="E17" s="549"/>
      <c r="F17" s="492">
        <f>SUM(F18:F18)</f>
        <v>0</v>
      </c>
    </row>
    <row r="18" spans="1:6" ht="45">
      <c r="A18" s="501" t="s">
        <v>29</v>
      </c>
      <c r="B18" s="540" t="s">
        <v>1187</v>
      </c>
      <c r="C18" s="498" t="s">
        <v>441</v>
      </c>
      <c r="D18" s="499"/>
      <c r="E18" s="551"/>
      <c r="F18" s="500">
        <f t="shared" ref="F18" si="2">ROUND(ROUND(D18,2)*ROUND(E18,2),2)</f>
        <v>0</v>
      </c>
    </row>
    <row r="19" spans="1:6" ht="11.25">
      <c r="A19" s="489" t="s">
        <v>31</v>
      </c>
      <c r="B19" s="538" t="s">
        <v>32</v>
      </c>
      <c r="C19" s="490"/>
      <c r="D19" s="491"/>
      <c r="E19" s="549"/>
      <c r="F19" s="492">
        <f>F20</f>
        <v>23987.95</v>
      </c>
    </row>
    <row r="20" spans="1:6" ht="11.25">
      <c r="A20" s="493" t="s">
        <v>33</v>
      </c>
      <c r="B20" s="539" t="s">
        <v>34</v>
      </c>
      <c r="C20" s="494"/>
      <c r="D20" s="495"/>
      <c r="E20" s="550"/>
      <c r="F20" s="496">
        <f>SUM(F21:F22)</f>
        <v>23987.95</v>
      </c>
    </row>
    <row r="21" spans="1:6" ht="45">
      <c r="A21" s="501" t="s">
        <v>35</v>
      </c>
      <c r="B21" s="540" t="s">
        <v>36</v>
      </c>
      <c r="C21" s="498" t="s">
        <v>441</v>
      </c>
      <c r="D21" s="499"/>
      <c r="E21" s="551"/>
      <c r="F21" s="500">
        <f t="shared" ref="F21:F22" si="3">ROUND(ROUND(D21,2)*ROUND(E21,2),2)</f>
        <v>0</v>
      </c>
    </row>
    <row r="22" spans="1:6" ht="33.75">
      <c r="A22" s="501" t="s">
        <v>37</v>
      </c>
      <c r="B22" s="540" t="s">
        <v>1188</v>
      </c>
      <c r="C22" s="498" t="s">
        <v>14</v>
      </c>
      <c r="D22" s="499">
        <v>1</v>
      </c>
      <c r="E22" s="551">
        <f>'Grupa radova 2.'!G207</f>
        <v>23987.95</v>
      </c>
      <c r="F22" s="500">
        <f t="shared" si="3"/>
        <v>23987.95</v>
      </c>
    </row>
    <row r="23" spans="1:6" ht="11.25">
      <c r="A23" s="489" t="s">
        <v>39</v>
      </c>
      <c r="B23" s="538" t="s">
        <v>40</v>
      </c>
      <c r="C23" s="490"/>
      <c r="D23" s="491"/>
      <c r="E23" s="549"/>
      <c r="F23" s="492">
        <f>F24</f>
        <v>0</v>
      </c>
    </row>
    <row r="24" spans="1:6" ht="11.25">
      <c r="A24" s="493" t="s">
        <v>41</v>
      </c>
      <c r="B24" s="539" t="s">
        <v>42</v>
      </c>
      <c r="C24" s="494"/>
      <c r="D24" s="495"/>
      <c r="E24" s="550"/>
      <c r="F24" s="496">
        <f>SUM(F25:F25)</f>
        <v>0</v>
      </c>
    </row>
    <row r="25" spans="1:6" ht="33.75">
      <c r="A25" s="497" t="s">
        <v>43</v>
      </c>
      <c r="B25" s="540" t="s">
        <v>1206</v>
      </c>
      <c r="C25" s="498" t="s">
        <v>14</v>
      </c>
      <c r="D25" s="499"/>
      <c r="E25" s="551"/>
      <c r="F25" s="500">
        <f t="shared" ref="F25" si="4">ROUND(ROUND(D25,2)*ROUND(E25,2),2)</f>
        <v>0</v>
      </c>
    </row>
    <row r="26" spans="1:6" s="505" customFormat="1">
      <c r="A26" s="502"/>
      <c r="B26" s="541"/>
      <c r="C26" s="503"/>
      <c r="D26" s="503"/>
      <c r="E26" s="552"/>
      <c r="F26" s="504"/>
    </row>
    <row r="27" spans="1:6" s="505" customFormat="1">
      <c r="A27" s="822" t="s">
        <v>48</v>
      </c>
      <c r="B27" s="822"/>
      <c r="C27" s="506"/>
      <c r="D27" s="506"/>
      <c r="E27" s="553"/>
      <c r="F27" s="695">
        <f>F8+F12+F15+F17+F19+F23</f>
        <v>23987.95</v>
      </c>
    </row>
    <row r="28" spans="1:6" ht="11.25">
      <c r="A28" s="690"/>
      <c r="B28" s="691" t="s">
        <v>49</v>
      </c>
      <c r="C28" s="506"/>
      <c r="D28" s="506"/>
      <c r="E28" s="553"/>
      <c r="F28" s="695">
        <f>SUM(F27*25%)</f>
        <v>5996.9875000000002</v>
      </c>
    </row>
    <row r="29" spans="1:6" ht="11.25">
      <c r="A29" s="690"/>
      <c r="B29" s="691" t="s">
        <v>50</v>
      </c>
      <c r="C29" s="506"/>
      <c r="D29" s="506"/>
      <c r="E29" s="553"/>
      <c r="F29" s="695">
        <f>SUM(F27:F28)</f>
        <v>29984.9375</v>
      </c>
    </row>
    <row r="35" spans="2:6">
      <c r="B35" s="509" t="s">
        <v>1189</v>
      </c>
      <c r="C35" s="533" t="s">
        <v>1190</v>
      </c>
    </row>
    <row r="36" spans="2:6">
      <c r="B36" s="509"/>
      <c r="C36" s="958" t="s">
        <v>1191</v>
      </c>
      <c r="D36" s="959"/>
      <c r="E36" s="960"/>
      <c r="F36" s="961"/>
    </row>
    <row r="37" spans="2:6">
      <c r="B37" s="509" t="s">
        <v>1193</v>
      </c>
      <c r="C37" s="533" t="s">
        <v>1194</v>
      </c>
    </row>
  </sheetData>
  <mergeCells count="7">
    <mergeCell ref="C36:F36"/>
    <mergeCell ref="D5:F5"/>
    <mergeCell ref="A1:B1"/>
    <mergeCell ref="A3:C3"/>
    <mergeCell ref="A27:B27"/>
    <mergeCell ref="A2:B2"/>
    <mergeCell ref="C1:F1"/>
  </mergeCells>
  <phoneticPr fontId="44" type="noConversion"/>
  <printOptions horizontalCentered="1"/>
  <pageMargins left="0" right="0" top="0.39370078740157483" bottom="0.39370078740157483" header="0.19685039370078741" footer="0.19685039370078741"/>
  <pageSetup paperSize="9" scale="80" fitToWidth="0" fitToHeight="13" orientation="portrait" r:id="rId1"/>
  <headerFooter alignWithMargins="0">
    <oddFooter>&amp;L&amp;5&amp;F&amp;R&amp;5&amp;P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O787"/>
  <sheetViews>
    <sheetView showZeros="0" view="pageLayout" topLeftCell="J1" zoomScaleNormal="100" zoomScaleSheetLayoutView="100" workbookViewId="0">
      <selection activeCell="J9" sqref="J9:K9"/>
    </sheetView>
  </sheetViews>
  <sheetFormatPr defaultRowHeight="12.75"/>
  <cols>
    <col min="1" max="1" width="3.7109375" style="1" customWidth="1"/>
    <col min="2" max="2" width="10.7109375" style="37" customWidth="1"/>
    <col min="3" max="3" width="25.7109375" style="2" customWidth="1"/>
    <col min="4" max="4" width="6.7109375" style="3" customWidth="1"/>
    <col min="5" max="5" width="11.7109375" style="4" customWidth="1"/>
    <col min="6" max="6" width="11.7109375" style="30" customWidth="1"/>
    <col min="7" max="7" width="11.7109375" style="5" customWidth="1"/>
    <col min="8" max="8" width="9.140625" style="2"/>
    <col min="9" max="9" width="3.7109375" style="1" customWidth="1"/>
    <col min="10" max="10" width="10.7109375" style="37" customWidth="1"/>
    <col min="11" max="11" width="25.7109375" style="2" customWidth="1"/>
    <col min="12" max="12" width="6.7109375" style="3" customWidth="1"/>
    <col min="13" max="13" width="11.7109375" style="4" customWidth="1"/>
    <col min="14" max="14" width="11.7109375" style="30" customWidth="1"/>
    <col min="15" max="15" width="11.7109375" style="5" customWidth="1"/>
    <col min="16" max="16384" width="9.140625" style="2"/>
  </cols>
  <sheetData>
    <row r="1" spans="1:15" ht="15" customHeight="1"/>
    <row r="2" spans="1:15" s="6" customFormat="1" ht="15" customHeight="1">
      <c r="A2" s="144"/>
      <c r="B2" s="145" t="s">
        <v>615</v>
      </c>
      <c r="C2" s="836" t="s">
        <v>616</v>
      </c>
      <c r="D2" s="836"/>
      <c r="E2" s="836"/>
      <c r="F2" s="836"/>
      <c r="G2" s="836"/>
      <c r="I2" s="144"/>
      <c r="J2" s="145" t="s">
        <v>615</v>
      </c>
      <c r="K2" s="836" t="s">
        <v>616</v>
      </c>
      <c r="L2" s="836"/>
      <c r="M2" s="836"/>
      <c r="N2" s="836"/>
      <c r="O2" s="836"/>
    </row>
    <row r="3" spans="1:15" s="6" customFormat="1" ht="15" customHeight="1">
      <c r="A3" s="38"/>
      <c r="B3" s="39" t="s">
        <v>617</v>
      </c>
      <c r="C3" s="860" t="s">
        <v>618</v>
      </c>
      <c r="D3" s="860"/>
      <c r="E3" s="860"/>
      <c r="F3" s="860"/>
      <c r="G3" s="860"/>
      <c r="I3" s="38"/>
      <c r="J3" s="39" t="s">
        <v>617</v>
      </c>
      <c r="K3" s="860" t="s">
        <v>618</v>
      </c>
      <c r="L3" s="860"/>
      <c r="M3" s="860"/>
      <c r="N3" s="860"/>
      <c r="O3" s="860"/>
    </row>
    <row r="4" spans="1:15" ht="150" customHeight="1">
      <c r="A4" s="40"/>
      <c r="B4" s="556" t="s">
        <v>619</v>
      </c>
      <c r="C4" s="852" t="s">
        <v>620</v>
      </c>
      <c r="D4" s="852"/>
      <c r="E4" s="852"/>
      <c r="F4" s="852"/>
      <c r="G4" s="852"/>
      <c r="I4" s="40"/>
      <c r="J4" s="41" t="s">
        <v>619</v>
      </c>
      <c r="K4" s="869" t="s">
        <v>620</v>
      </c>
      <c r="L4" s="869"/>
      <c r="M4" s="869"/>
      <c r="N4" s="869"/>
      <c r="O4" s="869"/>
    </row>
    <row r="5" spans="1:15" ht="15" customHeight="1" thickBot="1"/>
    <row r="6" spans="1:15" s="11" customFormat="1" ht="30" customHeight="1" thickTop="1" thickBot="1">
      <c r="A6" s="10"/>
      <c r="B6" s="835" t="str">
        <f>'Obrazac kalkulacije'!$B$6:$C$6</f>
        <v>Opis</v>
      </c>
      <c r="C6" s="835"/>
      <c r="D6" s="10" t="str">
        <f>'Obrazac kalkulacije'!$D$6</f>
        <v>Jed.
mjere</v>
      </c>
      <c r="E6" s="10" t="str">
        <f>'Obrazac kalkulacije'!$E$6</f>
        <v>Normativ</v>
      </c>
      <c r="F6" s="10" t="str">
        <f>'Obrazac kalkulacije'!$F$6</f>
        <v>Jed.
cijena</v>
      </c>
      <c r="G6" s="10" t="str">
        <f>'Obrazac kalkulacije'!$G$6</f>
        <v>Iznos</v>
      </c>
      <c r="I6" s="10"/>
      <c r="J6" s="835" t="e">
        <f>'Obrazac kalkulacije'!$B$6:$C$6</f>
        <v>#VALUE!</v>
      </c>
      <c r="K6" s="835"/>
      <c r="L6" s="10" t="str">
        <f>'Obrazac kalkulacije'!$D$6</f>
        <v>Jed.
mjere</v>
      </c>
      <c r="M6" s="10" t="str">
        <f>'Obrazac kalkulacije'!$E$6</f>
        <v>Normativ</v>
      </c>
      <c r="N6" s="10" t="str">
        <f>'Obrazac kalkulacije'!$F$6</f>
        <v>Jed.
cijena</v>
      </c>
      <c r="O6" s="10" t="str">
        <f>'Obrazac kalkulacije'!$G$6</f>
        <v>Iznos</v>
      </c>
    </row>
    <row r="7" spans="1:15" s="12" customFormat="1" ht="4.5" customHeight="1" thickTop="1">
      <c r="A7" s="1"/>
      <c r="B7" s="42"/>
      <c r="C7" s="1"/>
      <c r="D7" s="11"/>
      <c r="E7" s="13"/>
      <c r="F7" s="258"/>
      <c r="G7" s="15"/>
      <c r="I7" s="1"/>
      <c r="J7" s="42"/>
      <c r="K7" s="1"/>
      <c r="L7" s="11"/>
      <c r="M7" s="13"/>
      <c r="N7" s="258"/>
      <c r="O7" s="15"/>
    </row>
    <row r="8" spans="1:15" s="12" customFormat="1" ht="25.15" customHeight="1">
      <c r="A8" s="16"/>
      <c r="B8" s="837" t="s">
        <v>565</v>
      </c>
      <c r="C8" s="837"/>
      <c r="D8" s="16"/>
      <c r="E8" s="16"/>
      <c r="F8" s="44"/>
      <c r="G8" s="18">
        <f>SUM(G9:G9)</f>
        <v>98.54</v>
      </c>
      <c r="I8" s="16"/>
      <c r="J8" s="837" t="s">
        <v>565</v>
      </c>
      <c r="K8" s="837"/>
      <c r="L8" s="16"/>
      <c r="M8" s="16"/>
      <c r="N8" s="44"/>
      <c r="O8" s="18">
        <f>SUM(O9:O9)</f>
        <v>85.55</v>
      </c>
    </row>
    <row r="9" spans="1:15" s="12" customFormat="1" ht="25.15" customHeight="1">
      <c r="A9" s="32"/>
      <c r="B9" s="838" t="s">
        <v>53</v>
      </c>
      <c r="C9" s="838"/>
      <c r="D9" s="33" t="s">
        <v>51</v>
      </c>
      <c r="E9" s="34">
        <v>1</v>
      </c>
      <c r="F9" s="238">
        <f>SUMIF('Cjenik RS'!$C$11:$C$26,$B9,'Cjenik RS'!$D$11:$D$90)</f>
        <v>98.54</v>
      </c>
      <c r="G9" s="35">
        <f>E9*F9</f>
        <v>98.54</v>
      </c>
      <c r="I9" s="32"/>
      <c r="J9" s="838" t="s">
        <v>363</v>
      </c>
      <c r="K9" s="838"/>
      <c r="L9" s="33" t="s">
        <v>51</v>
      </c>
      <c r="M9" s="34">
        <v>1</v>
      </c>
      <c r="N9" s="238">
        <f>SUMIF('Cjenik RS'!$C$11:$C$26,J9,'Cjenik RS'!$D$11:$D$90)</f>
        <v>85.55</v>
      </c>
      <c r="O9" s="35">
        <f>M9*N9</f>
        <v>85.55</v>
      </c>
    </row>
    <row r="10" spans="1:15" s="12" customFormat="1" ht="25.15" customHeight="1">
      <c r="A10" s="16"/>
      <c r="B10" s="837" t="s">
        <v>566</v>
      </c>
      <c r="C10" s="837"/>
      <c r="D10" s="16"/>
      <c r="E10" s="16"/>
      <c r="F10" s="238"/>
      <c r="G10" s="18">
        <f>SUM(G11:G11)</f>
        <v>14.368</v>
      </c>
      <c r="I10" s="16"/>
      <c r="J10" s="837" t="s">
        <v>566</v>
      </c>
      <c r="K10" s="837"/>
      <c r="L10" s="16"/>
      <c r="M10" s="16"/>
      <c r="N10" s="238"/>
      <c r="O10" s="18">
        <f>SUM(O11:O11)</f>
        <v>18.5792608</v>
      </c>
    </row>
    <row r="11" spans="1:15" s="12" customFormat="1" ht="25.15" customHeight="1" thickBot="1">
      <c r="A11" s="43"/>
      <c r="B11" s="864" t="s">
        <v>69</v>
      </c>
      <c r="C11" s="864"/>
      <c r="D11" s="62" t="s">
        <v>51</v>
      </c>
      <c r="E11" s="63">
        <v>0.08</v>
      </c>
      <c r="F11" s="261">
        <f>SUMIF('Cjenik VSO'!$B$9:$B$85,$B11,'Cjenik VSO'!$C$9:$C$85)</f>
        <v>179.6</v>
      </c>
      <c r="G11" s="65">
        <f>E11*F11</f>
        <v>14.368</v>
      </c>
      <c r="I11" s="43"/>
      <c r="J11" s="864" t="s">
        <v>69</v>
      </c>
      <c r="K11" s="864"/>
      <c r="L11" s="62" t="s">
        <v>51</v>
      </c>
      <c r="M11" s="63">
        <v>0.103448</v>
      </c>
      <c r="N11" s="261">
        <f>SUMIF('Cjenik VSO'!$B$9:$B$85,$B11,'Cjenik VSO'!$C$9:$C$85)</f>
        <v>179.6</v>
      </c>
      <c r="O11" s="65">
        <f>M11*N11</f>
        <v>18.5792608</v>
      </c>
    </row>
    <row r="12" spans="1:15" ht="25.15" customHeight="1" thickTop="1" thickBot="1">
      <c r="B12" s="47"/>
      <c r="C12" s="24"/>
      <c r="D12" s="25"/>
      <c r="E12" s="850" t="str">
        <f>'Obrazac kalkulacije'!$E$18</f>
        <v>Ukupno (kn):</v>
      </c>
      <c r="F12" s="850"/>
      <c r="G12" s="26">
        <f>ROUND(SUM(G8+G10),2)</f>
        <v>112.91</v>
      </c>
      <c r="H12" s="269" t="e">
        <f>SUMIF(#REF!,$B4,#REF!)</f>
        <v>#REF!</v>
      </c>
      <c r="J12" s="47"/>
      <c r="K12" s="24"/>
      <c r="L12" s="25"/>
      <c r="M12" s="850" t="str">
        <f>'Obrazac kalkulacije'!$E$18</f>
        <v>Ukupno (kn):</v>
      </c>
      <c r="N12" s="850"/>
      <c r="O12" s="26">
        <f>ROUND(SUM(O8+O10),2)</f>
        <v>104.13</v>
      </c>
    </row>
    <row r="13" spans="1:15" ht="25.15" customHeight="1" thickTop="1" thickBot="1">
      <c r="E13" s="27" t="str">
        <f>'Obrazac kalkulacije'!$E$19</f>
        <v>PDV:</v>
      </c>
      <c r="F13" s="259">
        <f>'Obrazac kalkulacije'!$F$19</f>
        <v>0.25</v>
      </c>
      <c r="G13" s="29">
        <f>G12*F13</f>
        <v>28.227499999999999</v>
      </c>
      <c r="H13" s="270" t="e">
        <f>H12-G12</f>
        <v>#REF!</v>
      </c>
      <c r="M13" s="27" t="str">
        <f>'Obrazac kalkulacije'!$E$19</f>
        <v>PDV:</v>
      </c>
      <c r="N13" s="259">
        <f>'Obrazac kalkulacije'!$F$19</f>
        <v>0.25</v>
      </c>
      <c r="O13" s="29">
        <f>O12*N13</f>
        <v>26.032499999999999</v>
      </c>
    </row>
    <row r="14" spans="1:15" ht="25.15" customHeight="1" thickTop="1" thickBot="1">
      <c r="E14" s="840" t="str">
        <f>'Obrazac kalkulacije'!$E$20</f>
        <v>Sveukupno (kn):</v>
      </c>
      <c r="F14" s="840"/>
      <c r="G14" s="29">
        <f>ROUND(SUM(G12:G13),2)</f>
        <v>141.13999999999999</v>
      </c>
      <c r="H14" s="271" t="e">
        <f>G11+H13</f>
        <v>#REF!</v>
      </c>
      <c r="M14" s="840" t="str">
        <f>'Obrazac kalkulacije'!$E$20</f>
        <v>Sveukupno (kn):</v>
      </c>
      <c r="N14" s="840"/>
      <c r="O14" s="29">
        <f>ROUND(SUM(O12:O13),2)</f>
        <v>130.16</v>
      </c>
    </row>
    <row r="15" spans="1:15" ht="15" customHeight="1" thickTop="1"/>
    <row r="16" spans="1:15" ht="15" customHeight="1"/>
    <row r="17" spans="1:15" ht="15" customHeight="1"/>
    <row r="18" spans="1:15" ht="15" customHeight="1">
      <c r="C18" s="3" t="str">
        <f>'Obrazac kalkulacije'!$C$24</f>
        <v>IZVODITELJ:</v>
      </c>
      <c r="F18" s="841" t="str">
        <f>'Obrazac kalkulacije'!$F$24</f>
        <v>NARUČITELJ:</v>
      </c>
      <c r="G18" s="841"/>
      <c r="K18" s="3" t="str">
        <f>'Obrazac kalkulacije'!$C$24</f>
        <v>IZVODITELJ:</v>
      </c>
      <c r="N18" s="841" t="str">
        <f>'Obrazac kalkulacije'!$F$24</f>
        <v>NARUČITELJ:</v>
      </c>
      <c r="O18" s="841"/>
    </row>
    <row r="19" spans="1:15" ht="25.15" customHeight="1">
      <c r="C19" s="3" t="str">
        <f>'Obrazac kalkulacije'!$C$25</f>
        <v>__________________</v>
      </c>
      <c r="F19" s="841" t="str">
        <f>'Obrazac kalkulacije'!$F$25</f>
        <v>___________________</v>
      </c>
      <c r="G19" s="841"/>
      <c r="K19" s="3" t="str">
        <f>'Obrazac kalkulacije'!$C$25</f>
        <v>__________________</v>
      </c>
      <c r="N19" s="841" t="str">
        <f>'Obrazac kalkulacije'!$F$25</f>
        <v>___________________</v>
      </c>
      <c r="O19" s="841"/>
    </row>
    <row r="20" spans="1:15">
      <c r="F20" s="841"/>
      <c r="G20" s="841"/>
      <c r="N20" s="841"/>
      <c r="O20" s="841"/>
    </row>
    <row r="21" spans="1:15" ht="15" customHeight="1"/>
    <row r="22" spans="1:15" ht="15" customHeight="1">
      <c r="A22" s="144"/>
      <c r="B22" s="145" t="s">
        <v>615</v>
      </c>
      <c r="C22" s="836" t="s">
        <v>616</v>
      </c>
      <c r="D22" s="836"/>
      <c r="E22" s="836"/>
      <c r="F22" s="836"/>
      <c r="G22" s="836"/>
      <c r="I22" s="144"/>
      <c r="J22" s="145" t="s">
        <v>615</v>
      </c>
      <c r="K22" s="836" t="s">
        <v>616</v>
      </c>
      <c r="L22" s="836"/>
      <c r="M22" s="836"/>
      <c r="N22" s="836"/>
      <c r="O22" s="836"/>
    </row>
    <row r="23" spans="1:15" ht="15" customHeight="1">
      <c r="A23" s="38"/>
      <c r="B23" s="39" t="s">
        <v>617</v>
      </c>
      <c r="C23" s="860" t="s">
        <v>618</v>
      </c>
      <c r="D23" s="860"/>
      <c r="E23" s="860"/>
      <c r="F23" s="860"/>
      <c r="G23" s="860"/>
      <c r="I23" s="38"/>
      <c r="J23" s="39" t="s">
        <v>617</v>
      </c>
      <c r="K23" s="860" t="s">
        <v>618</v>
      </c>
      <c r="L23" s="860"/>
      <c r="M23" s="860"/>
      <c r="N23" s="860"/>
      <c r="O23" s="860"/>
    </row>
    <row r="24" spans="1:15" ht="150" customHeight="1">
      <c r="A24" s="40"/>
      <c r="B24" s="556" t="s">
        <v>621</v>
      </c>
      <c r="C24" s="852" t="s">
        <v>622</v>
      </c>
      <c r="D24" s="852"/>
      <c r="E24" s="852"/>
      <c r="F24" s="852"/>
      <c r="G24" s="852"/>
      <c r="I24" s="40"/>
      <c r="J24" s="41" t="s">
        <v>621</v>
      </c>
      <c r="K24" s="869" t="s">
        <v>623</v>
      </c>
      <c r="L24" s="869"/>
      <c r="M24" s="869"/>
      <c r="N24" s="869"/>
      <c r="O24" s="869"/>
    </row>
    <row r="25" spans="1:15" ht="15" customHeight="1" thickBot="1"/>
    <row r="26" spans="1:15" ht="30" customHeight="1" thickTop="1" thickBot="1">
      <c r="A26" s="10"/>
      <c r="B26" s="99">
        <v>0</v>
      </c>
      <c r="C26" s="100" t="s">
        <v>624</v>
      </c>
      <c r="D26" s="10" t="s">
        <v>625</v>
      </c>
      <c r="E26" s="10" t="s">
        <v>626</v>
      </c>
      <c r="F26" s="10" t="s">
        <v>627</v>
      </c>
      <c r="G26" s="10" t="s">
        <v>628</v>
      </c>
    </row>
    <row r="27" spans="1:15" ht="4.5" customHeight="1" thickTop="1">
      <c r="B27" s="42"/>
      <c r="C27" s="1"/>
      <c r="D27" s="11"/>
      <c r="E27" s="13"/>
      <c r="F27" s="258"/>
      <c r="G27" s="15"/>
    </row>
    <row r="28" spans="1:15" ht="25.15" customHeight="1">
      <c r="A28" s="16"/>
      <c r="B28" s="837" t="s">
        <v>565</v>
      </c>
      <c r="C28" s="837"/>
      <c r="D28" s="16"/>
      <c r="E28" s="16"/>
      <c r="F28" s="44"/>
      <c r="G28" s="18">
        <f>SUM(G29:G29)</f>
        <v>295.62</v>
      </c>
    </row>
    <row r="29" spans="1:15" ht="25.15" customHeight="1">
      <c r="A29" s="32"/>
      <c r="B29" s="838" t="s">
        <v>53</v>
      </c>
      <c r="C29" s="838"/>
      <c r="D29" s="33" t="s">
        <v>51</v>
      </c>
      <c r="E29" s="34">
        <v>3</v>
      </c>
      <c r="F29" s="238">
        <f>SUMIF('Cjenik RS'!$C$11:$C$26,$B29,'Cjenik RS'!$D$11:$D$90)</f>
        <v>98.54</v>
      </c>
      <c r="G29" s="35">
        <f>E29*F29</f>
        <v>295.62</v>
      </c>
    </row>
    <row r="30" spans="1:15" ht="25.15" customHeight="1">
      <c r="A30" s="16"/>
      <c r="B30" s="837" t="s">
        <v>566</v>
      </c>
      <c r="C30" s="837"/>
      <c r="D30" s="16"/>
      <c r="E30" s="16"/>
      <c r="F30" s="238"/>
      <c r="G30" s="18">
        <f>SUM(G31:G33)</f>
        <v>283.82</v>
      </c>
    </row>
    <row r="31" spans="1:15" ht="25.15" customHeight="1">
      <c r="A31" s="51"/>
      <c r="B31" s="891" t="s">
        <v>629</v>
      </c>
      <c r="C31" s="891"/>
      <c r="D31" s="52" t="s">
        <v>51</v>
      </c>
      <c r="E31" s="53">
        <v>1</v>
      </c>
      <c r="F31" s="654">
        <v>250.56</v>
      </c>
      <c r="G31" s="55">
        <f>E31*F31</f>
        <v>250.56</v>
      </c>
      <c r="I31" s="675"/>
      <c r="J31" s="676"/>
      <c r="K31" s="676"/>
    </row>
    <row r="32" spans="1:15" ht="25.15" customHeight="1">
      <c r="A32" s="56"/>
      <c r="B32" s="863" t="s">
        <v>571</v>
      </c>
      <c r="C32" s="863"/>
      <c r="D32" s="52" t="s">
        <v>51</v>
      </c>
      <c r="E32" s="53">
        <v>1</v>
      </c>
      <c r="F32" s="260">
        <f>SUMIF('Cjenik VSO'!$B$9:$B$85,$B32,'Cjenik VSO'!$C$9:$C$85)</f>
        <v>33.26</v>
      </c>
      <c r="G32" s="60">
        <f>E32*F32</f>
        <v>33.26</v>
      </c>
    </row>
    <row r="33" spans="1:15" ht="25.15" customHeight="1">
      <c r="A33" s="61"/>
      <c r="B33" s="864"/>
      <c r="C33" s="864"/>
      <c r="D33" s="62" t="s">
        <v>51</v>
      </c>
      <c r="E33" s="63">
        <v>1</v>
      </c>
      <c r="F33" s="261">
        <f>SUMIF('Cjenik VSO'!$B$9:$B$85,$B33,'Cjenik VSO'!$C$9:$C$85)</f>
        <v>0</v>
      </c>
      <c r="G33" s="65">
        <f>E33*F33</f>
        <v>0</v>
      </c>
    </row>
    <row r="34" spans="1:15" ht="25.15" customHeight="1">
      <c r="A34" s="88"/>
      <c r="B34" s="837" t="s">
        <v>630</v>
      </c>
      <c r="C34" s="837"/>
      <c r="D34" s="16"/>
      <c r="E34" s="16"/>
      <c r="F34" s="238"/>
      <c r="G34" s="18">
        <f>SUM(G35:G36)</f>
        <v>0</v>
      </c>
    </row>
    <row r="35" spans="1:15" ht="25.15" customHeight="1">
      <c r="A35" s="51"/>
      <c r="B35" s="863"/>
      <c r="C35" s="863"/>
      <c r="D35" s="52"/>
      <c r="E35" s="53"/>
      <c r="F35" s="260"/>
      <c r="G35" s="55">
        <f>E35*F35</f>
        <v>0</v>
      </c>
    </row>
    <row r="36" spans="1:15" ht="25.15" customHeight="1" thickBot="1">
      <c r="A36" s="66"/>
      <c r="B36" s="859"/>
      <c r="C36" s="859"/>
      <c r="D36" s="67"/>
      <c r="E36" s="68"/>
      <c r="F36" s="262"/>
      <c r="G36" s="70">
        <f>E36*F36</f>
        <v>0</v>
      </c>
      <c r="H36" s="1"/>
      <c r="I36" s="37"/>
      <c r="J36" s="2"/>
      <c r="K36" s="3"/>
      <c r="L36" s="4"/>
      <c r="M36" s="30"/>
      <c r="N36" s="5"/>
      <c r="O36" s="2"/>
    </row>
    <row r="37" spans="1:15" ht="25.15" customHeight="1" thickTop="1" thickBot="1">
      <c r="B37" s="47"/>
      <c r="C37" s="24"/>
      <c r="D37" s="25"/>
      <c r="E37" s="850" t="str">
        <f>'Obrazac kalkulacije'!$E$18</f>
        <v>Ukupno (kn):</v>
      </c>
      <c r="F37" s="850"/>
      <c r="G37" s="26">
        <f>ROUND(SUM(G28+G30+G34),2)</f>
        <v>579.44000000000005</v>
      </c>
      <c r="H37" s="1"/>
      <c r="I37" s="37"/>
      <c r="J37" s="2"/>
      <c r="K37" s="3"/>
      <c r="L37" s="4"/>
      <c r="M37" s="30"/>
      <c r="N37" s="5"/>
      <c r="O37" s="2"/>
    </row>
    <row r="38" spans="1:15" ht="25.15" customHeight="1" thickTop="1" thickBot="1">
      <c r="E38" s="27" t="str">
        <f>'Obrazac kalkulacije'!$E$19</f>
        <v>PDV:</v>
      </c>
      <c r="F38" s="259">
        <f>'Obrazac kalkulacije'!$F$19</f>
        <v>0.25</v>
      </c>
      <c r="G38" s="29">
        <f>G37*F38</f>
        <v>144.86000000000001</v>
      </c>
      <c r="H38" s="1"/>
      <c r="I38" s="37"/>
      <c r="J38" s="2"/>
      <c r="K38" s="3"/>
      <c r="L38" s="4"/>
      <c r="M38" s="30"/>
      <c r="N38" s="5"/>
      <c r="O38" s="2"/>
    </row>
    <row r="39" spans="1:15" ht="25.15" customHeight="1" thickTop="1" thickBot="1">
      <c r="E39" s="840" t="str">
        <f>'Obrazac kalkulacije'!$E$20</f>
        <v>Sveukupno (kn):</v>
      </c>
      <c r="F39" s="840"/>
      <c r="G39" s="29">
        <f>ROUND(SUM(G37:G38),2)</f>
        <v>724.3</v>
      </c>
      <c r="H39" s="1"/>
      <c r="I39" s="37"/>
      <c r="J39" s="2"/>
      <c r="K39" s="3"/>
      <c r="L39" s="4"/>
      <c r="M39" s="30"/>
      <c r="N39" s="5"/>
      <c r="O39" s="2"/>
    </row>
    <row r="40" spans="1:15" ht="15" customHeight="1" thickTop="1"/>
    <row r="41" spans="1:15" ht="15" customHeight="1"/>
    <row r="42" spans="1:15" ht="15" customHeight="1"/>
    <row r="43" spans="1:15" ht="15" customHeight="1">
      <c r="C43" s="3" t="str">
        <f>'Obrazac kalkulacije'!$C$24</f>
        <v>IZVODITELJ:</v>
      </c>
      <c r="F43" s="841" t="str">
        <f>'Obrazac kalkulacije'!$F$24</f>
        <v>NARUČITELJ:</v>
      </c>
      <c r="G43" s="841"/>
      <c r="K43" s="3" t="str">
        <f>'Obrazac kalkulacije'!$C$24</f>
        <v>IZVODITELJ:</v>
      </c>
      <c r="N43" s="841" t="str">
        <f>'Obrazac kalkulacije'!$F$24</f>
        <v>NARUČITELJ:</v>
      </c>
      <c r="O43" s="841"/>
    </row>
    <row r="44" spans="1:15" ht="25.15" customHeight="1">
      <c r="C44" s="3" t="str">
        <f>'Obrazac kalkulacije'!$C$25</f>
        <v>__________________</v>
      </c>
      <c r="F44" s="841" t="str">
        <f>'Obrazac kalkulacije'!$F$25</f>
        <v>___________________</v>
      </c>
      <c r="G44" s="841"/>
      <c r="K44" s="3" t="str">
        <f>'Obrazac kalkulacije'!$C$25</f>
        <v>__________________</v>
      </c>
      <c r="N44" s="841" t="str">
        <f>'Obrazac kalkulacije'!$F$25</f>
        <v>___________________</v>
      </c>
      <c r="O44" s="841"/>
    </row>
    <row r="45" spans="1:15" ht="15" customHeight="1">
      <c r="F45" s="841"/>
      <c r="G45" s="841"/>
      <c r="N45" s="841"/>
      <c r="O45" s="841"/>
    </row>
    <row r="46" spans="1:15" ht="15" customHeight="1"/>
    <row r="47" spans="1:15" ht="15" customHeight="1">
      <c r="A47" s="144"/>
      <c r="B47" s="145" t="s">
        <v>615</v>
      </c>
      <c r="C47" s="836" t="s">
        <v>616</v>
      </c>
      <c r="D47" s="836"/>
      <c r="E47" s="836"/>
      <c r="F47" s="836"/>
      <c r="G47" s="836"/>
      <c r="I47" s="144"/>
      <c r="J47" s="145" t="s">
        <v>615</v>
      </c>
      <c r="K47" s="836" t="s">
        <v>616</v>
      </c>
      <c r="L47" s="836"/>
      <c r="M47" s="836"/>
      <c r="N47" s="836"/>
      <c r="O47" s="836"/>
    </row>
    <row r="48" spans="1:15" ht="15" customHeight="1">
      <c r="A48" s="38"/>
      <c r="B48" s="39" t="s">
        <v>617</v>
      </c>
      <c r="C48" s="860" t="s">
        <v>618</v>
      </c>
      <c r="D48" s="860"/>
      <c r="E48" s="860"/>
      <c r="F48" s="860"/>
      <c r="G48" s="860"/>
      <c r="I48" s="38"/>
      <c r="J48" s="39" t="s">
        <v>617</v>
      </c>
      <c r="K48" s="860" t="s">
        <v>618</v>
      </c>
      <c r="L48" s="860"/>
      <c r="M48" s="860"/>
      <c r="N48" s="860"/>
      <c r="O48" s="860"/>
    </row>
    <row r="49" spans="1:15" ht="150" customHeight="1">
      <c r="A49" s="40"/>
      <c r="B49" s="556" t="s">
        <v>631</v>
      </c>
      <c r="C49" s="852" t="s">
        <v>632</v>
      </c>
      <c r="D49" s="852"/>
      <c r="E49" s="852"/>
      <c r="F49" s="852"/>
      <c r="G49" s="852"/>
      <c r="I49" s="40"/>
      <c r="J49" s="41" t="s">
        <v>631</v>
      </c>
      <c r="K49" s="869" t="s">
        <v>632</v>
      </c>
      <c r="L49" s="869"/>
      <c r="M49" s="869"/>
      <c r="N49" s="869"/>
      <c r="O49" s="869"/>
    </row>
    <row r="50" spans="1:15" ht="15" customHeight="1" thickBot="1"/>
    <row r="51" spans="1:15" ht="30" customHeight="1" thickTop="1" thickBot="1">
      <c r="A51" s="10"/>
      <c r="B51" s="835" t="str">
        <f>'Obrazac kalkulacije'!$B$6:$C$6</f>
        <v>Opis</v>
      </c>
      <c r="C51" s="835"/>
      <c r="D51" s="10" t="str">
        <f>'Obrazac kalkulacije'!$D$6</f>
        <v>Jed.
mjere</v>
      </c>
      <c r="E51" s="10" t="str">
        <f>'Obrazac kalkulacije'!$E$6</f>
        <v>Normativ</v>
      </c>
      <c r="F51" s="10" t="str">
        <f>'Obrazac kalkulacije'!$F$6</f>
        <v>Jed.
cijena</v>
      </c>
      <c r="G51" s="10" t="str">
        <f>'Obrazac kalkulacije'!$G$6</f>
        <v>Iznos</v>
      </c>
      <c r="I51" s="10"/>
      <c r="J51" s="835" t="e">
        <f>'Obrazac kalkulacije'!$B$6:$C$6</f>
        <v>#VALUE!</v>
      </c>
      <c r="K51" s="835"/>
      <c r="L51" s="10" t="str">
        <f>'Obrazac kalkulacije'!$D$6</f>
        <v>Jed.
mjere</v>
      </c>
      <c r="M51" s="10" t="str">
        <f>'Obrazac kalkulacije'!$E$6</f>
        <v>Normativ</v>
      </c>
      <c r="N51" s="10" t="str">
        <f>'Obrazac kalkulacije'!$F$6</f>
        <v>Jed.
cijena</v>
      </c>
      <c r="O51" s="10" t="str">
        <f>'Obrazac kalkulacije'!$G$6</f>
        <v>Iznos</v>
      </c>
    </row>
    <row r="52" spans="1:15" ht="4.5" customHeight="1" thickTop="1">
      <c r="B52" s="42"/>
      <c r="C52" s="1"/>
      <c r="D52" s="11"/>
      <c r="E52" s="13"/>
      <c r="F52" s="258"/>
      <c r="G52" s="15"/>
      <c r="J52" s="42"/>
      <c r="K52" s="1"/>
      <c r="L52" s="11"/>
      <c r="M52" s="13"/>
      <c r="N52" s="258"/>
      <c r="O52" s="15"/>
    </row>
    <row r="53" spans="1:15" ht="25.15" customHeight="1">
      <c r="A53" s="16"/>
      <c r="B53" s="837" t="s">
        <v>565</v>
      </c>
      <c r="C53" s="837"/>
      <c r="D53" s="16"/>
      <c r="E53" s="16"/>
      <c r="F53" s="44"/>
      <c r="G53" s="18">
        <f>SUM(G54:G54)</f>
        <v>98.54</v>
      </c>
      <c r="I53" s="16"/>
      <c r="J53" s="837" t="s">
        <v>565</v>
      </c>
      <c r="K53" s="837"/>
      <c r="L53" s="16"/>
      <c r="M53" s="16"/>
      <c r="N53" s="44"/>
      <c r="O53" s="18">
        <f>SUM(O54:O54)</f>
        <v>98.54</v>
      </c>
    </row>
    <row r="54" spans="1:15" ht="25.15" customHeight="1">
      <c r="A54" s="19"/>
      <c r="B54" s="838" t="s">
        <v>53</v>
      </c>
      <c r="C54" s="838"/>
      <c r="D54" s="33" t="s">
        <v>51</v>
      </c>
      <c r="E54" s="34">
        <v>1</v>
      </c>
      <c r="F54" s="238">
        <f>SUMIF('Cjenik RS'!$C$11:$C$26,$B54,'Cjenik RS'!$D$11:$D$90)</f>
        <v>98.54</v>
      </c>
      <c r="G54" s="35">
        <f>E54*F54</f>
        <v>98.54</v>
      </c>
      <c r="I54" s="19"/>
      <c r="J54" s="838" t="s">
        <v>53</v>
      </c>
      <c r="K54" s="838"/>
      <c r="L54" s="33" t="s">
        <v>51</v>
      </c>
      <c r="M54" s="34">
        <v>1</v>
      </c>
      <c r="N54" s="238">
        <f>SUMIF('Cjenik RS'!$C$11:$C$26,J54,'Cjenik RS'!$D$11:$D$90)</f>
        <v>98.54</v>
      </c>
      <c r="O54" s="35">
        <f>M54*N54</f>
        <v>98.54</v>
      </c>
    </row>
    <row r="55" spans="1:15" ht="25.15" customHeight="1" thickTop="1" thickBot="1">
      <c r="B55" s="47"/>
      <c r="C55" s="24"/>
      <c r="D55" s="25"/>
      <c r="E55" s="850" t="str">
        <f>'Obrazac kalkulacije'!$E$18</f>
        <v>Ukupno (kn):</v>
      </c>
      <c r="F55" s="850"/>
      <c r="G55" s="26">
        <f>ROUND(SUM(G53),2)</f>
        <v>98.54</v>
      </c>
      <c r="J55" s="47"/>
      <c r="K55" s="24"/>
      <c r="L55" s="25"/>
      <c r="M55" s="850" t="str">
        <f>'Obrazac kalkulacije'!$E$18</f>
        <v>Ukupno (kn):</v>
      </c>
      <c r="N55" s="850"/>
      <c r="O55" s="26">
        <f>ROUND(SUM(O53),2)</f>
        <v>98.54</v>
      </c>
    </row>
    <row r="56" spans="1:15" ht="25.15" customHeight="1" thickTop="1" thickBot="1">
      <c r="E56" s="27" t="str">
        <f>'Obrazac kalkulacije'!$E$19</f>
        <v>PDV:</v>
      </c>
      <c r="F56" s="259">
        <f>'Obrazac kalkulacije'!$F$19</f>
        <v>0.25</v>
      </c>
      <c r="G56" s="29">
        <f>G55*F56</f>
        <v>24.635000000000002</v>
      </c>
      <c r="M56" s="27" t="str">
        <f>'Obrazac kalkulacije'!$E$19</f>
        <v>PDV:</v>
      </c>
      <c r="N56" s="259">
        <f>'Obrazac kalkulacije'!$F$19</f>
        <v>0.25</v>
      </c>
      <c r="O56" s="29">
        <f>O55*N56</f>
        <v>24.635000000000002</v>
      </c>
    </row>
    <row r="57" spans="1:15" ht="25.15" customHeight="1" thickTop="1" thickBot="1">
      <c r="E57" s="840" t="str">
        <f>'Obrazac kalkulacije'!$E$20</f>
        <v>Sveukupno (kn):</v>
      </c>
      <c r="F57" s="840"/>
      <c r="G57" s="29">
        <f>ROUND(SUM(G55:G56),2)</f>
        <v>123.18</v>
      </c>
      <c r="M57" s="840" t="str">
        <f>'Obrazac kalkulacije'!$E$20</f>
        <v>Sveukupno (kn):</v>
      </c>
      <c r="N57" s="840"/>
      <c r="O57" s="29">
        <f>ROUND(SUM(O55:O56),2)</f>
        <v>123.18</v>
      </c>
    </row>
    <row r="58" spans="1:15" ht="15" customHeight="1" thickTop="1"/>
    <row r="59" spans="1:15" ht="15" customHeight="1"/>
    <row r="60" spans="1:15" ht="15" customHeight="1"/>
    <row r="61" spans="1:15" ht="15" customHeight="1">
      <c r="C61" s="3" t="str">
        <f>'Obrazac kalkulacije'!$C$24</f>
        <v>IZVODITELJ:</v>
      </c>
      <c r="F61" s="841" t="str">
        <f>'Obrazac kalkulacije'!$F$24</f>
        <v>NARUČITELJ:</v>
      </c>
      <c r="G61" s="841"/>
      <c r="K61" s="3" t="str">
        <f>'Obrazac kalkulacije'!$C$24</f>
        <v>IZVODITELJ:</v>
      </c>
      <c r="N61" s="841" t="str">
        <f>'Obrazac kalkulacije'!$F$24</f>
        <v>NARUČITELJ:</v>
      </c>
      <c r="O61" s="841"/>
    </row>
    <row r="62" spans="1:15" ht="25.15" customHeight="1">
      <c r="C62" s="3" t="str">
        <f>'Obrazac kalkulacije'!$C$25</f>
        <v>__________________</v>
      </c>
      <c r="F62" s="841" t="str">
        <f>'Obrazac kalkulacije'!$F$25</f>
        <v>___________________</v>
      </c>
      <c r="G62" s="841"/>
      <c r="K62" s="3" t="str">
        <f>'Obrazac kalkulacije'!$C$25</f>
        <v>__________________</v>
      </c>
      <c r="N62" s="841" t="str">
        <f>'Obrazac kalkulacije'!$F$25</f>
        <v>___________________</v>
      </c>
      <c r="O62" s="841"/>
    </row>
    <row r="63" spans="1:15" ht="15" customHeight="1">
      <c r="F63" s="841"/>
      <c r="G63" s="841"/>
      <c r="N63" s="841"/>
      <c r="O63" s="841"/>
    </row>
    <row r="64" spans="1:15" ht="15" customHeight="1"/>
    <row r="65" spans="1:15" ht="15" customHeight="1">
      <c r="A65" s="144"/>
      <c r="B65" s="145" t="s">
        <v>615</v>
      </c>
      <c r="C65" s="836" t="s">
        <v>616</v>
      </c>
      <c r="D65" s="836"/>
      <c r="E65" s="836"/>
      <c r="F65" s="836"/>
      <c r="G65" s="836"/>
      <c r="I65" s="144"/>
      <c r="J65" s="145" t="s">
        <v>615</v>
      </c>
      <c r="K65" s="836" t="s">
        <v>616</v>
      </c>
      <c r="L65" s="836"/>
      <c r="M65" s="836"/>
      <c r="N65" s="836"/>
      <c r="O65" s="836"/>
    </row>
    <row r="66" spans="1:15" ht="15" customHeight="1">
      <c r="A66" s="38"/>
      <c r="B66" s="39" t="s">
        <v>617</v>
      </c>
      <c r="C66" s="860" t="s">
        <v>618</v>
      </c>
      <c r="D66" s="860"/>
      <c r="E66" s="860"/>
      <c r="F66" s="860"/>
      <c r="G66" s="860"/>
      <c r="I66" s="38"/>
      <c r="J66" s="39" t="s">
        <v>617</v>
      </c>
      <c r="K66" s="860" t="s">
        <v>618</v>
      </c>
      <c r="L66" s="860"/>
      <c r="M66" s="860"/>
      <c r="N66" s="860"/>
      <c r="O66" s="860"/>
    </row>
    <row r="67" spans="1:15" ht="150" customHeight="1">
      <c r="A67" s="40"/>
      <c r="B67" s="556" t="s">
        <v>633</v>
      </c>
      <c r="C67" s="852" t="s">
        <v>634</v>
      </c>
      <c r="D67" s="852"/>
      <c r="E67" s="852"/>
      <c r="F67" s="852"/>
      <c r="G67" s="852"/>
      <c r="I67" s="40"/>
      <c r="J67" s="41" t="s">
        <v>633</v>
      </c>
      <c r="K67" s="869" t="s">
        <v>634</v>
      </c>
      <c r="L67" s="869"/>
      <c r="M67" s="869"/>
      <c r="N67" s="869"/>
      <c r="O67" s="869"/>
    </row>
    <row r="68" spans="1:15" ht="15" customHeight="1" thickBot="1"/>
    <row r="69" spans="1:15" ht="30" customHeight="1" thickTop="1" thickBot="1">
      <c r="A69" s="10"/>
      <c r="B69" s="835" t="str">
        <f>'Obrazac kalkulacije'!$B$6:$C$6</f>
        <v>Opis</v>
      </c>
      <c r="C69" s="835"/>
      <c r="D69" s="10" t="str">
        <f>'Obrazac kalkulacije'!$D$6</f>
        <v>Jed.
mjere</v>
      </c>
      <c r="E69" s="10" t="str">
        <f>'Obrazac kalkulacije'!$E$6</f>
        <v>Normativ</v>
      </c>
      <c r="F69" s="10" t="str">
        <f>'Obrazac kalkulacije'!$F$6</f>
        <v>Jed.
cijena</v>
      </c>
      <c r="G69" s="10" t="str">
        <f>'Obrazac kalkulacije'!$G$6</f>
        <v>Iznos</v>
      </c>
      <c r="I69" s="10"/>
      <c r="J69" s="835" t="e">
        <f>'Obrazac kalkulacije'!$B$6:$C$6</f>
        <v>#VALUE!</v>
      </c>
      <c r="K69" s="835"/>
      <c r="L69" s="10" t="str">
        <f>'Obrazac kalkulacije'!$D$6</f>
        <v>Jed.
mjere</v>
      </c>
      <c r="M69" s="10" t="str">
        <f>'Obrazac kalkulacije'!$E$6</f>
        <v>Normativ</v>
      </c>
      <c r="N69" s="10" t="str">
        <f>'Obrazac kalkulacije'!$F$6</f>
        <v>Jed.
cijena</v>
      </c>
      <c r="O69" s="10" t="str">
        <f>'Obrazac kalkulacije'!$G$6</f>
        <v>Iznos</v>
      </c>
    </row>
    <row r="70" spans="1:15" ht="4.5" customHeight="1" thickTop="1">
      <c r="B70" s="42"/>
      <c r="C70" s="1"/>
      <c r="D70" s="11"/>
      <c r="E70" s="13"/>
      <c r="F70" s="258"/>
      <c r="G70" s="15"/>
      <c r="J70" s="42"/>
      <c r="K70" s="1"/>
      <c r="L70" s="11"/>
      <c r="M70" s="13"/>
      <c r="N70" s="258"/>
      <c r="O70" s="15"/>
    </row>
    <row r="71" spans="1:15" ht="25.15" customHeight="1">
      <c r="A71" s="16"/>
      <c r="B71" s="837" t="s">
        <v>565</v>
      </c>
      <c r="C71" s="837"/>
      <c r="D71" s="16"/>
      <c r="E71" s="16"/>
      <c r="F71" s="44"/>
      <c r="G71" s="18">
        <f>SUM(G72:G72)</f>
        <v>6.897800000000001</v>
      </c>
      <c r="I71" s="16"/>
      <c r="J71" s="837" t="s">
        <v>565</v>
      </c>
      <c r="K71" s="837"/>
      <c r="L71" s="16"/>
      <c r="M71" s="16"/>
      <c r="N71" s="44"/>
      <c r="O71" s="18">
        <f>SUM(O72:O72)</f>
        <v>7.2489177280000003</v>
      </c>
    </row>
    <row r="72" spans="1:15" ht="25.15" customHeight="1">
      <c r="A72" s="32"/>
      <c r="B72" s="838" t="s">
        <v>53</v>
      </c>
      <c r="C72" s="838"/>
      <c r="D72" s="33" t="s">
        <v>51</v>
      </c>
      <c r="E72" s="34">
        <v>7.0000000000000007E-2</v>
      </c>
      <c r="F72" s="238">
        <f>SUMIF('Cjenik RS'!$C$11:$C$26,$B72,'Cjenik RS'!$D$11:$D$90)</f>
        <v>98.54</v>
      </c>
      <c r="G72" s="35">
        <f>E72*F72</f>
        <v>6.897800000000001</v>
      </c>
      <c r="I72" s="32"/>
      <c r="J72" s="838" t="s">
        <v>53</v>
      </c>
      <c r="K72" s="838"/>
      <c r="L72" s="33" t="s">
        <v>51</v>
      </c>
      <c r="M72" s="34">
        <v>7.3563199999999995E-2</v>
      </c>
      <c r="N72" s="238">
        <f>SUMIF('Cjenik RS'!$C$11:$C$26,J72,'Cjenik RS'!$D$11:$D$90)</f>
        <v>98.54</v>
      </c>
      <c r="O72" s="35">
        <f>M72*N72</f>
        <v>7.2489177280000003</v>
      </c>
    </row>
    <row r="73" spans="1:15" ht="25.15" customHeight="1">
      <c r="A73" s="16"/>
      <c r="B73" s="837" t="s">
        <v>566</v>
      </c>
      <c r="C73" s="837"/>
      <c r="D73" s="16"/>
      <c r="E73" s="16"/>
      <c r="F73" s="238"/>
      <c r="G73" s="18">
        <f>SUM(G74:G75)</f>
        <v>4.6642000000000001</v>
      </c>
      <c r="I73" s="16"/>
      <c r="J73" s="837" t="s">
        <v>566</v>
      </c>
      <c r="K73" s="837"/>
      <c r="L73" s="16"/>
      <c r="M73" s="16"/>
      <c r="N73" s="238"/>
      <c r="O73" s="18">
        <f>SUM(O74:O75)</f>
        <v>6.4074066799999994</v>
      </c>
    </row>
    <row r="74" spans="1:15" ht="25.15" customHeight="1">
      <c r="A74" s="93"/>
      <c r="B74" s="880" t="s">
        <v>69</v>
      </c>
      <c r="C74" s="880"/>
      <c r="D74" s="82" t="s">
        <v>51</v>
      </c>
      <c r="E74" s="101">
        <v>0.02</v>
      </c>
      <c r="F74" s="267">
        <f>SUMIF('Cjenik VSO'!$B$9:$B$85,$B74,'Cjenik VSO'!$C$9:$C$85)</f>
        <v>179.6</v>
      </c>
      <c r="G74" s="102">
        <f>E74*F74</f>
        <v>3.5920000000000001</v>
      </c>
      <c r="I74" s="93"/>
      <c r="J74" s="880" t="s">
        <v>69</v>
      </c>
      <c r="K74" s="880"/>
      <c r="L74" s="82" t="s">
        <v>51</v>
      </c>
      <c r="M74" s="101">
        <v>2.68966E-2</v>
      </c>
      <c r="N74" s="267">
        <f>SUMIF('Cjenik VSO'!$B$9:$B$85,$B74,'Cjenik VSO'!$C$9:$C$85)</f>
        <v>179.6</v>
      </c>
      <c r="O74" s="102">
        <f>M74*N74</f>
        <v>4.8306293599999997</v>
      </c>
    </row>
    <row r="75" spans="1:15" ht="25.15" customHeight="1" thickBot="1">
      <c r="A75" s="66"/>
      <c r="B75" s="864" t="s">
        <v>635</v>
      </c>
      <c r="C75" s="864"/>
      <c r="D75" s="62" t="s">
        <v>51</v>
      </c>
      <c r="E75" s="63">
        <v>0.02</v>
      </c>
      <c r="F75" s="261">
        <f>SUMIF('Cjenik VSO'!$B$9:$B$85,$B75,'Cjenik VSO'!$C$9:$C$85)</f>
        <v>53.61</v>
      </c>
      <c r="G75" s="65">
        <f>E75*F75</f>
        <v>1.0722</v>
      </c>
      <c r="I75" s="66"/>
      <c r="J75" s="864" t="s">
        <v>635</v>
      </c>
      <c r="K75" s="864"/>
      <c r="L75" s="62" t="s">
        <v>51</v>
      </c>
      <c r="M75" s="63">
        <v>2.9412000000000001E-2</v>
      </c>
      <c r="N75" s="261">
        <f>SUMIF('Cjenik VSO'!$B$9:$B$85,$B75,'Cjenik VSO'!$C$9:$C$85)</f>
        <v>53.61</v>
      </c>
      <c r="O75" s="65">
        <f>M75*N75</f>
        <v>1.5767773199999999</v>
      </c>
    </row>
    <row r="76" spans="1:15" ht="25.15" customHeight="1" thickTop="1" thickBot="1">
      <c r="B76" s="47"/>
      <c r="C76" s="24"/>
      <c r="D76" s="25"/>
      <c r="E76" s="850" t="str">
        <f>'Obrazac kalkulacije'!$E$18</f>
        <v>Ukupno (kn):</v>
      </c>
      <c r="F76" s="850"/>
      <c r="G76" s="26">
        <f>ROUND(SUM(G71+G73),2)</f>
        <v>11.56</v>
      </c>
      <c r="H76" s="269" t="e">
        <f>SUMIF(#REF!,$B67,#REF!)</f>
        <v>#REF!</v>
      </c>
      <c r="J76" s="47"/>
      <c r="K76" s="24"/>
      <c r="L76" s="25"/>
      <c r="M76" s="850" t="str">
        <f>'Obrazac kalkulacije'!$E$18</f>
        <v>Ukupno (kn):</v>
      </c>
      <c r="N76" s="850"/>
      <c r="O76" s="26">
        <f>ROUND(SUM(O71+O73),2)</f>
        <v>13.66</v>
      </c>
    </row>
    <row r="77" spans="1:15" ht="25.15" customHeight="1" thickTop="1" thickBot="1">
      <c r="E77" s="27" t="str">
        <f>'Obrazac kalkulacije'!$E$19</f>
        <v>PDV:</v>
      </c>
      <c r="F77" s="259">
        <f>'Obrazac kalkulacije'!$F$19</f>
        <v>0.25</v>
      </c>
      <c r="G77" s="29">
        <f>G76*F77</f>
        <v>2.89</v>
      </c>
      <c r="H77" s="270" t="e">
        <f>H76-G76</f>
        <v>#REF!</v>
      </c>
      <c r="M77" s="27" t="str">
        <f>'Obrazac kalkulacije'!$E$19</f>
        <v>PDV:</v>
      </c>
      <c r="N77" s="259">
        <f>'Obrazac kalkulacije'!$F$19</f>
        <v>0.25</v>
      </c>
      <c r="O77" s="29">
        <f>O76*N77</f>
        <v>3.415</v>
      </c>
    </row>
    <row r="78" spans="1:15" ht="25.15" customHeight="1" thickTop="1" thickBot="1">
      <c r="E78" s="840" t="str">
        <f>'Obrazac kalkulacije'!$E$20</f>
        <v>Sveukupno (kn):</v>
      </c>
      <c r="F78" s="840"/>
      <c r="G78" s="29">
        <f>ROUND(SUM(G76:G77),2)</f>
        <v>14.45</v>
      </c>
      <c r="H78" s="271" t="e">
        <f>G74+H77</f>
        <v>#REF!</v>
      </c>
      <c r="M78" s="840" t="str">
        <f>'Obrazac kalkulacije'!$E$20</f>
        <v>Sveukupno (kn):</v>
      </c>
      <c r="N78" s="840"/>
      <c r="O78" s="29">
        <f>ROUND(SUM(O76:O77),2)</f>
        <v>17.079999999999998</v>
      </c>
    </row>
    <row r="79" spans="1:15" ht="15" customHeight="1" thickTop="1"/>
    <row r="80" spans="1:15" ht="15" customHeight="1"/>
    <row r="81" spans="1:15" ht="15" customHeight="1"/>
    <row r="82" spans="1:15" ht="15" customHeight="1">
      <c r="C82" s="3" t="str">
        <f>'Obrazac kalkulacije'!$C$24</f>
        <v>IZVODITELJ:</v>
      </c>
      <c r="F82" s="841" t="str">
        <f>'Obrazac kalkulacije'!$F$24</f>
        <v>NARUČITELJ:</v>
      </c>
      <c r="G82" s="841"/>
      <c r="K82" s="3" t="str">
        <f>'Obrazac kalkulacije'!$C$24</f>
        <v>IZVODITELJ:</v>
      </c>
      <c r="N82" s="841" t="str">
        <f>'Obrazac kalkulacije'!$F$24</f>
        <v>NARUČITELJ:</v>
      </c>
      <c r="O82" s="841"/>
    </row>
    <row r="83" spans="1:15" ht="25.15" customHeight="1">
      <c r="C83" s="3" t="str">
        <f>'Obrazac kalkulacije'!$C$25</f>
        <v>__________________</v>
      </c>
      <c r="F83" s="841" t="str">
        <f>'Obrazac kalkulacije'!$F$25</f>
        <v>___________________</v>
      </c>
      <c r="G83" s="841"/>
      <c r="K83" s="3" t="str">
        <f>'Obrazac kalkulacije'!$C$25</f>
        <v>__________________</v>
      </c>
      <c r="N83" s="841" t="str">
        <f>'Obrazac kalkulacije'!$F$25</f>
        <v>___________________</v>
      </c>
      <c r="O83" s="841"/>
    </row>
    <row r="84" spans="1:15" ht="15" customHeight="1">
      <c r="F84" s="841"/>
      <c r="G84" s="841"/>
      <c r="N84" s="841"/>
      <c r="O84" s="841"/>
    </row>
    <row r="85" spans="1:15" ht="15" customHeight="1"/>
    <row r="86" spans="1:15" ht="15" customHeight="1">
      <c r="A86" s="144"/>
      <c r="B86" s="145" t="s">
        <v>615</v>
      </c>
      <c r="C86" s="836" t="s">
        <v>616</v>
      </c>
      <c r="D86" s="836"/>
      <c r="E86" s="836"/>
      <c r="F86" s="836"/>
      <c r="G86" s="836"/>
      <c r="I86" s="144"/>
      <c r="J86" s="145" t="s">
        <v>615</v>
      </c>
      <c r="K86" s="836" t="s">
        <v>616</v>
      </c>
      <c r="L86" s="836"/>
      <c r="M86" s="836"/>
      <c r="N86" s="836"/>
      <c r="O86" s="836"/>
    </row>
    <row r="87" spans="1:15" ht="15" customHeight="1">
      <c r="A87" s="38"/>
      <c r="B87" s="39" t="s">
        <v>617</v>
      </c>
      <c r="C87" s="860" t="s">
        <v>618</v>
      </c>
      <c r="D87" s="860"/>
      <c r="E87" s="860"/>
      <c r="F87" s="860"/>
      <c r="G87" s="860"/>
      <c r="I87" s="38"/>
      <c r="J87" s="39" t="s">
        <v>617</v>
      </c>
      <c r="K87" s="860" t="s">
        <v>618</v>
      </c>
      <c r="L87" s="860"/>
      <c r="M87" s="860"/>
      <c r="N87" s="860"/>
      <c r="O87" s="860"/>
    </row>
    <row r="88" spans="1:15" ht="150" customHeight="1">
      <c r="A88" s="40"/>
      <c r="B88" s="556" t="s">
        <v>636</v>
      </c>
      <c r="C88" s="852" t="s">
        <v>637</v>
      </c>
      <c r="D88" s="852"/>
      <c r="E88" s="852"/>
      <c r="F88" s="852"/>
      <c r="G88" s="852"/>
      <c r="I88" s="40"/>
      <c r="J88" s="41" t="s">
        <v>636</v>
      </c>
      <c r="K88" s="869" t="s">
        <v>637</v>
      </c>
      <c r="L88" s="869"/>
      <c r="M88" s="869"/>
      <c r="N88" s="869"/>
      <c r="O88" s="869"/>
    </row>
    <row r="89" spans="1:15" ht="15" customHeight="1" thickBot="1"/>
    <row r="90" spans="1:15" ht="30" customHeight="1" thickTop="1" thickBot="1">
      <c r="A90" s="10"/>
      <c r="B90" s="835" t="str">
        <f>'Obrazac kalkulacije'!$B$6:$C$6</f>
        <v>Opis</v>
      </c>
      <c r="C90" s="835"/>
      <c r="D90" s="10" t="str">
        <f>'Obrazac kalkulacije'!$D$6</f>
        <v>Jed.
mjere</v>
      </c>
      <c r="E90" s="10" t="str">
        <f>'Obrazac kalkulacije'!$E$6</f>
        <v>Normativ</v>
      </c>
      <c r="F90" s="10" t="str">
        <f>'Obrazac kalkulacije'!$F$6</f>
        <v>Jed.
cijena</v>
      </c>
      <c r="G90" s="10" t="str">
        <f>'Obrazac kalkulacije'!$G$6</f>
        <v>Iznos</v>
      </c>
      <c r="I90" s="10"/>
      <c r="J90" s="835" t="e">
        <f>'Obrazac kalkulacije'!$B$6:$C$6</f>
        <v>#VALUE!</v>
      </c>
      <c r="K90" s="835"/>
      <c r="L90" s="10" t="str">
        <f>'Obrazac kalkulacije'!$D$6</f>
        <v>Jed.
mjere</v>
      </c>
      <c r="M90" s="10" t="str">
        <f>'Obrazac kalkulacije'!$E$6</f>
        <v>Normativ</v>
      </c>
      <c r="N90" s="10" t="str">
        <f>'Obrazac kalkulacije'!$F$6</f>
        <v>Jed.
cijena</v>
      </c>
      <c r="O90" s="10" t="str">
        <f>'Obrazac kalkulacije'!$G$6</f>
        <v>Iznos</v>
      </c>
    </row>
    <row r="91" spans="1:15" ht="4.5" customHeight="1" thickTop="1">
      <c r="B91" s="42"/>
      <c r="C91" s="1"/>
      <c r="D91" s="11"/>
      <c r="E91" s="13"/>
      <c r="F91" s="258"/>
      <c r="G91" s="15"/>
      <c r="J91" s="42"/>
      <c r="K91" s="1"/>
      <c r="L91" s="11"/>
      <c r="M91" s="13"/>
      <c r="N91" s="258"/>
      <c r="O91" s="15"/>
    </row>
    <row r="92" spans="1:15" ht="25.15" customHeight="1">
      <c r="A92" s="16"/>
      <c r="B92" s="837" t="s">
        <v>565</v>
      </c>
      <c r="C92" s="837"/>
      <c r="D92" s="16"/>
      <c r="E92" s="16"/>
      <c r="F92" s="44"/>
      <c r="G92" s="18">
        <f>SUM(G93:G93)</f>
        <v>98.54</v>
      </c>
      <c r="I92" s="16"/>
      <c r="J92" s="837" t="s">
        <v>565</v>
      </c>
      <c r="K92" s="837"/>
      <c r="L92" s="16"/>
      <c r="M92" s="16"/>
      <c r="N92" s="44"/>
      <c r="O92" s="18">
        <f>SUM(O93:O93)</f>
        <v>98.54</v>
      </c>
    </row>
    <row r="93" spans="1:15" ht="25.15" customHeight="1">
      <c r="A93" s="32"/>
      <c r="B93" s="838" t="s">
        <v>53</v>
      </c>
      <c r="C93" s="838"/>
      <c r="D93" s="33" t="s">
        <v>51</v>
      </c>
      <c r="E93" s="34">
        <v>1</v>
      </c>
      <c r="F93" s="238">
        <f>SUMIF('Cjenik RS'!$C$11:$C$26,$B93,'Cjenik RS'!$D$11:$D$90)</f>
        <v>98.54</v>
      </c>
      <c r="G93" s="35">
        <f>E93*F93</f>
        <v>98.54</v>
      </c>
      <c r="I93" s="32"/>
      <c r="J93" s="838" t="s">
        <v>53</v>
      </c>
      <c r="K93" s="838"/>
      <c r="L93" s="33" t="s">
        <v>51</v>
      </c>
      <c r="M93" s="34">
        <v>1</v>
      </c>
      <c r="N93" s="238">
        <f>SUMIF('Cjenik RS'!$C$11:$C$26,J93,'Cjenik RS'!$D$11:$D$90)</f>
        <v>98.54</v>
      </c>
      <c r="O93" s="35">
        <f>M93*N93</f>
        <v>98.54</v>
      </c>
    </row>
    <row r="94" spans="1:15" ht="25.15" customHeight="1">
      <c r="A94" s="16"/>
      <c r="B94" s="837" t="s">
        <v>566</v>
      </c>
      <c r="C94" s="837"/>
      <c r="D94" s="16"/>
      <c r="E94" s="16"/>
      <c r="F94" s="238"/>
      <c r="G94" s="18">
        <f>SUM(G95:G95)</f>
        <v>2.8983847999999997</v>
      </c>
      <c r="I94" s="16"/>
      <c r="J94" s="837" t="s">
        <v>566</v>
      </c>
      <c r="K94" s="837"/>
      <c r="L94" s="16"/>
      <c r="M94" s="16"/>
      <c r="N94" s="238"/>
      <c r="O94" s="18">
        <f>SUM(O95:O95)</f>
        <v>2.8983847999999997</v>
      </c>
    </row>
    <row r="95" spans="1:15" ht="25.15" customHeight="1" thickBot="1">
      <c r="A95" s="43"/>
      <c r="B95" s="864" t="s">
        <v>69</v>
      </c>
      <c r="C95" s="864"/>
      <c r="D95" s="62" t="s">
        <v>51</v>
      </c>
      <c r="E95" s="63">
        <v>1.6138E-2</v>
      </c>
      <c r="F95" s="261">
        <f>SUMIF('Cjenik VSO'!$B$9:$B$85,$B95,'Cjenik VSO'!$C$9:$C$85)</f>
        <v>179.6</v>
      </c>
      <c r="G95" s="65">
        <f>E95*F95</f>
        <v>2.8983847999999997</v>
      </c>
      <c r="I95" s="43"/>
      <c r="J95" s="864" t="s">
        <v>69</v>
      </c>
      <c r="K95" s="864"/>
      <c r="L95" s="62" t="s">
        <v>51</v>
      </c>
      <c r="M95" s="63">
        <v>1.6138E-2</v>
      </c>
      <c r="N95" s="261">
        <f>SUMIF('Cjenik VSO'!$B$9:$B$85,$B95,'Cjenik VSO'!$C$9:$C$85)</f>
        <v>179.6</v>
      </c>
      <c r="O95" s="65">
        <f>M95*N95</f>
        <v>2.8983847999999997</v>
      </c>
    </row>
    <row r="96" spans="1:15" ht="25.15" customHeight="1" thickTop="1" thickBot="1">
      <c r="B96" s="47"/>
      <c r="C96" s="24"/>
      <c r="D96" s="25"/>
      <c r="E96" s="850" t="str">
        <f>'Obrazac kalkulacije'!$E$18</f>
        <v>Ukupno (kn):</v>
      </c>
      <c r="F96" s="850"/>
      <c r="G96" s="26">
        <f>ROUND(SUM(G92+G94),2)</f>
        <v>101.44</v>
      </c>
      <c r="H96" s="269" t="e">
        <f>SUMIF(#REF!,$B88,#REF!)</f>
        <v>#REF!</v>
      </c>
      <c r="J96" s="47"/>
      <c r="K96" s="24"/>
      <c r="L96" s="25"/>
      <c r="M96" s="850" t="str">
        <f>'Obrazac kalkulacije'!$E$18</f>
        <v>Ukupno (kn):</v>
      </c>
      <c r="N96" s="850"/>
      <c r="O96" s="26">
        <f>ROUND(SUM(O92+O94),2)</f>
        <v>101.44</v>
      </c>
    </row>
    <row r="97" spans="1:15" ht="25.15" customHeight="1" thickTop="1" thickBot="1">
      <c r="E97" s="27" t="str">
        <f>'Obrazac kalkulacije'!$E$19</f>
        <v>PDV:</v>
      </c>
      <c r="F97" s="259">
        <f>'Obrazac kalkulacije'!$F$19</f>
        <v>0.25</v>
      </c>
      <c r="G97" s="29">
        <f>G96*F97</f>
        <v>25.36</v>
      </c>
      <c r="H97" s="270" t="e">
        <f>H96-G96</f>
        <v>#REF!</v>
      </c>
      <c r="M97" s="27" t="str">
        <f>'Obrazac kalkulacije'!$E$19</f>
        <v>PDV:</v>
      </c>
      <c r="N97" s="259">
        <f>'Obrazac kalkulacije'!$F$19</f>
        <v>0.25</v>
      </c>
      <c r="O97" s="29">
        <f>O96*N97</f>
        <v>25.36</v>
      </c>
    </row>
    <row r="98" spans="1:15" ht="25.15" customHeight="1" thickTop="1" thickBot="1">
      <c r="E98" s="840" t="str">
        <f>'Obrazac kalkulacije'!$E$20</f>
        <v>Sveukupno (kn):</v>
      </c>
      <c r="F98" s="840"/>
      <c r="G98" s="29">
        <f>ROUND(SUM(G96:G97),2)</f>
        <v>126.8</v>
      </c>
      <c r="H98" s="271" t="e">
        <f>G94+H97</f>
        <v>#REF!</v>
      </c>
      <c r="M98" s="840" t="str">
        <f>'Obrazac kalkulacije'!$E$20</f>
        <v>Sveukupno (kn):</v>
      </c>
      <c r="N98" s="840"/>
      <c r="O98" s="29">
        <f>ROUND(SUM(O96:O97),2)</f>
        <v>126.8</v>
      </c>
    </row>
    <row r="99" spans="1:15" ht="15" customHeight="1" thickTop="1"/>
    <row r="100" spans="1:15" ht="15" customHeight="1"/>
    <row r="101" spans="1:15" ht="15" customHeight="1"/>
    <row r="102" spans="1:15" ht="15" customHeight="1">
      <c r="C102" s="3" t="str">
        <f>'Obrazac kalkulacije'!$C$24</f>
        <v>IZVODITELJ:</v>
      </c>
      <c r="F102" s="841" t="str">
        <f>'Obrazac kalkulacije'!$F$24</f>
        <v>NARUČITELJ:</v>
      </c>
      <c r="G102" s="841"/>
      <c r="K102" s="3" t="str">
        <f>'Obrazac kalkulacije'!$C$24</f>
        <v>IZVODITELJ:</v>
      </c>
      <c r="N102" s="841" t="str">
        <f>'Obrazac kalkulacije'!$F$24</f>
        <v>NARUČITELJ:</v>
      </c>
      <c r="O102" s="841"/>
    </row>
    <row r="103" spans="1:15" ht="25.15" customHeight="1">
      <c r="C103" s="3" t="str">
        <f>'Obrazac kalkulacije'!$C$25</f>
        <v>__________________</v>
      </c>
      <c r="F103" s="841" t="str">
        <f>'Obrazac kalkulacije'!$F$25</f>
        <v>___________________</v>
      </c>
      <c r="G103" s="841"/>
      <c r="K103" s="3" t="str">
        <f>'Obrazac kalkulacije'!$C$25</f>
        <v>__________________</v>
      </c>
      <c r="N103" s="841" t="str">
        <f>'Obrazac kalkulacije'!$F$25</f>
        <v>___________________</v>
      </c>
      <c r="O103" s="841"/>
    </row>
    <row r="104" spans="1:15" ht="15" customHeight="1">
      <c r="F104" s="841"/>
      <c r="G104" s="841"/>
      <c r="N104" s="841"/>
      <c r="O104" s="841"/>
    </row>
    <row r="105" spans="1:15" ht="15" customHeight="1"/>
    <row r="106" spans="1:15" ht="15" customHeight="1">
      <c r="A106" s="144"/>
      <c r="B106" s="145" t="s">
        <v>615</v>
      </c>
      <c r="C106" s="836" t="s">
        <v>616</v>
      </c>
      <c r="D106" s="836"/>
      <c r="E106" s="836"/>
      <c r="F106" s="836"/>
      <c r="G106" s="836"/>
      <c r="I106" s="144"/>
      <c r="J106" s="145" t="s">
        <v>615</v>
      </c>
      <c r="K106" s="836" t="s">
        <v>616</v>
      </c>
      <c r="L106" s="836"/>
      <c r="M106" s="836"/>
      <c r="N106" s="836"/>
      <c r="O106" s="836"/>
    </row>
    <row r="107" spans="1:15" ht="15" customHeight="1">
      <c r="A107" s="38"/>
      <c r="B107" s="39" t="s">
        <v>617</v>
      </c>
      <c r="C107" s="860" t="s">
        <v>618</v>
      </c>
      <c r="D107" s="860"/>
      <c r="E107" s="860"/>
      <c r="F107" s="860"/>
      <c r="G107" s="860"/>
      <c r="I107" s="38"/>
      <c r="J107" s="39" t="s">
        <v>617</v>
      </c>
      <c r="K107" s="860" t="s">
        <v>618</v>
      </c>
      <c r="L107" s="860"/>
      <c r="M107" s="860"/>
      <c r="N107" s="860"/>
      <c r="O107" s="860"/>
    </row>
    <row r="108" spans="1:15" ht="150" customHeight="1">
      <c r="A108" s="40"/>
      <c r="B108" s="556" t="s">
        <v>638</v>
      </c>
      <c r="C108" s="852" t="s">
        <v>639</v>
      </c>
      <c r="D108" s="852"/>
      <c r="E108" s="852"/>
      <c r="F108" s="852"/>
      <c r="G108" s="852"/>
      <c r="I108" s="40"/>
      <c r="J108" s="41" t="s">
        <v>638</v>
      </c>
      <c r="K108" s="869" t="s">
        <v>640</v>
      </c>
      <c r="L108" s="869"/>
      <c r="M108" s="869"/>
      <c r="N108" s="869"/>
      <c r="O108" s="869"/>
    </row>
    <row r="109" spans="1:15" ht="15" customHeight="1" thickBot="1"/>
    <row r="110" spans="1:15" ht="30" customHeight="1" thickTop="1" thickBot="1">
      <c r="A110" s="10"/>
      <c r="B110" s="835" t="str">
        <f>'Obrazac kalkulacije'!$B$6:$C$6</f>
        <v>Opis</v>
      </c>
      <c r="C110" s="835"/>
      <c r="D110" s="10" t="str">
        <f>'Obrazac kalkulacije'!$D$6</f>
        <v>Jed.
mjere</v>
      </c>
      <c r="E110" s="10" t="str">
        <f>'Obrazac kalkulacije'!$E$6</f>
        <v>Normativ</v>
      </c>
      <c r="F110" s="10" t="str">
        <f>'Obrazac kalkulacije'!$F$6</f>
        <v>Jed.
cijena</v>
      </c>
      <c r="G110" s="10" t="str">
        <f>'Obrazac kalkulacije'!$G$6</f>
        <v>Iznos</v>
      </c>
      <c r="I110" s="10"/>
      <c r="J110" s="835" t="e">
        <f>'Obrazac kalkulacije'!$B$6:$C$6</f>
        <v>#VALUE!</v>
      </c>
      <c r="K110" s="835"/>
      <c r="L110" s="10" t="str">
        <f>'Obrazac kalkulacije'!$D$6</f>
        <v>Jed.
mjere</v>
      </c>
      <c r="M110" s="10" t="str">
        <f>'Obrazac kalkulacije'!$E$6</f>
        <v>Normativ</v>
      </c>
      <c r="N110" s="10" t="str">
        <f>'Obrazac kalkulacije'!$F$6</f>
        <v>Jed.
cijena</v>
      </c>
      <c r="O110" s="10" t="str">
        <f>'Obrazac kalkulacije'!$G$6</f>
        <v>Iznos</v>
      </c>
    </row>
    <row r="111" spans="1:15" ht="4.5" customHeight="1" thickTop="1">
      <c r="B111" s="42"/>
      <c r="C111" s="1"/>
      <c r="D111" s="11"/>
      <c r="E111" s="13"/>
      <c r="F111" s="258"/>
      <c r="G111" s="15"/>
      <c r="J111" s="42"/>
      <c r="K111" s="1"/>
      <c r="L111" s="11"/>
      <c r="M111" s="13"/>
      <c r="N111" s="258"/>
      <c r="O111" s="15"/>
    </row>
    <row r="112" spans="1:15" ht="25.15" customHeight="1">
      <c r="A112" s="16"/>
      <c r="B112" s="837" t="s">
        <v>565</v>
      </c>
      <c r="C112" s="837"/>
      <c r="D112" s="16"/>
      <c r="E112" s="16"/>
      <c r="F112" s="44"/>
      <c r="G112" s="18">
        <f>SUM(G113:G113)</f>
        <v>98.54</v>
      </c>
      <c r="I112" s="16"/>
      <c r="J112" s="837" t="s">
        <v>565</v>
      </c>
      <c r="K112" s="837"/>
      <c r="L112" s="16"/>
      <c r="M112" s="16"/>
      <c r="N112" s="44"/>
      <c r="O112" s="18">
        <f>SUM(O113:O113)</f>
        <v>98.54</v>
      </c>
    </row>
    <row r="113" spans="1:15" ht="25.15" customHeight="1">
      <c r="A113" s="19"/>
      <c r="B113" s="838" t="s">
        <v>53</v>
      </c>
      <c r="C113" s="838"/>
      <c r="D113" s="33" t="s">
        <v>51</v>
      </c>
      <c r="E113" s="34">
        <v>1</v>
      </c>
      <c r="F113" s="238">
        <f>SUMIF('Cjenik RS'!$C$11:$C$26,$B113,'Cjenik RS'!$D$11:$D$90)</f>
        <v>98.54</v>
      </c>
      <c r="G113" s="35">
        <f>E113*F113</f>
        <v>98.54</v>
      </c>
      <c r="I113" s="19"/>
      <c r="J113" s="838" t="s">
        <v>53</v>
      </c>
      <c r="K113" s="838"/>
      <c r="L113" s="33" t="s">
        <v>51</v>
      </c>
      <c r="M113" s="34">
        <v>1</v>
      </c>
      <c r="N113" s="238">
        <f>SUMIF('Cjenik RS'!$C$11:$C$26,J113,'Cjenik RS'!$D$11:$D$90)</f>
        <v>98.54</v>
      </c>
      <c r="O113" s="35">
        <f>M113*N113</f>
        <v>98.54</v>
      </c>
    </row>
    <row r="114" spans="1:15" ht="25.15" customHeight="1" thickTop="1" thickBot="1">
      <c r="B114" s="47"/>
      <c r="C114" s="24"/>
      <c r="D114" s="25"/>
      <c r="E114" s="850" t="str">
        <f>'Obrazac kalkulacije'!$E$18</f>
        <v>Ukupno (kn):</v>
      </c>
      <c r="F114" s="850"/>
      <c r="G114" s="26">
        <f>ROUND(SUM(G112),2)</f>
        <v>98.54</v>
      </c>
      <c r="J114" s="47"/>
      <c r="K114" s="24"/>
      <c r="L114" s="25"/>
      <c r="M114" s="850" t="str">
        <f>'Obrazac kalkulacije'!$E$18</f>
        <v>Ukupno (kn):</v>
      </c>
      <c r="N114" s="850"/>
      <c r="O114" s="26">
        <f>ROUND(SUM(O112),2)</f>
        <v>98.54</v>
      </c>
    </row>
    <row r="115" spans="1:15" ht="25.15" customHeight="1" thickTop="1" thickBot="1">
      <c r="E115" s="27" t="str">
        <f>'Obrazac kalkulacije'!$E$19</f>
        <v>PDV:</v>
      </c>
      <c r="F115" s="259">
        <f>'Obrazac kalkulacije'!$F$19</f>
        <v>0.25</v>
      </c>
      <c r="G115" s="29">
        <f>G114*F115</f>
        <v>24.635000000000002</v>
      </c>
      <c r="M115" s="27" t="str">
        <f>'Obrazac kalkulacije'!$E$19</f>
        <v>PDV:</v>
      </c>
      <c r="N115" s="259">
        <f>'Obrazac kalkulacije'!$F$19</f>
        <v>0.25</v>
      </c>
      <c r="O115" s="29">
        <f>O114*N115</f>
        <v>24.635000000000002</v>
      </c>
    </row>
    <row r="116" spans="1:15" ht="25.15" customHeight="1" thickTop="1" thickBot="1">
      <c r="E116" s="840" t="str">
        <f>'Obrazac kalkulacije'!$E$20</f>
        <v>Sveukupno (kn):</v>
      </c>
      <c r="F116" s="840"/>
      <c r="G116" s="29">
        <f>ROUND(SUM(G114:G115),2)</f>
        <v>123.18</v>
      </c>
      <c r="M116" s="840" t="str">
        <f>'Obrazac kalkulacije'!$E$20</f>
        <v>Sveukupno (kn):</v>
      </c>
      <c r="N116" s="840"/>
      <c r="O116" s="29">
        <f>ROUND(SUM(O114:O115),2)</f>
        <v>123.18</v>
      </c>
    </row>
    <row r="117" spans="1:15" ht="15" customHeight="1" thickTop="1"/>
    <row r="118" spans="1:15" ht="15" customHeight="1"/>
    <row r="119" spans="1:15" ht="15" customHeight="1"/>
    <row r="120" spans="1:15" ht="15" customHeight="1">
      <c r="C120" s="3" t="str">
        <f>'Obrazac kalkulacije'!$C$24</f>
        <v>IZVODITELJ:</v>
      </c>
      <c r="F120" s="841" t="str">
        <f>'Obrazac kalkulacije'!$F$24</f>
        <v>NARUČITELJ:</v>
      </c>
      <c r="G120" s="841"/>
      <c r="K120" s="3" t="str">
        <f>'Obrazac kalkulacije'!$C$24</f>
        <v>IZVODITELJ:</v>
      </c>
      <c r="N120" s="841" t="str">
        <f>'Obrazac kalkulacije'!$F$24</f>
        <v>NARUČITELJ:</v>
      </c>
      <c r="O120" s="841"/>
    </row>
    <row r="121" spans="1:15" ht="25.15" customHeight="1">
      <c r="C121" s="3" t="str">
        <f>'Obrazac kalkulacije'!$C$25</f>
        <v>__________________</v>
      </c>
      <c r="F121" s="841" t="str">
        <f>'Obrazac kalkulacije'!$F$25</f>
        <v>___________________</v>
      </c>
      <c r="G121" s="841"/>
      <c r="K121" s="3" t="str">
        <f>'Obrazac kalkulacije'!$C$25</f>
        <v>__________________</v>
      </c>
      <c r="N121" s="841" t="str">
        <f>'Obrazac kalkulacije'!$F$25</f>
        <v>___________________</v>
      </c>
      <c r="O121" s="841"/>
    </row>
    <row r="122" spans="1:15" ht="15" customHeight="1">
      <c r="F122" s="841"/>
      <c r="G122" s="841"/>
      <c r="N122" s="841"/>
      <c r="O122" s="841"/>
    </row>
    <row r="123" spans="1:15" ht="15" customHeight="1"/>
    <row r="124" spans="1:15" ht="15" customHeight="1">
      <c r="A124" s="144"/>
      <c r="B124" s="145" t="s">
        <v>615</v>
      </c>
      <c r="C124" s="836" t="s">
        <v>616</v>
      </c>
      <c r="D124" s="836"/>
      <c r="E124" s="836"/>
      <c r="F124" s="836"/>
      <c r="G124" s="836"/>
      <c r="I124" s="144"/>
      <c r="J124" s="145" t="s">
        <v>615</v>
      </c>
      <c r="K124" s="836" t="s">
        <v>616</v>
      </c>
      <c r="L124" s="836"/>
      <c r="M124" s="836"/>
      <c r="N124" s="836"/>
      <c r="O124" s="836"/>
    </row>
    <row r="125" spans="1:15" ht="15" customHeight="1">
      <c r="A125" s="38"/>
      <c r="B125" s="39" t="s">
        <v>617</v>
      </c>
      <c r="C125" s="860" t="s">
        <v>618</v>
      </c>
      <c r="D125" s="860"/>
      <c r="E125" s="860"/>
      <c r="F125" s="860"/>
      <c r="G125" s="860"/>
      <c r="I125" s="38"/>
      <c r="J125" s="39" t="s">
        <v>617</v>
      </c>
      <c r="K125" s="860" t="s">
        <v>618</v>
      </c>
      <c r="L125" s="860"/>
      <c r="M125" s="860"/>
      <c r="N125" s="860"/>
      <c r="O125" s="860"/>
    </row>
    <row r="126" spans="1:15" ht="150" customHeight="1">
      <c r="A126" s="40"/>
      <c r="B126" s="556" t="s">
        <v>641</v>
      </c>
      <c r="C126" s="852" t="s">
        <v>642</v>
      </c>
      <c r="D126" s="852"/>
      <c r="E126" s="852"/>
      <c r="F126" s="852"/>
      <c r="G126" s="852"/>
      <c r="I126" s="40"/>
      <c r="J126" s="41" t="s">
        <v>641</v>
      </c>
      <c r="K126" s="869" t="s">
        <v>643</v>
      </c>
      <c r="L126" s="869"/>
      <c r="M126" s="869"/>
      <c r="N126" s="869"/>
      <c r="O126" s="869"/>
    </row>
    <row r="127" spans="1:15" ht="15" customHeight="1" thickBot="1">
      <c r="A127" s="277"/>
      <c r="B127" s="278"/>
      <c r="C127" s="279"/>
      <c r="D127" s="280"/>
      <c r="E127" s="281"/>
      <c r="F127" s="283"/>
      <c r="G127" s="282"/>
    </row>
    <row r="128" spans="1:15" ht="30" customHeight="1" thickTop="1" thickBot="1">
      <c r="A128" s="10"/>
      <c r="B128" s="99">
        <v>0</v>
      </c>
      <c r="C128" s="100" t="s">
        <v>624</v>
      </c>
      <c r="D128" s="10" t="s">
        <v>625</v>
      </c>
      <c r="E128" s="10" t="s">
        <v>626</v>
      </c>
      <c r="F128" s="10" t="s">
        <v>627</v>
      </c>
      <c r="G128" s="10" t="s">
        <v>628</v>
      </c>
    </row>
    <row r="129" spans="1:15" ht="4.5" customHeight="1" thickTop="1">
      <c r="B129" s="42"/>
      <c r="C129" s="1"/>
      <c r="D129" s="11"/>
      <c r="E129" s="13"/>
      <c r="F129" s="258"/>
      <c r="G129" s="15"/>
    </row>
    <row r="130" spans="1:15" ht="25.15" customHeight="1">
      <c r="A130" s="16"/>
      <c r="B130" s="837" t="s">
        <v>565</v>
      </c>
      <c r="C130" s="837"/>
      <c r="D130" s="16"/>
      <c r="E130" s="16"/>
      <c r="F130" s="44"/>
      <c r="G130" s="18">
        <f>SUM(G131:G131)</f>
        <v>98.54</v>
      </c>
    </row>
    <row r="131" spans="1:15" ht="25.15" customHeight="1">
      <c r="A131" s="32"/>
      <c r="B131" s="838" t="s">
        <v>53</v>
      </c>
      <c r="C131" s="838"/>
      <c r="D131" s="33" t="s">
        <v>51</v>
      </c>
      <c r="E131" s="34">
        <v>1</v>
      </c>
      <c r="F131" s="238">
        <f>SUMIF('Cjenik RS'!$C$11:$C$26,$B131,'Cjenik RS'!$D$11:$D$90)</f>
        <v>98.54</v>
      </c>
      <c r="G131" s="35">
        <f>E131*F131</f>
        <v>98.54</v>
      </c>
      <c r="N131" s="238">
        <f>SUMIF('Cjenik RS'!$C$11:$C$26,J131,'Cjenik RS'!$D$11:$D$90)</f>
        <v>0</v>
      </c>
    </row>
    <row r="132" spans="1:15" ht="25.15" customHeight="1">
      <c r="A132" s="16"/>
      <c r="B132" s="837" t="s">
        <v>566</v>
      </c>
      <c r="C132" s="837"/>
      <c r="D132" s="16"/>
      <c r="E132" s="16"/>
      <c r="F132" s="238"/>
      <c r="G132" s="18">
        <f>SUM(G133:G135)</f>
        <v>457.63</v>
      </c>
    </row>
    <row r="133" spans="1:15" ht="25.15" customHeight="1">
      <c r="A133" s="51"/>
      <c r="B133" s="863" t="s">
        <v>644</v>
      </c>
      <c r="C133" s="863"/>
      <c r="D133" s="52" t="s">
        <v>51</v>
      </c>
      <c r="E133" s="53">
        <v>1</v>
      </c>
      <c r="F133" s="260">
        <f>SUMIF('Cjenik VSO'!$B$9:$B$85,$B133,'Cjenik VSO'!$C$9:$C$85)</f>
        <v>165.91</v>
      </c>
      <c r="G133" s="55">
        <f>E133*F133</f>
        <v>165.91</v>
      </c>
    </row>
    <row r="134" spans="1:15" ht="25.15" customHeight="1">
      <c r="A134" s="56"/>
      <c r="B134" s="834" t="s">
        <v>73</v>
      </c>
      <c r="C134" s="834"/>
      <c r="D134" s="57" t="s">
        <v>51</v>
      </c>
      <c r="E134" s="58">
        <v>1</v>
      </c>
      <c r="F134" s="263">
        <f>SUMIF('Cjenik VSO'!$B$9:$B$85,$B134,'Cjenik VSO'!$C$9:$C$85)</f>
        <v>291.72000000000003</v>
      </c>
      <c r="G134" s="60">
        <f>E134*F134</f>
        <v>291.72000000000003</v>
      </c>
    </row>
    <row r="135" spans="1:15" ht="25.15" customHeight="1">
      <c r="A135" s="61"/>
      <c r="B135" s="864"/>
      <c r="C135" s="864"/>
      <c r="D135" s="62" t="s">
        <v>51</v>
      </c>
      <c r="E135" s="63"/>
      <c r="F135" s="261">
        <f>SUMIF('Cjenik VSO'!$B$9:$B$85,$B135,'Cjenik VSO'!$C$9:$C$85)</f>
        <v>0</v>
      </c>
      <c r="G135" s="65">
        <f>E135*F135</f>
        <v>0</v>
      </c>
    </row>
    <row r="136" spans="1:15" ht="25.15" customHeight="1">
      <c r="A136" s="88"/>
      <c r="B136" s="837" t="s">
        <v>630</v>
      </c>
      <c r="C136" s="837"/>
      <c r="D136" s="16"/>
      <c r="E136" s="16"/>
      <c r="F136" s="238"/>
      <c r="G136" s="18">
        <f>SUM(G137:G138)</f>
        <v>0</v>
      </c>
    </row>
    <row r="137" spans="1:15" ht="25.15" customHeight="1">
      <c r="A137" s="51"/>
      <c r="B137" s="863"/>
      <c r="C137" s="863"/>
      <c r="D137" s="52"/>
      <c r="E137" s="53"/>
      <c r="F137" s="260"/>
      <c r="G137" s="55">
        <f>E137*F137</f>
        <v>0</v>
      </c>
    </row>
    <row r="138" spans="1:15" ht="25.15" customHeight="1" thickBot="1">
      <c r="A138" s="66"/>
      <c r="B138" s="859"/>
      <c r="C138" s="859"/>
      <c r="D138" s="67"/>
      <c r="E138" s="68"/>
      <c r="F138" s="262"/>
      <c r="G138" s="70">
        <f>E138*F138</f>
        <v>0</v>
      </c>
      <c r="H138" s="1"/>
      <c r="I138" s="37"/>
      <c r="J138" s="2"/>
      <c r="K138" s="3"/>
      <c r="L138" s="4"/>
      <c r="M138" s="30"/>
      <c r="N138" s="5"/>
      <c r="O138" s="2"/>
    </row>
    <row r="139" spans="1:15" ht="25.15" customHeight="1" thickTop="1" thickBot="1">
      <c r="B139" s="47"/>
      <c r="C139" s="24"/>
      <c r="D139" s="25"/>
      <c r="E139" s="850" t="str">
        <f>'Obrazac kalkulacije'!$E$18</f>
        <v>Ukupno (kn):</v>
      </c>
      <c r="F139" s="850"/>
      <c r="G139" s="26">
        <f>ROUND(SUM(G130+G132+G136),2)</f>
        <v>556.16999999999996</v>
      </c>
      <c r="H139" s="1"/>
      <c r="I139" s="37"/>
      <c r="J139" s="2"/>
      <c r="K139" s="3"/>
      <c r="L139" s="4"/>
      <c r="M139" s="30"/>
      <c r="N139" s="5"/>
      <c r="O139" s="2"/>
    </row>
    <row r="140" spans="1:15" ht="25.15" customHeight="1" thickTop="1" thickBot="1">
      <c r="E140" s="27" t="str">
        <f>'Obrazac kalkulacije'!$E$19</f>
        <v>PDV:</v>
      </c>
      <c r="F140" s="259">
        <f>'Obrazac kalkulacije'!$F$19</f>
        <v>0.25</v>
      </c>
      <c r="G140" s="29">
        <f>G139*F140</f>
        <v>139.04249999999999</v>
      </c>
      <c r="H140" s="1"/>
      <c r="I140" s="37"/>
      <c r="J140" s="2"/>
      <c r="K140" s="3"/>
      <c r="L140" s="4"/>
      <c r="M140" s="30"/>
      <c r="N140" s="5"/>
      <c r="O140" s="2"/>
    </row>
    <row r="141" spans="1:15" ht="25.15" customHeight="1" thickTop="1" thickBot="1">
      <c r="E141" s="840" t="str">
        <f>'Obrazac kalkulacije'!$E$20</f>
        <v>Sveukupno (kn):</v>
      </c>
      <c r="F141" s="840"/>
      <c r="G141" s="29">
        <f>ROUND(SUM(G139:G140),2)</f>
        <v>695.21</v>
      </c>
      <c r="H141" s="1"/>
      <c r="I141" s="37"/>
      <c r="J141" s="2"/>
      <c r="K141" s="3"/>
      <c r="L141" s="4"/>
      <c r="M141" s="30"/>
      <c r="N141" s="5"/>
      <c r="O141" s="2"/>
    </row>
    <row r="142" spans="1:15" ht="15" customHeight="1" thickTop="1">
      <c r="A142" s="277"/>
      <c r="B142" s="278"/>
      <c r="C142" s="279"/>
      <c r="D142" s="280"/>
      <c r="E142" s="281"/>
      <c r="F142" s="283"/>
      <c r="G142" s="282"/>
    </row>
    <row r="143" spans="1:15" ht="15" customHeight="1">
      <c r="A143" s="277"/>
      <c r="B143" s="278"/>
      <c r="C143" s="279"/>
      <c r="D143" s="280"/>
      <c r="E143" s="281"/>
      <c r="F143" s="283"/>
      <c r="G143" s="282"/>
    </row>
    <row r="144" spans="1:15" ht="15" customHeight="1">
      <c r="A144" s="277"/>
      <c r="B144" s="278"/>
      <c r="C144" s="279"/>
      <c r="D144" s="280"/>
      <c r="E144" s="281"/>
      <c r="F144" s="283"/>
      <c r="G144" s="282"/>
    </row>
    <row r="145" spans="1:15" ht="15" customHeight="1">
      <c r="A145" s="277"/>
      <c r="B145" s="278"/>
      <c r="C145" s="3" t="str">
        <f>'Obrazac kalkulacije'!$C$24</f>
        <v>IZVODITELJ:</v>
      </c>
      <c r="F145" s="841" t="str">
        <f>'Obrazac kalkulacije'!$F$24</f>
        <v>NARUČITELJ:</v>
      </c>
      <c r="G145" s="841"/>
      <c r="K145" s="3" t="str">
        <f>'Obrazac kalkulacije'!$C$24</f>
        <v>IZVODITELJ:</v>
      </c>
      <c r="N145" s="841" t="str">
        <f>'Obrazac kalkulacije'!$F$24</f>
        <v>NARUČITELJ:</v>
      </c>
      <c r="O145" s="841"/>
    </row>
    <row r="146" spans="1:15" ht="25.15" customHeight="1">
      <c r="A146" s="277"/>
      <c r="B146" s="278"/>
      <c r="C146" s="3" t="str">
        <f>'Obrazac kalkulacije'!$C$25</f>
        <v>__________________</v>
      </c>
      <c r="F146" s="841" t="str">
        <f>'Obrazac kalkulacije'!$F$25</f>
        <v>___________________</v>
      </c>
      <c r="G146" s="841"/>
      <c r="K146" s="3" t="str">
        <f>'Obrazac kalkulacije'!$C$25</f>
        <v>__________________</v>
      </c>
      <c r="N146" s="841" t="str">
        <f>'Obrazac kalkulacije'!$F$25</f>
        <v>___________________</v>
      </c>
      <c r="O146" s="841"/>
    </row>
    <row r="147" spans="1:15" ht="15" customHeight="1">
      <c r="A147" s="277"/>
      <c r="B147" s="278"/>
      <c r="C147" s="279"/>
      <c r="D147" s="280"/>
      <c r="E147" s="281"/>
      <c r="F147" s="874"/>
      <c r="G147" s="874"/>
      <c r="N147" s="841"/>
      <c r="O147" s="841"/>
    </row>
    <row r="148" spans="1:15" ht="15" customHeight="1"/>
    <row r="149" spans="1:15" ht="15" customHeight="1">
      <c r="A149" s="144"/>
      <c r="B149" s="145" t="s">
        <v>615</v>
      </c>
      <c r="C149" s="836" t="s">
        <v>616</v>
      </c>
      <c r="D149" s="836"/>
      <c r="E149" s="836"/>
      <c r="F149" s="836"/>
      <c r="G149" s="836"/>
      <c r="I149" s="144"/>
      <c r="J149" s="145" t="s">
        <v>615</v>
      </c>
      <c r="K149" s="836" t="s">
        <v>616</v>
      </c>
      <c r="L149" s="836"/>
      <c r="M149" s="836"/>
      <c r="N149" s="836"/>
      <c r="O149" s="836"/>
    </row>
    <row r="150" spans="1:15" ht="15" customHeight="1">
      <c r="A150" s="38"/>
      <c r="B150" s="39" t="s">
        <v>617</v>
      </c>
      <c r="C150" s="860" t="s">
        <v>618</v>
      </c>
      <c r="D150" s="860"/>
      <c r="E150" s="860"/>
      <c r="F150" s="860"/>
      <c r="G150" s="860"/>
      <c r="I150" s="38"/>
      <c r="J150" s="39" t="s">
        <v>617</v>
      </c>
      <c r="K150" s="860" t="s">
        <v>618</v>
      </c>
      <c r="L150" s="860"/>
      <c r="M150" s="860"/>
      <c r="N150" s="860"/>
      <c r="O150" s="860"/>
    </row>
    <row r="151" spans="1:15" ht="150" customHeight="1">
      <c r="A151" s="9"/>
      <c r="B151" s="556" t="s">
        <v>645</v>
      </c>
      <c r="C151" s="852" t="s">
        <v>646</v>
      </c>
      <c r="D151" s="852"/>
      <c r="E151" s="852"/>
      <c r="F151" s="852"/>
      <c r="G151" s="852"/>
      <c r="I151" s="9"/>
      <c r="J151" s="41" t="s">
        <v>645</v>
      </c>
      <c r="K151" s="869" t="s">
        <v>647</v>
      </c>
      <c r="L151" s="869"/>
      <c r="M151" s="869"/>
      <c r="N151" s="869"/>
      <c r="O151" s="869"/>
    </row>
    <row r="152" spans="1:15" ht="15" customHeight="1" thickBot="1"/>
    <row r="153" spans="1:15" ht="30" customHeight="1" thickTop="1" thickBot="1">
      <c r="A153" s="10"/>
      <c r="B153" s="99">
        <v>0</v>
      </c>
      <c r="C153" s="100" t="s">
        <v>624</v>
      </c>
      <c r="D153" s="10" t="s">
        <v>625</v>
      </c>
      <c r="E153" s="10" t="s">
        <v>626</v>
      </c>
      <c r="F153" s="10" t="s">
        <v>627</v>
      </c>
      <c r="G153" s="10" t="s">
        <v>628</v>
      </c>
      <c r="I153" s="10"/>
      <c r="J153" s="99">
        <v>0</v>
      </c>
      <c r="K153" s="100" t="s">
        <v>624</v>
      </c>
      <c r="L153" s="10" t="s">
        <v>625</v>
      </c>
      <c r="M153" s="10" t="s">
        <v>626</v>
      </c>
      <c r="N153" s="10" t="s">
        <v>627</v>
      </c>
      <c r="O153" s="10" t="s">
        <v>628</v>
      </c>
    </row>
    <row r="154" spans="1:15" ht="4.5" customHeight="1" thickTop="1">
      <c r="B154" s="42"/>
      <c r="C154" s="1"/>
      <c r="D154" s="11"/>
      <c r="E154" s="13"/>
      <c r="F154" s="258"/>
      <c r="G154" s="15"/>
      <c r="J154" s="42"/>
      <c r="K154" s="1"/>
      <c r="L154" s="11"/>
      <c r="M154" s="13"/>
      <c r="N154" s="258"/>
      <c r="O154" s="15"/>
    </row>
    <row r="155" spans="1:15" ht="25.15" customHeight="1">
      <c r="A155" s="16"/>
      <c r="B155" s="837" t="s">
        <v>565</v>
      </c>
      <c r="C155" s="837"/>
      <c r="D155" s="16"/>
      <c r="E155" s="16"/>
      <c r="F155" s="44"/>
      <c r="G155" s="18">
        <f>SUM(G156:G156)</f>
        <v>0.21737924000000003</v>
      </c>
      <c r="I155" s="16"/>
      <c r="J155" s="837" t="s">
        <v>565</v>
      </c>
      <c r="K155" s="837"/>
      <c r="L155" s="16"/>
      <c r="M155" s="16"/>
      <c r="N155" s="44"/>
      <c r="O155" s="18">
        <f>SUM(O156:O156)</f>
        <v>0.21737924000000003</v>
      </c>
    </row>
    <row r="156" spans="1:15" ht="25.15" customHeight="1">
      <c r="A156" s="32"/>
      <c r="B156" s="838" t="s">
        <v>53</v>
      </c>
      <c r="C156" s="838"/>
      <c r="D156" s="33" t="s">
        <v>51</v>
      </c>
      <c r="E156" s="34">
        <v>2.2060000000000001E-3</v>
      </c>
      <c r="F156" s="238">
        <f>SUMIF('Cjenik RS'!$C$11:$C$26,$B156,'Cjenik RS'!$D$11:$D$90)</f>
        <v>98.54</v>
      </c>
      <c r="G156" s="35">
        <f>E156*F156</f>
        <v>0.21737924000000003</v>
      </c>
      <c r="I156" s="32"/>
      <c r="J156" s="838" t="s">
        <v>53</v>
      </c>
      <c r="K156" s="838"/>
      <c r="L156" s="33" t="s">
        <v>51</v>
      </c>
      <c r="M156" s="34">
        <v>2.2060000000000001E-3</v>
      </c>
      <c r="N156" s="238">
        <f>SUMIF('Cjenik RS'!$C$11:$C$26,J156,'Cjenik RS'!$D$11:$D$90)</f>
        <v>98.54</v>
      </c>
      <c r="O156" s="35">
        <f>M156*N156</f>
        <v>0.21737924000000003</v>
      </c>
    </row>
    <row r="157" spans="1:15" ht="25.15" customHeight="1">
      <c r="A157" s="16"/>
      <c r="B157" s="837" t="s">
        <v>566</v>
      </c>
      <c r="C157" s="837"/>
      <c r="D157" s="16"/>
      <c r="E157" s="16"/>
      <c r="F157" s="238"/>
      <c r="G157" s="18">
        <f>SUM(G158:G160)</f>
        <v>0.69331654428388911</v>
      </c>
      <c r="I157" s="16"/>
      <c r="J157" s="837" t="s">
        <v>566</v>
      </c>
      <c r="K157" s="837"/>
      <c r="L157" s="16"/>
      <c r="M157" s="16"/>
      <c r="N157" s="238"/>
      <c r="O157" s="18">
        <f>SUM(O158:O160)</f>
        <v>0.77765912000000004</v>
      </c>
    </row>
    <row r="158" spans="1:15" ht="25.15" customHeight="1">
      <c r="A158" s="51"/>
      <c r="B158" s="863" t="s">
        <v>63</v>
      </c>
      <c r="C158" s="863"/>
      <c r="D158" s="52" t="s">
        <v>51</v>
      </c>
      <c r="E158" s="53">
        <v>1.103E-3</v>
      </c>
      <c r="F158" s="260">
        <f>SUMIF('Cjenik VSO'!$B$9:$B$85,$B158,'Cjenik VSO'!$C$9:$C$85)</f>
        <v>313.64</v>
      </c>
      <c r="G158" s="55">
        <f>E158*F158</f>
        <v>0.34594491999999999</v>
      </c>
      <c r="I158" s="51"/>
      <c r="J158" s="863" t="s">
        <v>63</v>
      </c>
      <c r="K158" s="863"/>
      <c r="L158" s="52" t="s">
        <v>51</v>
      </c>
      <c r="M158" s="53">
        <v>1.103E-3</v>
      </c>
      <c r="N158" s="260">
        <f>SUMIF('Cjenik VSO'!$B$9:$B$85,$B158,'Cjenik VSO'!$C$9:$C$85)</f>
        <v>313.64</v>
      </c>
      <c r="O158" s="55">
        <f>M158*N158</f>
        <v>0.34594491999999999</v>
      </c>
    </row>
    <row r="159" spans="1:15" ht="25.15" customHeight="1">
      <c r="A159" s="56"/>
      <c r="B159" s="834" t="s">
        <v>60</v>
      </c>
      <c r="C159" s="834"/>
      <c r="D159" s="57" t="s">
        <v>51</v>
      </c>
      <c r="E159" s="58">
        <v>8.4642902772454336E-4</v>
      </c>
      <c r="F159" s="263">
        <f>SUMIF('Cjenik VSO'!$B$9:$B$85,$B159,'Cjenik VSO'!$C$9:$C$85)</f>
        <v>328.73</v>
      </c>
      <c r="G159" s="60">
        <f>E159*F159</f>
        <v>0.27824661428388914</v>
      </c>
      <c r="I159" s="56"/>
      <c r="J159" s="834" t="s">
        <v>60</v>
      </c>
      <c r="K159" s="834"/>
      <c r="L159" s="57" t="s">
        <v>51</v>
      </c>
      <c r="M159" s="58">
        <v>1.103E-3</v>
      </c>
      <c r="N159" s="263">
        <f>SUMIF('Cjenik VSO'!$B$9:$B$85,$B159,'Cjenik VSO'!$C$9:$C$85)</f>
        <v>328.73</v>
      </c>
      <c r="O159" s="60">
        <f>M159*N159</f>
        <v>0.36258919000000001</v>
      </c>
    </row>
    <row r="160" spans="1:15" ht="25.15" customHeight="1">
      <c r="A160" s="61"/>
      <c r="B160" s="864" t="s">
        <v>61</v>
      </c>
      <c r="C160" s="864"/>
      <c r="D160" s="62" t="s">
        <v>51</v>
      </c>
      <c r="E160" s="63">
        <v>1.103E-3</v>
      </c>
      <c r="F160" s="261">
        <f>SUMIF('Cjenik VSO'!$B$9:$B$85,$B160,'Cjenik VSO'!$C$9:$C$85)</f>
        <v>62.67</v>
      </c>
      <c r="G160" s="65">
        <f>E160*F160</f>
        <v>6.9125010000000001E-2</v>
      </c>
      <c r="I160" s="61"/>
      <c r="J160" s="864" t="s">
        <v>61</v>
      </c>
      <c r="K160" s="864"/>
      <c r="L160" s="62" t="s">
        <v>51</v>
      </c>
      <c r="M160" s="63">
        <v>1.103E-3</v>
      </c>
      <c r="N160" s="261">
        <f>SUMIF('Cjenik VSO'!$B$9:$B$85,$B160,'Cjenik VSO'!$C$9:$C$85)</f>
        <v>62.67</v>
      </c>
      <c r="O160" s="65">
        <f>M160*N160</f>
        <v>6.9125010000000001E-2</v>
      </c>
    </row>
    <row r="161" spans="1:15" ht="25.15" customHeight="1">
      <c r="A161" s="88"/>
      <c r="B161" s="837" t="s">
        <v>630</v>
      </c>
      <c r="C161" s="837"/>
      <c r="D161" s="16"/>
      <c r="E161" s="16"/>
      <c r="F161" s="238"/>
      <c r="G161" s="18">
        <f>SUM(G162:G163)</f>
        <v>0</v>
      </c>
      <c r="I161" s="88"/>
      <c r="J161" s="837" t="s">
        <v>630</v>
      </c>
      <c r="K161" s="837"/>
      <c r="L161" s="16"/>
      <c r="M161" s="16"/>
      <c r="N161" s="238"/>
      <c r="O161" s="18">
        <f>SUM(O162:O163)</f>
        <v>0</v>
      </c>
    </row>
    <row r="162" spans="1:15" ht="25.15" customHeight="1">
      <c r="A162" s="51"/>
      <c r="B162" s="863">
        <f>'Cjenik M'!$B$95</f>
        <v>0</v>
      </c>
      <c r="C162" s="863"/>
      <c r="D162" s="52">
        <f>'Cjenik M'!$C$95</f>
        <v>0</v>
      </c>
      <c r="E162" s="53">
        <v>0.01</v>
      </c>
      <c r="F162" s="260">
        <f>'Cjenik M'!$D$95</f>
        <v>0</v>
      </c>
      <c r="G162" s="55">
        <f>E162*F162</f>
        <v>0</v>
      </c>
      <c r="I162" s="51"/>
      <c r="J162" s="863">
        <f>'Cjenik M'!$B$95</f>
        <v>0</v>
      </c>
      <c r="K162" s="863"/>
      <c r="L162" s="52">
        <f>'Cjenik M'!$C$95</f>
        <v>0</v>
      </c>
      <c r="M162" s="53">
        <v>0.01</v>
      </c>
      <c r="N162" s="260">
        <f>'Cjenik M'!$D$95</f>
        <v>0</v>
      </c>
      <c r="O162" s="55">
        <f>M162*N162</f>
        <v>0</v>
      </c>
    </row>
    <row r="163" spans="1:15" ht="25.15" customHeight="1" thickBot="1">
      <c r="A163" s="66"/>
      <c r="B163" s="859">
        <f>'Cjenik M'!$B$93</f>
        <v>0</v>
      </c>
      <c r="C163" s="859"/>
      <c r="D163" s="67">
        <f>'Cjenik M'!$C$93</f>
        <v>0</v>
      </c>
      <c r="E163" s="68">
        <v>0.01</v>
      </c>
      <c r="F163" s="262">
        <f>'Cjenik M'!$D$93</f>
        <v>0</v>
      </c>
      <c r="G163" s="70">
        <f>E163*F163</f>
        <v>0</v>
      </c>
      <c r="I163" s="66"/>
      <c r="J163" s="859">
        <f>'Cjenik M'!$B$93</f>
        <v>0</v>
      </c>
      <c r="K163" s="859"/>
      <c r="L163" s="67">
        <f>'Cjenik M'!$C$93</f>
        <v>0</v>
      </c>
      <c r="M163" s="68">
        <v>0.01</v>
      </c>
      <c r="N163" s="262">
        <f>'Cjenik M'!$D$93</f>
        <v>0</v>
      </c>
      <c r="O163" s="70">
        <f>M163*N163</f>
        <v>0</v>
      </c>
    </row>
    <row r="164" spans="1:15" ht="25.15" customHeight="1" thickTop="1" thickBot="1">
      <c r="B164" s="47"/>
      <c r="C164" s="24"/>
      <c r="D164" s="25"/>
      <c r="E164" s="850" t="str">
        <f>'Obrazac kalkulacije'!$E$18</f>
        <v>Ukupno (kn):</v>
      </c>
      <c r="F164" s="850"/>
      <c r="G164" s="26">
        <f>ROUND(SUM(G155+G157+G161),2)</f>
        <v>0.91</v>
      </c>
      <c r="H164" s="269" t="e">
        <f>SUMIF(#REF!,$B151,#REF!)</f>
        <v>#REF!</v>
      </c>
      <c r="J164" s="47"/>
      <c r="K164" s="24"/>
      <c r="L164" s="25"/>
      <c r="M164" s="850" t="str">
        <f>'Obrazac kalkulacije'!$E$18</f>
        <v>Ukupno (kn):</v>
      </c>
      <c r="N164" s="850"/>
      <c r="O164" s="26">
        <f>ROUND(SUM(O155+O157+O161),2)</f>
        <v>1</v>
      </c>
    </row>
    <row r="165" spans="1:15" ht="25.15" customHeight="1" thickTop="1" thickBot="1">
      <c r="E165" s="27" t="str">
        <f>'Obrazac kalkulacije'!$E$19</f>
        <v>PDV:</v>
      </c>
      <c r="F165" s="259">
        <f>'Obrazac kalkulacije'!$F$19</f>
        <v>0.25</v>
      </c>
      <c r="G165" s="29">
        <f>G164*F165</f>
        <v>0.22750000000000001</v>
      </c>
      <c r="H165" s="270" t="e">
        <f>H164-G164</f>
        <v>#REF!</v>
      </c>
      <c r="M165" s="27" t="str">
        <f>'Obrazac kalkulacije'!$E$19</f>
        <v>PDV:</v>
      </c>
      <c r="N165" s="259">
        <f>'Obrazac kalkulacije'!$F$19</f>
        <v>0.25</v>
      </c>
      <c r="O165" s="29">
        <f>O164*N165</f>
        <v>0.25</v>
      </c>
    </row>
    <row r="166" spans="1:15" ht="25.15" customHeight="1" thickTop="1" thickBot="1">
      <c r="E166" s="840" t="str">
        <f>'Obrazac kalkulacije'!$E$20</f>
        <v>Sveukupno (kn):</v>
      </c>
      <c r="F166" s="840"/>
      <c r="G166" s="29">
        <f>ROUND(SUM(G164:G165),2)</f>
        <v>1.1399999999999999</v>
      </c>
      <c r="H166" s="271" t="e">
        <f>G159+H165</f>
        <v>#REF!</v>
      </c>
      <c r="M166" s="840" t="str">
        <f>'Obrazac kalkulacije'!$E$20</f>
        <v>Sveukupno (kn):</v>
      </c>
      <c r="N166" s="840"/>
      <c r="O166" s="29">
        <f>ROUND(SUM(O164:O165),2)</f>
        <v>1.25</v>
      </c>
    </row>
    <row r="167" spans="1:15" ht="15" customHeight="1" thickTop="1"/>
    <row r="168" spans="1:15" ht="15" customHeight="1"/>
    <row r="169" spans="1:15" ht="15" customHeight="1"/>
    <row r="170" spans="1:15" ht="15" customHeight="1">
      <c r="C170" s="3" t="str">
        <f>'Obrazac kalkulacije'!$C$24</f>
        <v>IZVODITELJ:</v>
      </c>
      <c r="F170" s="841" t="str">
        <f>'Obrazac kalkulacije'!$F$24</f>
        <v>NARUČITELJ:</v>
      </c>
      <c r="G170" s="841"/>
      <c r="K170" s="3" t="str">
        <f>'Obrazac kalkulacije'!$C$24</f>
        <v>IZVODITELJ:</v>
      </c>
      <c r="N170" s="841" t="str">
        <f>'Obrazac kalkulacije'!$F$24</f>
        <v>NARUČITELJ:</v>
      </c>
      <c r="O170" s="841"/>
    </row>
    <row r="171" spans="1:15" ht="25.15" customHeight="1">
      <c r="C171" s="3" t="str">
        <f>'Obrazac kalkulacije'!$C$25</f>
        <v>__________________</v>
      </c>
      <c r="F171" s="841" t="str">
        <f>'Obrazac kalkulacije'!$F$25</f>
        <v>___________________</v>
      </c>
      <c r="G171" s="841"/>
      <c r="K171" s="3" t="str">
        <f>'Obrazac kalkulacije'!$C$25</f>
        <v>__________________</v>
      </c>
      <c r="N171" s="841" t="str">
        <f>'Obrazac kalkulacije'!$F$25</f>
        <v>___________________</v>
      </c>
      <c r="O171" s="841"/>
    </row>
    <row r="172" spans="1:15" ht="15" customHeight="1">
      <c r="F172" s="841"/>
      <c r="G172" s="841"/>
      <c r="N172" s="841"/>
      <c r="O172" s="841"/>
    </row>
    <row r="173" spans="1:15" ht="15" customHeight="1"/>
    <row r="174" spans="1:15" ht="15" customHeight="1">
      <c r="A174" s="144"/>
      <c r="B174" s="145" t="s">
        <v>615</v>
      </c>
      <c r="C174" s="836" t="s">
        <v>616</v>
      </c>
      <c r="D174" s="836"/>
      <c r="E174" s="836"/>
      <c r="F174" s="836"/>
      <c r="G174" s="836"/>
      <c r="I174" s="144"/>
      <c r="J174" s="145" t="s">
        <v>615</v>
      </c>
      <c r="K174" s="836" t="s">
        <v>616</v>
      </c>
      <c r="L174" s="836"/>
      <c r="M174" s="836"/>
      <c r="N174" s="836"/>
      <c r="O174" s="836"/>
    </row>
    <row r="175" spans="1:15" ht="15" customHeight="1">
      <c r="A175" s="7"/>
      <c r="B175" s="39" t="s">
        <v>648</v>
      </c>
      <c r="C175" s="860" t="s">
        <v>649</v>
      </c>
      <c r="D175" s="860"/>
      <c r="E175" s="860"/>
      <c r="F175" s="860"/>
      <c r="G175" s="860"/>
      <c r="I175" s="7"/>
      <c r="J175" s="39" t="s">
        <v>648</v>
      </c>
      <c r="K175" s="860" t="s">
        <v>649</v>
      </c>
      <c r="L175" s="860"/>
      <c r="M175" s="860"/>
      <c r="N175" s="860"/>
      <c r="O175" s="860"/>
    </row>
    <row r="176" spans="1:15" ht="150" customHeight="1">
      <c r="A176" s="9"/>
      <c r="B176" s="556" t="s">
        <v>650</v>
      </c>
      <c r="C176" s="852" t="s">
        <v>651</v>
      </c>
      <c r="D176" s="852"/>
      <c r="E176" s="852"/>
      <c r="F176" s="852"/>
      <c r="G176" s="852"/>
      <c r="I176" s="9"/>
      <c r="J176" s="41" t="s">
        <v>650</v>
      </c>
      <c r="K176" s="869" t="s">
        <v>652</v>
      </c>
      <c r="L176" s="869"/>
      <c r="M176" s="869"/>
      <c r="N176" s="869"/>
      <c r="O176" s="869"/>
    </row>
    <row r="177" spans="1:15" ht="15" customHeight="1" thickBot="1"/>
    <row r="178" spans="1:15" ht="30" customHeight="1" thickTop="1" thickBot="1">
      <c r="A178" s="10"/>
      <c r="B178" s="99">
        <v>0</v>
      </c>
      <c r="C178" s="100" t="s">
        <v>624</v>
      </c>
      <c r="D178" s="10" t="s">
        <v>625</v>
      </c>
      <c r="E178" s="10" t="s">
        <v>626</v>
      </c>
      <c r="F178" s="10" t="s">
        <v>627</v>
      </c>
      <c r="G178" s="10" t="s">
        <v>628</v>
      </c>
    </row>
    <row r="179" spans="1:15" ht="4.5" customHeight="1" thickTop="1">
      <c r="B179" s="42"/>
      <c r="C179" s="1"/>
      <c r="D179" s="11"/>
      <c r="E179" s="13"/>
      <c r="F179" s="258"/>
      <c r="G179" s="15"/>
    </row>
    <row r="180" spans="1:15" ht="25.15" customHeight="1">
      <c r="A180" s="16"/>
      <c r="B180" s="837" t="s">
        <v>565</v>
      </c>
      <c r="C180" s="837"/>
      <c r="D180" s="16"/>
      <c r="E180" s="16"/>
      <c r="F180" s="44"/>
      <c r="G180" s="18">
        <f>SUM(G181:G181)</f>
        <v>0</v>
      </c>
    </row>
    <row r="181" spans="1:15" ht="25.15" customHeight="1">
      <c r="A181" s="32"/>
      <c r="B181" s="838" t="s">
        <v>53</v>
      </c>
      <c r="C181" s="838"/>
      <c r="D181" s="33" t="s">
        <v>51</v>
      </c>
      <c r="E181" s="34"/>
      <c r="F181" s="238">
        <f>SUMIF('Cjenik RS'!$C$11:$C$26,$B181,'Cjenik RS'!$D$11:$D$90)</f>
        <v>98.54</v>
      </c>
      <c r="G181" s="35">
        <f>E181*F181</f>
        <v>0</v>
      </c>
      <c r="N181" s="238">
        <f>SUMIF('Cjenik RS'!$C$11:$C$26,J181,'Cjenik RS'!$D$11:$D$90)</f>
        <v>0</v>
      </c>
    </row>
    <row r="182" spans="1:15" ht="25.15" customHeight="1">
      <c r="A182" s="16"/>
      <c r="B182" s="837" t="s">
        <v>566</v>
      </c>
      <c r="C182" s="837"/>
      <c r="D182" s="16"/>
      <c r="E182" s="16"/>
      <c r="F182" s="238"/>
      <c r="G182" s="18">
        <f>SUM(G183:G185)</f>
        <v>0</v>
      </c>
    </row>
    <row r="183" spans="1:15" ht="25.15" customHeight="1">
      <c r="A183" s="51"/>
      <c r="B183" s="863"/>
      <c r="C183" s="863"/>
      <c r="D183" s="52" t="s">
        <v>51</v>
      </c>
      <c r="E183" s="53"/>
      <c r="F183" s="260">
        <f>SUMIF('Cjenik VSO'!$B$9:$B$85,$B183,'Cjenik VSO'!$C$9:$C$85)</f>
        <v>0</v>
      </c>
      <c r="G183" s="55">
        <f>E183*F183</f>
        <v>0</v>
      </c>
    </row>
    <row r="184" spans="1:15" ht="25.15" customHeight="1">
      <c r="A184" s="56"/>
      <c r="B184" s="834"/>
      <c r="C184" s="834"/>
      <c r="D184" s="57" t="s">
        <v>51</v>
      </c>
      <c r="E184" s="58"/>
      <c r="F184" s="263">
        <f>SUMIF('Cjenik VSO'!$B$9:$B$85,$B184,'Cjenik VSO'!$C$9:$C$85)</f>
        <v>0</v>
      </c>
      <c r="G184" s="60">
        <f>E184*F184</f>
        <v>0</v>
      </c>
    </row>
    <row r="185" spans="1:15" ht="25.15" customHeight="1">
      <c r="A185" s="61"/>
      <c r="B185" s="864"/>
      <c r="C185" s="864"/>
      <c r="D185" s="62" t="s">
        <v>51</v>
      </c>
      <c r="E185" s="63"/>
      <c r="F185" s="261">
        <f>SUMIF('Cjenik VSO'!$B$9:$B$85,$B185,'Cjenik VSO'!$C$9:$C$85)</f>
        <v>0</v>
      </c>
      <c r="G185" s="65">
        <f>E185*F185</f>
        <v>0</v>
      </c>
    </row>
    <row r="186" spans="1:15" ht="25.15" customHeight="1">
      <c r="A186" s="88"/>
      <c r="B186" s="837" t="s">
        <v>630</v>
      </c>
      <c r="C186" s="837"/>
      <c r="D186" s="16"/>
      <c r="E186" s="16"/>
      <c r="F186" s="238"/>
      <c r="G186" s="18">
        <f>SUM(G187:G188)</f>
        <v>0</v>
      </c>
    </row>
    <row r="187" spans="1:15" ht="25.15" customHeight="1">
      <c r="A187" s="51"/>
      <c r="B187" s="863"/>
      <c r="C187" s="863"/>
      <c r="D187" s="52"/>
      <c r="E187" s="53"/>
      <c r="F187" s="260"/>
      <c r="G187" s="55">
        <f>E187*F187</f>
        <v>0</v>
      </c>
    </row>
    <row r="188" spans="1:15" ht="25.15" customHeight="1" thickBot="1">
      <c r="A188" s="66"/>
      <c r="B188" s="859"/>
      <c r="C188" s="859"/>
      <c r="D188" s="67"/>
      <c r="E188" s="68"/>
      <c r="F188" s="262"/>
      <c r="G188" s="70">
        <f>E188*F188</f>
        <v>0</v>
      </c>
      <c r="H188" s="1"/>
      <c r="I188" s="37"/>
      <c r="J188" s="2"/>
      <c r="K188" s="3"/>
      <c r="L188" s="4"/>
      <c r="M188" s="30"/>
      <c r="N188" s="5"/>
      <c r="O188" s="2"/>
    </row>
    <row r="189" spans="1:15" ht="25.15" customHeight="1" thickTop="1" thickBot="1">
      <c r="B189" s="47"/>
      <c r="C189" s="24"/>
      <c r="D189" s="25"/>
      <c r="E189" s="850" t="str">
        <f>'Obrazac kalkulacije'!$E$18</f>
        <v>Ukupno (kn):</v>
      </c>
      <c r="F189" s="850"/>
      <c r="G189" s="655">
        <v>98</v>
      </c>
      <c r="H189" s="1"/>
      <c r="I189" s="37"/>
      <c r="J189" s="2"/>
      <c r="K189" s="3"/>
      <c r="L189" s="4"/>
      <c r="M189" s="30"/>
      <c r="N189" s="5"/>
      <c r="O189" s="2"/>
    </row>
    <row r="190" spans="1:15" ht="25.15" customHeight="1" thickTop="1" thickBot="1">
      <c r="E190" s="27" t="str">
        <f>'Obrazac kalkulacije'!$E$19</f>
        <v>PDV:</v>
      </c>
      <c r="F190" s="259">
        <f>'Obrazac kalkulacije'!$F$19</f>
        <v>0.25</v>
      </c>
      <c r="G190" s="29">
        <f>G189*F190</f>
        <v>24.5</v>
      </c>
      <c r="H190" s="1"/>
      <c r="I190" s="37"/>
      <c r="J190" s="2"/>
      <c r="K190" s="3"/>
      <c r="L190" s="4"/>
      <c r="M190" s="30"/>
      <c r="N190" s="5"/>
      <c r="O190" s="2"/>
    </row>
    <row r="191" spans="1:15" ht="25.15" customHeight="1" thickTop="1" thickBot="1">
      <c r="E191" s="840" t="str">
        <f>'Obrazac kalkulacije'!$E$20</f>
        <v>Sveukupno (kn):</v>
      </c>
      <c r="F191" s="840"/>
      <c r="G191" s="29">
        <f>ROUND(SUM(G189:G190),2)</f>
        <v>122.5</v>
      </c>
      <c r="H191" s="1"/>
      <c r="I191" s="37"/>
      <c r="J191" s="2"/>
      <c r="K191" s="3"/>
      <c r="L191" s="4"/>
      <c r="M191" s="30"/>
      <c r="N191" s="5"/>
      <c r="O191" s="2"/>
    </row>
    <row r="192" spans="1:15" ht="15" customHeight="1" thickTop="1"/>
    <row r="193" spans="1:15" ht="15" customHeight="1"/>
    <row r="194" spans="1:15" ht="15" customHeight="1"/>
    <row r="195" spans="1:15" ht="15" customHeight="1">
      <c r="C195" s="3" t="str">
        <f>'Obrazac kalkulacije'!$C$24</f>
        <v>IZVODITELJ:</v>
      </c>
      <c r="F195" s="841" t="str">
        <f>'Obrazac kalkulacije'!$F$24</f>
        <v>NARUČITELJ:</v>
      </c>
      <c r="G195" s="841"/>
      <c r="K195" s="3" t="str">
        <f>'Obrazac kalkulacije'!$C$24</f>
        <v>IZVODITELJ:</v>
      </c>
      <c r="N195" s="841" t="str">
        <f>'Obrazac kalkulacije'!$F$24</f>
        <v>NARUČITELJ:</v>
      </c>
      <c r="O195" s="841"/>
    </row>
    <row r="196" spans="1:15" ht="25.15" customHeight="1">
      <c r="C196" s="3" t="str">
        <f>'Obrazac kalkulacije'!$C$25</f>
        <v>__________________</v>
      </c>
      <c r="F196" s="841" t="str">
        <f>'Obrazac kalkulacije'!$F$25</f>
        <v>___________________</v>
      </c>
      <c r="G196" s="841"/>
      <c r="K196" s="3" t="str">
        <f>'Obrazac kalkulacije'!$C$25</f>
        <v>__________________</v>
      </c>
      <c r="N196" s="841" t="str">
        <f>'Obrazac kalkulacije'!$F$25</f>
        <v>___________________</v>
      </c>
      <c r="O196" s="841"/>
    </row>
    <row r="197" spans="1:15" ht="15" customHeight="1">
      <c r="F197" s="841"/>
      <c r="G197" s="841"/>
      <c r="N197" s="841"/>
      <c r="O197" s="841"/>
    </row>
    <row r="198" spans="1:15" ht="15" customHeight="1"/>
    <row r="199" spans="1:15" ht="15" customHeight="1">
      <c r="A199" s="144"/>
      <c r="B199" s="145" t="s">
        <v>615</v>
      </c>
      <c r="C199" s="836" t="s">
        <v>616</v>
      </c>
      <c r="D199" s="836"/>
      <c r="E199" s="836"/>
      <c r="F199" s="836"/>
      <c r="G199" s="836"/>
      <c r="I199" s="144"/>
      <c r="J199" s="145" t="s">
        <v>615</v>
      </c>
      <c r="K199" s="836" t="s">
        <v>616</v>
      </c>
      <c r="L199" s="836"/>
      <c r="M199" s="836"/>
      <c r="N199" s="836"/>
      <c r="O199" s="836"/>
    </row>
    <row r="200" spans="1:15" ht="15" customHeight="1">
      <c r="A200" s="7"/>
      <c r="B200" s="39" t="s">
        <v>648</v>
      </c>
      <c r="C200" s="860" t="s">
        <v>649</v>
      </c>
      <c r="D200" s="860"/>
      <c r="E200" s="860"/>
      <c r="F200" s="860"/>
      <c r="G200" s="860"/>
      <c r="I200" s="7"/>
      <c r="J200" s="39" t="s">
        <v>648</v>
      </c>
      <c r="K200" s="860" t="s">
        <v>649</v>
      </c>
      <c r="L200" s="860"/>
      <c r="M200" s="860"/>
      <c r="N200" s="860"/>
      <c r="O200" s="860"/>
    </row>
    <row r="201" spans="1:15" ht="150" customHeight="1">
      <c r="A201" s="9"/>
      <c r="B201" s="556" t="s">
        <v>653</v>
      </c>
      <c r="C201" s="852" t="s">
        <v>654</v>
      </c>
      <c r="D201" s="852"/>
      <c r="E201" s="852"/>
      <c r="F201" s="852"/>
      <c r="G201" s="852"/>
      <c r="I201" s="9"/>
      <c r="J201" s="41" t="s">
        <v>653</v>
      </c>
      <c r="K201" s="869" t="s">
        <v>654</v>
      </c>
      <c r="L201" s="869"/>
      <c r="M201" s="869"/>
      <c r="N201" s="869"/>
      <c r="O201" s="869"/>
    </row>
    <row r="202" spans="1:15" ht="15" customHeight="1" thickBot="1">
      <c r="B202" s="278"/>
      <c r="C202" s="279"/>
      <c r="D202" s="280"/>
      <c r="E202" s="281"/>
      <c r="F202" s="283"/>
      <c r="G202" s="282"/>
    </row>
    <row r="203" spans="1:15" ht="30" customHeight="1" thickTop="1" thickBot="1">
      <c r="A203" s="10"/>
      <c r="B203" s="99">
        <v>0</v>
      </c>
      <c r="C203" s="100" t="s">
        <v>624</v>
      </c>
      <c r="D203" s="10" t="s">
        <v>625</v>
      </c>
      <c r="E203" s="10" t="s">
        <v>626</v>
      </c>
      <c r="F203" s="10" t="s">
        <v>627</v>
      </c>
      <c r="G203" s="10" t="s">
        <v>628</v>
      </c>
    </row>
    <row r="204" spans="1:15" ht="4.5" customHeight="1" thickTop="1">
      <c r="B204" s="42"/>
      <c r="C204" s="1"/>
      <c r="D204" s="11"/>
      <c r="E204" s="13"/>
      <c r="F204" s="258"/>
      <c r="G204" s="15"/>
    </row>
    <row r="205" spans="1:15" ht="25.15" customHeight="1">
      <c r="A205" s="16"/>
      <c r="B205" s="837" t="s">
        <v>565</v>
      </c>
      <c r="C205" s="837"/>
      <c r="D205" s="16"/>
      <c r="E205" s="16"/>
      <c r="F205" s="44"/>
      <c r="G205" s="18">
        <f>SUM(G206:G206)</f>
        <v>11.529180000000002</v>
      </c>
    </row>
    <row r="206" spans="1:15" ht="25.15" customHeight="1">
      <c r="A206" s="32"/>
      <c r="B206" s="838" t="s">
        <v>53</v>
      </c>
      <c r="C206" s="838"/>
      <c r="D206" s="33" t="s">
        <v>51</v>
      </c>
      <c r="E206" s="34">
        <v>0.11700000000000001</v>
      </c>
      <c r="F206" s="238">
        <f>SUMIF('Cjenik RS'!$C$11:$C$26,$B206,'Cjenik RS'!$D$11:$D$90)</f>
        <v>98.54</v>
      </c>
      <c r="G206" s="35">
        <f>E206*F206</f>
        <v>11.529180000000002</v>
      </c>
      <c r="N206" s="238">
        <f>SUMIF('Cjenik RS'!$C$11:$C$26,J206,'Cjenik RS'!$D$11:$D$90)</f>
        <v>0</v>
      </c>
    </row>
    <row r="207" spans="1:15" ht="25.15" customHeight="1">
      <c r="A207" s="16"/>
      <c r="B207" s="837" t="s">
        <v>566</v>
      </c>
      <c r="C207" s="837"/>
      <c r="D207" s="16"/>
      <c r="E207" s="16"/>
      <c r="F207" s="238"/>
      <c r="G207" s="18">
        <f>SUM(G208:G210)</f>
        <v>5.8072000000000008</v>
      </c>
    </row>
    <row r="208" spans="1:15" ht="25.15" customHeight="1">
      <c r="A208" s="51"/>
      <c r="B208" s="875" t="s">
        <v>288</v>
      </c>
      <c r="C208" s="875"/>
      <c r="D208" s="57" t="s">
        <v>51</v>
      </c>
      <c r="E208" s="142">
        <v>3.4000000000000002E-2</v>
      </c>
      <c r="F208" s="263">
        <f>SUMIF('Cjenik VSO'!$B$9:$B$85,$B208,'Cjenik VSO'!$C$9:$C$85)</f>
        <v>170.8</v>
      </c>
      <c r="G208" s="55">
        <f>E208*F208</f>
        <v>5.8072000000000008</v>
      </c>
    </row>
    <row r="209" spans="1:15" ht="25.15" customHeight="1">
      <c r="A209" s="56"/>
      <c r="B209" s="834"/>
      <c r="C209" s="834"/>
      <c r="D209" s="57" t="s">
        <v>51</v>
      </c>
      <c r="E209" s="58"/>
      <c r="F209" s="263">
        <f>SUMIF('Cjenik VSO'!$B$9:$B$85,$B209,'Cjenik VSO'!$C$9:$C$85)</f>
        <v>0</v>
      </c>
      <c r="G209" s="60">
        <f>E209*F209</f>
        <v>0</v>
      </c>
    </row>
    <row r="210" spans="1:15" ht="25.15" customHeight="1">
      <c r="A210" s="61"/>
      <c r="B210" s="864"/>
      <c r="C210" s="864"/>
      <c r="D210" s="62" t="s">
        <v>51</v>
      </c>
      <c r="E210" s="63"/>
      <c r="F210" s="261">
        <f>SUMIF('Cjenik VSO'!$B$9:$B$85,$B210,'Cjenik VSO'!$C$9:$C$85)</f>
        <v>0</v>
      </c>
      <c r="G210" s="65">
        <f>E210*F210</f>
        <v>0</v>
      </c>
    </row>
    <row r="211" spans="1:15" ht="25.15" customHeight="1">
      <c r="A211" s="88"/>
      <c r="B211" s="837" t="s">
        <v>630</v>
      </c>
      <c r="C211" s="837"/>
      <c r="D211" s="16"/>
      <c r="E211" s="16"/>
      <c r="F211" s="238"/>
      <c r="G211" s="18">
        <f>SUM(G212:G213)</f>
        <v>0</v>
      </c>
    </row>
    <row r="212" spans="1:15" ht="25.15" customHeight="1">
      <c r="A212" s="51"/>
      <c r="B212" s="863">
        <f>'Cjenik M'!B85</f>
        <v>0</v>
      </c>
      <c r="C212" s="863"/>
      <c r="D212" s="52" t="s">
        <v>655</v>
      </c>
      <c r="E212" s="53">
        <v>2.2000000000000002</v>
      </c>
      <c r="F212" s="260">
        <f>'Cjenik M'!D85</f>
        <v>0</v>
      </c>
      <c r="G212" s="55">
        <f>E212*F212</f>
        <v>0</v>
      </c>
    </row>
    <row r="213" spans="1:15" ht="25.15" customHeight="1" thickBot="1">
      <c r="A213" s="66"/>
      <c r="B213" s="859"/>
      <c r="C213" s="859"/>
      <c r="D213" s="67"/>
      <c r="E213" s="68"/>
      <c r="F213" s="262"/>
      <c r="G213" s="70">
        <f>E213*F213</f>
        <v>0</v>
      </c>
      <c r="H213" s="1"/>
      <c r="I213" s="37"/>
      <c r="J213" s="2"/>
      <c r="K213" s="3"/>
      <c r="L213" s="4"/>
      <c r="M213" s="30"/>
      <c r="N213" s="5"/>
      <c r="O213" s="2"/>
    </row>
    <row r="214" spans="1:15" ht="25.15" customHeight="1" thickTop="1" thickBot="1">
      <c r="B214" s="47"/>
      <c r="C214" s="24"/>
      <c r="D214" s="25"/>
      <c r="E214" s="850" t="str">
        <f>'Obrazac kalkulacije'!$E$18</f>
        <v>Ukupno (kn):</v>
      </c>
      <c r="F214" s="850"/>
      <c r="G214" s="26">
        <f>ROUND(SUM(G205+G207+G211),2)</f>
        <v>17.34</v>
      </c>
      <c r="H214" s="1"/>
      <c r="I214" s="37"/>
      <c r="J214" s="2"/>
      <c r="K214" s="3"/>
      <c r="L214" s="4"/>
      <c r="M214" s="30"/>
      <c r="N214" s="5"/>
      <c r="O214" s="2"/>
    </row>
    <row r="215" spans="1:15" ht="25.15" customHeight="1" thickTop="1" thickBot="1">
      <c r="E215" s="27" t="str">
        <f>'Obrazac kalkulacije'!$E$19</f>
        <v>PDV:</v>
      </c>
      <c r="F215" s="259">
        <f>'Obrazac kalkulacije'!$F$19</f>
        <v>0.25</v>
      </c>
      <c r="G215" s="29">
        <f>G214*F215</f>
        <v>4.335</v>
      </c>
      <c r="H215" s="1"/>
      <c r="I215" s="37"/>
      <c r="J215" s="2"/>
      <c r="K215" s="3"/>
      <c r="L215" s="4"/>
      <c r="M215" s="30"/>
      <c r="N215" s="5"/>
      <c r="O215" s="2"/>
    </row>
    <row r="216" spans="1:15" ht="25.15" customHeight="1" thickTop="1" thickBot="1">
      <c r="E216" s="840" t="str">
        <f>'Obrazac kalkulacije'!$E$20</f>
        <v>Sveukupno (kn):</v>
      </c>
      <c r="F216" s="840"/>
      <c r="G216" s="29">
        <f>ROUND(SUM(G214:G215),2)</f>
        <v>21.68</v>
      </c>
      <c r="H216" s="1"/>
      <c r="I216" s="37"/>
      <c r="J216" s="2"/>
      <c r="K216" s="3"/>
      <c r="L216" s="4"/>
      <c r="M216" s="30"/>
      <c r="N216" s="5"/>
      <c r="O216" s="2"/>
    </row>
    <row r="217" spans="1:15" ht="15" customHeight="1" thickTop="1">
      <c r="B217" s="278"/>
      <c r="C217" s="279"/>
      <c r="D217" s="280"/>
      <c r="E217" s="281"/>
      <c r="F217" s="283"/>
      <c r="G217" s="282"/>
    </row>
    <row r="218" spans="1:15" ht="15" customHeight="1">
      <c r="B218" s="278"/>
      <c r="C218" s="279"/>
      <c r="D218" s="280"/>
      <c r="E218" s="281"/>
      <c r="F218" s="283"/>
      <c r="G218" s="282"/>
    </row>
    <row r="219" spans="1:15" ht="15" customHeight="1">
      <c r="B219" s="278"/>
      <c r="C219" s="279"/>
      <c r="D219" s="280"/>
      <c r="E219" s="281"/>
      <c r="F219" s="283"/>
      <c r="G219" s="282"/>
    </row>
    <row r="220" spans="1:15" ht="15" customHeight="1">
      <c r="B220" s="278"/>
      <c r="C220" s="3" t="str">
        <f>'Obrazac kalkulacije'!$C$24</f>
        <v>IZVODITELJ:</v>
      </c>
      <c r="F220" s="841" t="str">
        <f>'Obrazac kalkulacije'!$F$24</f>
        <v>NARUČITELJ:</v>
      </c>
      <c r="G220" s="841"/>
      <c r="K220" s="3" t="str">
        <f>'Obrazac kalkulacije'!$C$24</f>
        <v>IZVODITELJ:</v>
      </c>
      <c r="N220" s="841" t="str">
        <f>'Obrazac kalkulacije'!$F$24</f>
        <v>NARUČITELJ:</v>
      </c>
      <c r="O220" s="841"/>
    </row>
    <row r="221" spans="1:15" ht="25.15" customHeight="1">
      <c r="B221" s="278"/>
      <c r="C221" s="3" t="str">
        <f>'Obrazac kalkulacije'!$C$25</f>
        <v>__________________</v>
      </c>
      <c r="F221" s="841" t="str">
        <f>'Obrazac kalkulacije'!$F$25</f>
        <v>___________________</v>
      </c>
      <c r="G221" s="841"/>
      <c r="K221" s="3" t="str">
        <f>'Obrazac kalkulacije'!$C$25</f>
        <v>__________________</v>
      </c>
      <c r="N221" s="841" t="str">
        <f>'Obrazac kalkulacije'!$F$25</f>
        <v>___________________</v>
      </c>
      <c r="O221" s="841"/>
    </row>
    <row r="222" spans="1:15" ht="15" customHeight="1">
      <c r="B222" s="278"/>
      <c r="F222" s="841"/>
      <c r="G222" s="841"/>
      <c r="N222" s="841"/>
      <c r="O222" s="841"/>
    </row>
    <row r="223" spans="1:15" ht="15" customHeight="1"/>
    <row r="224" spans="1:15" ht="15" customHeight="1">
      <c r="A224" s="144"/>
      <c r="B224" s="145" t="s">
        <v>615</v>
      </c>
      <c r="C224" s="836" t="s">
        <v>616</v>
      </c>
      <c r="D224" s="836"/>
      <c r="E224" s="836"/>
      <c r="F224" s="836"/>
      <c r="G224" s="836"/>
      <c r="I224" s="144"/>
      <c r="J224" s="145" t="s">
        <v>615</v>
      </c>
      <c r="K224" s="836" t="s">
        <v>616</v>
      </c>
      <c r="L224" s="836"/>
      <c r="M224" s="836"/>
      <c r="N224" s="836"/>
      <c r="O224" s="836"/>
    </row>
    <row r="225" spans="1:15" ht="15" customHeight="1">
      <c r="A225" s="7"/>
      <c r="B225" s="39" t="s">
        <v>648</v>
      </c>
      <c r="C225" s="860" t="s">
        <v>649</v>
      </c>
      <c r="D225" s="860"/>
      <c r="E225" s="860"/>
      <c r="F225" s="860"/>
      <c r="G225" s="860"/>
      <c r="I225" s="7"/>
      <c r="J225" s="39" t="s">
        <v>648</v>
      </c>
      <c r="K225" s="860" t="s">
        <v>649</v>
      </c>
      <c r="L225" s="860"/>
      <c r="M225" s="860"/>
      <c r="N225" s="860"/>
      <c r="O225" s="860"/>
    </row>
    <row r="226" spans="1:15" ht="150" customHeight="1">
      <c r="A226" s="9"/>
      <c r="B226" s="556" t="s">
        <v>656</v>
      </c>
      <c r="C226" s="852" t="s">
        <v>657</v>
      </c>
      <c r="D226" s="852"/>
      <c r="E226" s="852"/>
      <c r="F226" s="852"/>
      <c r="G226" s="852"/>
      <c r="I226" s="9"/>
      <c r="J226" s="41" t="s">
        <v>656</v>
      </c>
      <c r="K226" s="869" t="s">
        <v>658</v>
      </c>
      <c r="L226" s="869"/>
      <c r="M226" s="869"/>
      <c r="N226" s="869"/>
      <c r="O226" s="869"/>
    </row>
    <row r="227" spans="1:15" ht="15" customHeight="1" thickBot="1"/>
    <row r="228" spans="1:15" ht="30" customHeight="1" thickTop="1" thickBot="1">
      <c r="A228" s="10"/>
      <c r="B228" s="99">
        <v>0</v>
      </c>
      <c r="C228" s="100" t="s">
        <v>624</v>
      </c>
      <c r="D228" s="10" t="s">
        <v>625</v>
      </c>
      <c r="E228" s="10" t="s">
        <v>626</v>
      </c>
      <c r="F228" s="10" t="s">
        <v>627</v>
      </c>
      <c r="G228" s="10" t="s">
        <v>628</v>
      </c>
      <c r="H228" s="620">
        <v>20</v>
      </c>
    </row>
    <row r="229" spans="1:15" ht="4.5" customHeight="1" thickTop="1">
      <c r="B229" s="42"/>
      <c r="C229" s="1"/>
      <c r="D229" s="11"/>
      <c r="E229" s="13"/>
      <c r="F229" s="258"/>
      <c r="G229" s="15"/>
    </row>
    <row r="230" spans="1:15" ht="25.15" customHeight="1">
      <c r="A230" s="16"/>
      <c r="B230" s="837" t="s">
        <v>565</v>
      </c>
      <c r="C230" s="837"/>
      <c r="D230" s="16"/>
      <c r="E230" s="16"/>
      <c r="F230" s="44"/>
      <c r="G230" s="18">
        <f>SUM(G231:G231)</f>
        <v>118.248</v>
      </c>
    </row>
    <row r="231" spans="1:15" ht="25.15" customHeight="1">
      <c r="A231" s="32"/>
      <c r="B231" s="838" t="s">
        <v>53</v>
      </c>
      <c r="C231" s="838"/>
      <c r="D231" s="33" t="s">
        <v>51</v>
      </c>
      <c r="E231" s="34">
        <v>1.2</v>
      </c>
      <c r="F231" s="238">
        <f>SUMIF('Cjenik RS'!$C$11:$C$26,$B231,'Cjenik RS'!$D$11:$D$90)</f>
        <v>98.54</v>
      </c>
      <c r="G231" s="35">
        <f>E231*F231</f>
        <v>118.248</v>
      </c>
      <c r="H231" s="2">
        <f>E231*H$228</f>
        <v>24</v>
      </c>
      <c r="N231" s="238">
        <f>SUMIF('Cjenik RS'!$C$11:$C$26,J231,'Cjenik RS'!$D$11:$D$90)</f>
        <v>0</v>
      </c>
    </row>
    <row r="232" spans="1:15" ht="25.15" customHeight="1">
      <c r="A232" s="16"/>
      <c r="B232" s="837" t="s">
        <v>566</v>
      </c>
      <c r="C232" s="837"/>
      <c r="D232" s="16"/>
      <c r="E232" s="16"/>
      <c r="F232" s="238"/>
      <c r="G232" s="18">
        <f>SUM(G233:G235)</f>
        <v>14.586000000000002</v>
      </c>
    </row>
    <row r="233" spans="1:15" ht="25.15" customHeight="1">
      <c r="A233" s="51"/>
      <c r="B233" s="863" t="s">
        <v>73</v>
      </c>
      <c r="C233" s="863"/>
      <c r="D233" s="52" t="s">
        <v>51</v>
      </c>
      <c r="E233" s="53">
        <v>0.05</v>
      </c>
      <c r="F233" s="260">
        <f>SUMIF('Cjenik VSO'!$B$9:$B$85,$B233,'Cjenik VSO'!$C$9:$C$85)</f>
        <v>291.72000000000003</v>
      </c>
      <c r="G233" s="55">
        <f>E233*F233</f>
        <v>14.586000000000002</v>
      </c>
      <c r="H233" s="2">
        <f>E233*H$228</f>
        <v>1</v>
      </c>
    </row>
    <row r="234" spans="1:15" ht="25.15" customHeight="1">
      <c r="A234" s="56"/>
      <c r="B234" s="834"/>
      <c r="C234" s="834"/>
      <c r="D234" s="57" t="s">
        <v>51</v>
      </c>
      <c r="E234" s="58"/>
      <c r="F234" s="263">
        <f>SUMIF('Cjenik VSO'!$B$9:$B$85,$B234,'Cjenik VSO'!$C$9:$C$85)</f>
        <v>0</v>
      </c>
      <c r="G234" s="60">
        <f>E234*F234</f>
        <v>0</v>
      </c>
      <c r="H234" s="2">
        <f>E234*H$228</f>
        <v>0</v>
      </c>
    </row>
    <row r="235" spans="1:15" ht="25.15" customHeight="1">
      <c r="A235" s="61"/>
      <c r="B235" s="864"/>
      <c r="C235" s="864"/>
      <c r="D235" s="62" t="s">
        <v>51</v>
      </c>
      <c r="E235" s="63"/>
      <c r="F235" s="261">
        <f>SUMIF('Cjenik VSO'!$B$9:$B$85,$B235,'Cjenik VSO'!$C$9:$C$85)</f>
        <v>0</v>
      </c>
      <c r="G235" s="65">
        <f>E235*F235</f>
        <v>0</v>
      </c>
      <c r="H235" s="2">
        <f>E235*H$228</f>
        <v>0</v>
      </c>
    </row>
    <row r="236" spans="1:15" ht="25.15" customHeight="1">
      <c r="A236" s="88"/>
      <c r="B236" s="837" t="s">
        <v>630</v>
      </c>
      <c r="C236" s="837"/>
      <c r="D236" s="16"/>
      <c r="E236" s="16"/>
      <c r="F236" s="238"/>
      <c r="G236" s="18">
        <f>SUM(G237:G240)</f>
        <v>0</v>
      </c>
    </row>
    <row r="237" spans="1:15" ht="25.15" customHeight="1">
      <c r="A237" s="93"/>
      <c r="B237" s="863">
        <f>'Cjenik M'!$B$30</f>
        <v>0</v>
      </c>
      <c r="C237" s="863"/>
      <c r="D237" s="82" t="s">
        <v>659</v>
      </c>
      <c r="E237" s="101">
        <v>0.1</v>
      </c>
      <c r="F237" s="238">
        <f>'Cjenik M'!$D$30</f>
        <v>0</v>
      </c>
      <c r="G237" s="102">
        <f>E237*F237</f>
        <v>0</v>
      </c>
    </row>
    <row r="238" spans="1:15" ht="25.15" customHeight="1">
      <c r="A238" s="16"/>
      <c r="B238" s="838">
        <f>'Cjenik M'!$B$31</f>
        <v>0</v>
      </c>
      <c r="C238" s="838"/>
      <c r="D238" s="44">
        <f>'Cjenik M'!$C$31</f>
        <v>0</v>
      </c>
      <c r="E238" s="45">
        <v>5.0000000000000001E-3</v>
      </c>
      <c r="F238" s="238">
        <f>'Cjenik M'!$D$31</f>
        <v>0</v>
      </c>
      <c r="G238" s="46">
        <f>E238*F238</f>
        <v>0</v>
      </c>
    </row>
    <row r="239" spans="1:15" ht="25.15" customHeight="1">
      <c r="A239" s="137"/>
      <c r="B239" s="838">
        <f>'Cjenik M'!$B$34</f>
        <v>0</v>
      </c>
      <c r="C239" s="838"/>
      <c r="D239" s="138" t="s">
        <v>659</v>
      </c>
      <c r="E239" s="139">
        <v>0.1</v>
      </c>
      <c r="F239" s="238">
        <f>'Cjenik M'!$D$34</f>
        <v>0</v>
      </c>
      <c r="G239" s="140">
        <f>E239*F239</f>
        <v>0</v>
      </c>
    </row>
    <row r="240" spans="1:15" ht="25.15" customHeight="1" thickBot="1">
      <c r="A240" s="43"/>
      <c r="B240" s="838">
        <f>'Cjenik M'!$B$82</f>
        <v>0</v>
      </c>
      <c r="C240" s="838"/>
      <c r="D240" s="52" t="s">
        <v>659</v>
      </c>
      <c r="E240" s="53">
        <v>6.0000000000000001E-3</v>
      </c>
      <c r="F240" s="238">
        <f>'Cjenik M'!$D$82</f>
        <v>0</v>
      </c>
      <c r="G240" s="55">
        <f>E240*F240</f>
        <v>0</v>
      </c>
    </row>
    <row r="241" spans="1:15" ht="25.15" customHeight="1" thickTop="1" thickBot="1">
      <c r="B241" s="47"/>
      <c r="C241" s="24"/>
      <c r="D241" s="25"/>
      <c r="E241" s="850" t="str">
        <f>'Obrazac kalkulacije'!$E$18</f>
        <v>Ukupno (kn):</v>
      </c>
      <c r="F241" s="850"/>
      <c r="G241" s="26">
        <f>ROUND(SUM(G230+G232+G236),2)</f>
        <v>132.83000000000001</v>
      </c>
      <c r="H241" s="1"/>
      <c r="I241" s="37"/>
      <c r="J241" s="2"/>
      <c r="K241" s="3"/>
      <c r="L241" s="4"/>
      <c r="M241" s="30"/>
      <c r="N241" s="5"/>
      <c r="O241" s="2"/>
    </row>
    <row r="242" spans="1:15" ht="25.15" customHeight="1" thickTop="1" thickBot="1">
      <c r="E242" s="27" t="str">
        <f>'Obrazac kalkulacije'!$E$19</f>
        <v>PDV:</v>
      </c>
      <c r="F242" s="259">
        <f>'Obrazac kalkulacije'!$F$19</f>
        <v>0.25</v>
      </c>
      <c r="G242" s="29">
        <f>G241*F242</f>
        <v>33.207500000000003</v>
      </c>
      <c r="H242" s="1"/>
      <c r="I242" s="37"/>
      <c r="J242" s="2"/>
      <c r="K242" s="3"/>
      <c r="L242" s="4"/>
      <c r="M242" s="30"/>
      <c r="N242" s="5"/>
      <c r="O242" s="2"/>
    </row>
    <row r="243" spans="1:15" ht="25.15" customHeight="1" thickTop="1" thickBot="1">
      <c r="E243" s="840" t="str">
        <f>'Obrazac kalkulacije'!$E$20</f>
        <v>Sveukupno (kn):</v>
      </c>
      <c r="F243" s="840"/>
      <c r="G243" s="29">
        <f>ROUND(SUM(G241:G242),2)</f>
        <v>166.04</v>
      </c>
      <c r="H243" s="1"/>
      <c r="I243" s="37"/>
      <c r="J243" s="2"/>
      <c r="K243" s="3"/>
      <c r="L243" s="4"/>
      <c r="M243" s="30"/>
      <c r="N243" s="5"/>
      <c r="O243" s="2"/>
    </row>
    <row r="244" spans="1:15" ht="15" customHeight="1" thickTop="1"/>
    <row r="245" spans="1:15" ht="15" customHeight="1"/>
    <row r="246" spans="1:15" ht="15" customHeight="1"/>
    <row r="247" spans="1:15" ht="15" customHeight="1">
      <c r="C247" s="3" t="str">
        <f>'Obrazac kalkulacije'!$C$24</f>
        <v>IZVODITELJ:</v>
      </c>
      <c r="F247" s="841" t="str">
        <f>'Obrazac kalkulacije'!$F$24</f>
        <v>NARUČITELJ:</v>
      </c>
      <c r="G247" s="841"/>
      <c r="K247" s="3" t="str">
        <f>'Obrazac kalkulacije'!$C$24</f>
        <v>IZVODITELJ:</v>
      </c>
      <c r="N247" s="841" t="str">
        <f>'Obrazac kalkulacije'!$F$24</f>
        <v>NARUČITELJ:</v>
      </c>
      <c r="O247" s="841"/>
    </row>
    <row r="248" spans="1:15" ht="25.15" customHeight="1">
      <c r="C248" s="3" t="str">
        <f>'Obrazac kalkulacije'!$C$25</f>
        <v>__________________</v>
      </c>
      <c r="F248" s="841" t="str">
        <f>'Obrazac kalkulacije'!$F$25</f>
        <v>___________________</v>
      </c>
      <c r="G248" s="841"/>
      <c r="K248" s="3" t="str">
        <f>'Obrazac kalkulacije'!$C$25</f>
        <v>__________________</v>
      </c>
      <c r="N248" s="841" t="str">
        <f>'Obrazac kalkulacije'!$F$25</f>
        <v>___________________</v>
      </c>
      <c r="O248" s="841"/>
    </row>
    <row r="249" spans="1:15" ht="15" customHeight="1">
      <c r="F249" s="841"/>
      <c r="G249" s="841"/>
      <c r="N249" s="841"/>
      <c r="O249" s="841"/>
    </row>
    <row r="250" spans="1:15" ht="15" customHeight="1"/>
    <row r="251" spans="1:15" ht="15" customHeight="1">
      <c r="A251" s="144"/>
      <c r="B251" s="145" t="s">
        <v>615</v>
      </c>
      <c r="C251" s="836" t="s">
        <v>616</v>
      </c>
      <c r="D251" s="836"/>
      <c r="E251" s="836"/>
      <c r="F251" s="836"/>
      <c r="G251" s="836"/>
      <c r="I251" s="144"/>
      <c r="J251" s="145" t="s">
        <v>615</v>
      </c>
      <c r="K251" s="836" t="s">
        <v>616</v>
      </c>
      <c r="L251" s="836"/>
      <c r="M251" s="836"/>
      <c r="N251" s="836"/>
      <c r="O251" s="836"/>
    </row>
    <row r="252" spans="1:15" ht="15" customHeight="1">
      <c r="A252" s="7"/>
      <c r="B252" s="39" t="s">
        <v>648</v>
      </c>
      <c r="C252" s="860" t="s">
        <v>649</v>
      </c>
      <c r="D252" s="860"/>
      <c r="E252" s="860"/>
      <c r="F252" s="860"/>
      <c r="G252" s="860"/>
      <c r="I252" s="7"/>
      <c r="J252" s="39" t="s">
        <v>648</v>
      </c>
      <c r="K252" s="860" t="s">
        <v>649</v>
      </c>
      <c r="L252" s="860"/>
      <c r="M252" s="860"/>
      <c r="N252" s="860"/>
      <c r="O252" s="860"/>
    </row>
    <row r="253" spans="1:15" ht="150" customHeight="1">
      <c r="A253" s="9"/>
      <c r="B253" s="556" t="s">
        <v>660</v>
      </c>
      <c r="C253" s="852" t="s">
        <v>661</v>
      </c>
      <c r="D253" s="852"/>
      <c r="E253" s="852"/>
      <c r="F253" s="852"/>
      <c r="G253" s="852"/>
      <c r="I253" s="9"/>
      <c r="J253" s="41" t="s">
        <v>660</v>
      </c>
      <c r="K253" s="869" t="s">
        <v>662</v>
      </c>
      <c r="L253" s="869"/>
      <c r="M253" s="869"/>
      <c r="N253" s="869"/>
      <c r="O253" s="869"/>
    </row>
    <row r="254" spans="1:15" ht="15" customHeight="1" thickBot="1"/>
    <row r="255" spans="1:15" ht="30" customHeight="1" thickTop="1" thickBot="1">
      <c r="A255" s="10"/>
      <c r="B255" s="99">
        <v>0</v>
      </c>
      <c r="C255" s="100" t="s">
        <v>624</v>
      </c>
      <c r="D255" s="10" t="s">
        <v>625</v>
      </c>
      <c r="E255" s="10" t="s">
        <v>626</v>
      </c>
      <c r="F255" s="10" t="s">
        <v>627</v>
      </c>
      <c r="G255" s="10" t="s">
        <v>628</v>
      </c>
      <c r="I255" s="10"/>
      <c r="J255" s="99">
        <v>0</v>
      </c>
      <c r="K255" s="100" t="s">
        <v>624</v>
      </c>
      <c r="L255" s="10" t="s">
        <v>625</v>
      </c>
      <c r="M255" s="10" t="s">
        <v>626</v>
      </c>
      <c r="N255" s="10" t="s">
        <v>627</v>
      </c>
      <c r="O255" s="10" t="s">
        <v>628</v>
      </c>
    </row>
    <row r="256" spans="1:15" ht="4.5" customHeight="1" thickTop="1">
      <c r="B256" s="42"/>
      <c r="C256" s="1"/>
      <c r="D256" s="11"/>
      <c r="E256" s="13"/>
      <c r="F256" s="258"/>
      <c r="G256" s="15"/>
      <c r="J256" s="42"/>
      <c r="K256" s="1"/>
      <c r="L256" s="11"/>
      <c r="M256" s="13"/>
      <c r="N256" s="258"/>
      <c r="O256" s="15"/>
    </row>
    <row r="257" spans="1:15" ht="25.15" customHeight="1">
      <c r="A257" s="16"/>
      <c r="B257" s="837" t="s">
        <v>565</v>
      </c>
      <c r="C257" s="837"/>
      <c r="D257" s="16"/>
      <c r="E257" s="16"/>
      <c r="F257" s="44"/>
      <c r="G257" s="18">
        <f>SUM(G258:G258)</f>
        <v>1019.4880407400001</v>
      </c>
      <c r="I257" s="16"/>
      <c r="J257" s="837" t="s">
        <v>565</v>
      </c>
      <c r="K257" s="837"/>
      <c r="L257" s="16"/>
      <c r="M257" s="16"/>
      <c r="N257" s="44"/>
      <c r="O257" s="18">
        <f>SUM(O258:O258)</f>
        <v>1019.4880407400001</v>
      </c>
    </row>
    <row r="258" spans="1:15" ht="25.15" customHeight="1">
      <c r="A258" s="32"/>
      <c r="B258" s="838" t="s">
        <v>53</v>
      </c>
      <c r="C258" s="838"/>
      <c r="D258" s="33" t="s">
        <v>51</v>
      </c>
      <c r="E258" s="34">
        <v>10.345931</v>
      </c>
      <c r="F258" s="238">
        <f>SUMIF('Cjenik RS'!$C$11:$C$26,$B258,'Cjenik RS'!$D$11:$D$90)</f>
        <v>98.54</v>
      </c>
      <c r="G258" s="35">
        <f>E258*F258</f>
        <v>1019.4880407400001</v>
      </c>
      <c r="I258" s="32"/>
      <c r="J258" s="838" t="s">
        <v>53</v>
      </c>
      <c r="K258" s="838"/>
      <c r="L258" s="33" t="s">
        <v>51</v>
      </c>
      <c r="M258" s="34">
        <v>10.345931</v>
      </c>
      <c r="N258" s="238">
        <f>SUMIF('Cjenik RS'!$C$11:$C$26,J258,'Cjenik RS'!$D$11:$D$90)</f>
        <v>98.54</v>
      </c>
      <c r="O258" s="35">
        <f>M258*N258</f>
        <v>1019.4880407400001</v>
      </c>
    </row>
    <row r="259" spans="1:15" ht="25.15" customHeight="1">
      <c r="A259" s="16"/>
      <c r="B259" s="837" t="s">
        <v>566</v>
      </c>
      <c r="C259" s="837"/>
      <c r="D259" s="16"/>
      <c r="E259" s="16"/>
      <c r="F259" s="238"/>
      <c r="G259" s="18">
        <f>SUM(G260:G261)</f>
        <v>232.94172566479375</v>
      </c>
      <c r="I259" s="16"/>
      <c r="J259" s="837" t="s">
        <v>566</v>
      </c>
      <c r="K259" s="837"/>
      <c r="L259" s="16"/>
      <c r="M259" s="16"/>
      <c r="N259" s="238"/>
      <c r="O259" s="18">
        <f>SUM(O260:O261)</f>
        <v>310.85050079999996</v>
      </c>
    </row>
    <row r="260" spans="1:15" ht="25.15" customHeight="1">
      <c r="A260" s="51"/>
      <c r="B260" s="849" t="s">
        <v>69</v>
      </c>
      <c r="C260" s="849"/>
      <c r="D260" s="52" t="s">
        <v>51</v>
      </c>
      <c r="E260" s="86">
        <v>1.1307309999999999</v>
      </c>
      <c r="F260" s="260">
        <f>SUMIF('Cjenik VSO'!$B$9:$B$85,$B260,'Cjenik VSO'!$C$9:$C$85)</f>
        <v>179.6</v>
      </c>
      <c r="G260" s="54">
        <f>E260*F260</f>
        <v>203.07928759999999</v>
      </c>
      <c r="I260" s="51"/>
      <c r="J260" s="849" t="s">
        <v>69</v>
      </c>
      <c r="K260" s="849"/>
      <c r="L260" s="52" t="s">
        <v>51</v>
      </c>
      <c r="M260" s="86">
        <v>1.1307309999999999</v>
      </c>
      <c r="N260" s="260">
        <f>SUMIF('Cjenik VSO'!$B$9:$B$85,$B260,'Cjenik VSO'!$C$9:$C$85)</f>
        <v>179.6</v>
      </c>
      <c r="O260" s="54">
        <f>M260*N260</f>
        <v>203.07928759999999</v>
      </c>
    </row>
    <row r="261" spans="1:15" ht="25.15" customHeight="1">
      <c r="A261" s="61"/>
      <c r="B261" s="864" t="s">
        <v>288</v>
      </c>
      <c r="C261" s="864"/>
      <c r="D261" s="62" t="s">
        <v>51</v>
      </c>
      <c r="E261" s="63">
        <v>0.17483863035593536</v>
      </c>
      <c r="F261" s="261">
        <f>SUMIF('Cjenik VSO'!$B$9:$B$85,$B261,'Cjenik VSO'!$C$9:$C$85)</f>
        <v>170.8</v>
      </c>
      <c r="G261" s="65">
        <f>E261*F261</f>
        <v>29.862438064793761</v>
      </c>
      <c r="I261" s="61"/>
      <c r="J261" s="864" t="s">
        <v>288</v>
      </c>
      <c r="K261" s="864"/>
      <c r="L261" s="62" t="s">
        <v>51</v>
      </c>
      <c r="M261" s="63">
        <v>0.63097899999999996</v>
      </c>
      <c r="N261" s="261">
        <f>SUMIF('Cjenik VSO'!$B$9:$B$85,$B261,'Cjenik VSO'!$C$9:$C$85)</f>
        <v>170.8</v>
      </c>
      <c r="O261" s="65">
        <f>M261*N261</f>
        <v>107.77121320000001</v>
      </c>
    </row>
    <row r="262" spans="1:15" ht="25.15" customHeight="1">
      <c r="A262" s="16"/>
      <c r="B262" s="837" t="s">
        <v>630</v>
      </c>
      <c r="C262" s="837"/>
      <c r="D262" s="16"/>
      <c r="E262" s="16"/>
      <c r="F262" s="238"/>
      <c r="G262" s="18">
        <f>SUM(G263:G264)</f>
        <v>0</v>
      </c>
      <c r="I262" s="16"/>
      <c r="J262" s="837" t="s">
        <v>630</v>
      </c>
      <c r="K262" s="837"/>
      <c r="L262" s="16"/>
      <c r="M262" s="16"/>
      <c r="N262" s="238"/>
      <c r="O262" s="18">
        <f>SUM(O263:O264)</f>
        <v>0</v>
      </c>
    </row>
    <row r="263" spans="1:15" ht="25.15" customHeight="1">
      <c r="A263" s="51"/>
      <c r="B263" s="863">
        <f>'Cjenik M'!$B$35</f>
        <v>0</v>
      </c>
      <c r="C263" s="863"/>
      <c r="D263" s="52">
        <f>'Cjenik M'!$C$35</f>
        <v>0</v>
      </c>
      <c r="E263" s="53">
        <v>1</v>
      </c>
      <c r="F263" s="260">
        <f>'Cjenik M'!$D$35</f>
        <v>0</v>
      </c>
      <c r="G263" s="55">
        <f>E263*F263</f>
        <v>0</v>
      </c>
      <c r="I263" s="51"/>
      <c r="J263" s="863">
        <f>'Cjenik M'!$B$35</f>
        <v>0</v>
      </c>
      <c r="K263" s="863"/>
      <c r="L263" s="52">
        <f>'Cjenik M'!$C$35</f>
        <v>0</v>
      </c>
      <c r="M263" s="53">
        <v>1</v>
      </c>
      <c r="N263" s="260">
        <f>'Cjenik M'!$D$35</f>
        <v>0</v>
      </c>
      <c r="O263" s="55">
        <f>M263*N263</f>
        <v>0</v>
      </c>
    </row>
    <row r="264" spans="1:15" ht="25.15" customHeight="1" thickBot="1">
      <c r="A264" s="66"/>
      <c r="B264" s="859">
        <f>'Cjenik M'!$B$31</f>
        <v>0</v>
      </c>
      <c r="C264" s="859"/>
      <c r="D264" s="67">
        <f>'Cjenik M'!$C$31</f>
        <v>0</v>
      </c>
      <c r="E264" s="68">
        <v>6.7000000000000004E-2</v>
      </c>
      <c r="F264" s="262">
        <f>'Cjenik M'!$D$31</f>
        <v>0</v>
      </c>
      <c r="G264" s="70">
        <f>E264*F264</f>
        <v>0</v>
      </c>
      <c r="I264" s="66"/>
      <c r="J264" s="859">
        <f>'Cjenik M'!$B$31</f>
        <v>0</v>
      </c>
      <c r="K264" s="859"/>
      <c r="L264" s="67">
        <f>'Cjenik M'!$C$31</f>
        <v>0</v>
      </c>
      <c r="M264" s="68">
        <v>6.7000000000000004E-2</v>
      </c>
      <c r="N264" s="262">
        <f>'Cjenik M'!$D$31</f>
        <v>0</v>
      </c>
      <c r="O264" s="70">
        <f>M264*N264</f>
        <v>0</v>
      </c>
    </row>
    <row r="265" spans="1:15" ht="25.15" customHeight="1" thickTop="1" thickBot="1">
      <c r="B265" s="47"/>
      <c r="C265" s="24"/>
      <c r="D265" s="25"/>
      <c r="E265" s="850" t="str">
        <f>'Obrazac kalkulacije'!$E$18</f>
        <v>Ukupno (kn):</v>
      </c>
      <c r="F265" s="850"/>
      <c r="G265" s="26">
        <f>ROUND(SUM(G257+G259+G262),2)</f>
        <v>1252.43</v>
      </c>
      <c r="H265" s="269" t="e">
        <f>SUMIF(#REF!,$B253,#REF!)</f>
        <v>#REF!</v>
      </c>
      <c r="J265" s="47"/>
      <c r="K265" s="24"/>
      <c r="L265" s="25"/>
      <c r="M265" s="850" t="str">
        <f>'Obrazac kalkulacije'!$E$18</f>
        <v>Ukupno (kn):</v>
      </c>
      <c r="N265" s="850"/>
      <c r="O265" s="26">
        <f>ROUND(SUM(O257+O259+O262),2)</f>
        <v>1330.34</v>
      </c>
    </row>
    <row r="266" spans="1:15" ht="25.15" customHeight="1" thickTop="1" thickBot="1">
      <c r="E266" s="27" t="str">
        <f>'Obrazac kalkulacije'!$E$19</f>
        <v>PDV:</v>
      </c>
      <c r="F266" s="259">
        <f>'Obrazac kalkulacije'!$F$19</f>
        <v>0.25</v>
      </c>
      <c r="G266" s="29">
        <f>G265*F266</f>
        <v>313.10750000000002</v>
      </c>
      <c r="H266" s="270" t="e">
        <f>H265-G265</f>
        <v>#REF!</v>
      </c>
      <c r="M266" s="27" t="str">
        <f>'Obrazac kalkulacije'!$E$19</f>
        <v>PDV:</v>
      </c>
      <c r="N266" s="259">
        <f>'Obrazac kalkulacije'!$F$19</f>
        <v>0.25</v>
      </c>
      <c r="O266" s="29">
        <f>O265*N266</f>
        <v>332.58499999999998</v>
      </c>
    </row>
    <row r="267" spans="1:15" ht="25.15" customHeight="1" thickTop="1" thickBot="1">
      <c r="E267" s="840" t="str">
        <f>'Obrazac kalkulacije'!$E$20</f>
        <v>Sveukupno (kn):</v>
      </c>
      <c r="F267" s="840"/>
      <c r="G267" s="29">
        <f>ROUND(SUM(G265:G266),2)</f>
        <v>1565.54</v>
      </c>
      <c r="H267" s="271" t="e">
        <f>G261+H266</f>
        <v>#REF!</v>
      </c>
      <c r="M267" s="840" t="str">
        <f>'Obrazac kalkulacije'!$E$20</f>
        <v>Sveukupno (kn):</v>
      </c>
      <c r="N267" s="840"/>
      <c r="O267" s="29">
        <f>ROUND(SUM(O265:O266),2)</f>
        <v>1662.93</v>
      </c>
    </row>
    <row r="268" spans="1:15" ht="15" customHeight="1" thickTop="1"/>
    <row r="269" spans="1:15" ht="15" customHeight="1"/>
    <row r="270" spans="1:15" ht="15" customHeight="1"/>
    <row r="271" spans="1:15" ht="15" customHeight="1">
      <c r="C271" s="3" t="str">
        <f>'Obrazac kalkulacije'!$C$24</f>
        <v>IZVODITELJ:</v>
      </c>
      <c r="F271" s="841" t="str">
        <f>'Obrazac kalkulacije'!$F$24</f>
        <v>NARUČITELJ:</v>
      </c>
      <c r="G271" s="841"/>
      <c r="K271" s="3" t="str">
        <f>'Obrazac kalkulacije'!$C$24</f>
        <v>IZVODITELJ:</v>
      </c>
      <c r="N271" s="841" t="str">
        <f>'Obrazac kalkulacije'!$F$24</f>
        <v>NARUČITELJ:</v>
      </c>
      <c r="O271" s="841"/>
    </row>
    <row r="272" spans="1:15" ht="25.15" customHeight="1">
      <c r="C272" s="3" t="str">
        <f>'Obrazac kalkulacije'!$C$25</f>
        <v>__________________</v>
      </c>
      <c r="F272" s="841" t="str">
        <f>'Obrazac kalkulacije'!$F$25</f>
        <v>___________________</v>
      </c>
      <c r="G272" s="841"/>
      <c r="K272" s="3" t="str">
        <f>'Obrazac kalkulacije'!$C$25</f>
        <v>__________________</v>
      </c>
      <c r="N272" s="841" t="str">
        <f>'Obrazac kalkulacije'!$F$25</f>
        <v>___________________</v>
      </c>
      <c r="O272" s="841"/>
    </row>
    <row r="273" spans="1:15" ht="15" customHeight="1">
      <c r="F273" s="841"/>
      <c r="G273" s="841"/>
      <c r="N273" s="841"/>
      <c r="O273" s="841"/>
    </row>
    <row r="274" spans="1:15" ht="15" customHeight="1"/>
    <row r="275" spans="1:15" ht="15" customHeight="1">
      <c r="A275" s="144"/>
      <c r="B275" s="145" t="s">
        <v>615</v>
      </c>
      <c r="C275" s="836" t="s">
        <v>616</v>
      </c>
      <c r="D275" s="836"/>
      <c r="E275" s="836"/>
      <c r="F275" s="836"/>
      <c r="G275" s="836"/>
      <c r="I275" s="144"/>
      <c r="J275" s="145" t="s">
        <v>615</v>
      </c>
      <c r="K275" s="836" t="s">
        <v>616</v>
      </c>
      <c r="L275" s="836"/>
      <c r="M275" s="836"/>
      <c r="N275" s="836"/>
      <c r="O275" s="836"/>
    </row>
    <row r="276" spans="1:15" ht="15" customHeight="1">
      <c r="A276" s="7"/>
      <c r="B276" s="39" t="s">
        <v>648</v>
      </c>
      <c r="C276" s="860" t="s">
        <v>649</v>
      </c>
      <c r="D276" s="860"/>
      <c r="E276" s="860"/>
      <c r="F276" s="860"/>
      <c r="G276" s="860"/>
      <c r="I276" s="7"/>
      <c r="J276" s="39" t="s">
        <v>648</v>
      </c>
      <c r="K276" s="860" t="s">
        <v>649</v>
      </c>
      <c r="L276" s="860"/>
      <c r="M276" s="860"/>
      <c r="N276" s="860"/>
      <c r="O276" s="860"/>
    </row>
    <row r="277" spans="1:15" ht="150" customHeight="1">
      <c r="A277" s="9"/>
      <c r="B277" s="556" t="s">
        <v>663</v>
      </c>
      <c r="C277" s="852" t="s">
        <v>664</v>
      </c>
      <c r="D277" s="852"/>
      <c r="E277" s="852"/>
      <c r="F277" s="852"/>
      <c r="G277" s="852"/>
      <c r="I277" s="9"/>
      <c r="J277" s="41" t="s">
        <v>663</v>
      </c>
      <c r="K277" s="869" t="s">
        <v>664</v>
      </c>
      <c r="L277" s="869"/>
      <c r="M277" s="869"/>
      <c r="N277" s="869"/>
      <c r="O277" s="869"/>
    </row>
    <row r="278" spans="1:15" ht="15" customHeight="1" thickBot="1"/>
    <row r="279" spans="1:15" ht="30" customHeight="1" thickTop="1" thickBot="1">
      <c r="A279" s="10"/>
      <c r="B279" s="99">
        <v>0</v>
      </c>
      <c r="C279" s="100" t="s">
        <v>624</v>
      </c>
      <c r="D279" s="10" t="s">
        <v>625</v>
      </c>
      <c r="E279" s="10" t="s">
        <v>626</v>
      </c>
      <c r="F279" s="10" t="s">
        <v>627</v>
      </c>
      <c r="G279" s="10" t="s">
        <v>628</v>
      </c>
      <c r="I279" s="10"/>
      <c r="J279" s="99">
        <v>0</v>
      </c>
      <c r="K279" s="100" t="s">
        <v>624</v>
      </c>
      <c r="L279" s="10" t="s">
        <v>625</v>
      </c>
      <c r="M279" s="10" t="s">
        <v>626</v>
      </c>
      <c r="N279" s="10" t="s">
        <v>627</v>
      </c>
      <c r="O279" s="10" t="s">
        <v>628</v>
      </c>
    </row>
    <row r="280" spans="1:15" ht="4.5" customHeight="1" thickTop="1">
      <c r="B280" s="42"/>
      <c r="C280" s="1"/>
      <c r="D280" s="11"/>
      <c r="E280" s="13"/>
      <c r="F280" s="258"/>
      <c r="G280" s="15"/>
      <c r="J280" s="42"/>
      <c r="K280" s="1"/>
      <c r="L280" s="11"/>
      <c r="M280" s="13"/>
      <c r="N280" s="258"/>
      <c r="O280" s="15"/>
    </row>
    <row r="281" spans="1:15" ht="25.15" customHeight="1">
      <c r="A281" s="16"/>
      <c r="B281" s="837" t="s">
        <v>565</v>
      </c>
      <c r="C281" s="837"/>
      <c r="D281" s="16"/>
      <c r="E281" s="16"/>
      <c r="F281" s="44"/>
      <c r="G281" s="18">
        <f>SUM(G282:G282)</f>
        <v>9.1668805800000008</v>
      </c>
      <c r="I281" s="16"/>
      <c r="J281" s="837" t="s">
        <v>565</v>
      </c>
      <c r="K281" s="837"/>
      <c r="L281" s="16"/>
      <c r="M281" s="16"/>
      <c r="N281" s="44"/>
      <c r="O281" s="18">
        <f>SUM(O282:O282)</f>
        <v>9.1668805800000008</v>
      </c>
    </row>
    <row r="282" spans="1:15" ht="25.15" customHeight="1">
      <c r="A282" s="32"/>
      <c r="B282" s="838" t="s">
        <v>53</v>
      </c>
      <c r="C282" s="838"/>
      <c r="D282" s="33" t="s">
        <v>51</v>
      </c>
      <c r="E282" s="34">
        <v>9.3026999999999999E-2</v>
      </c>
      <c r="F282" s="238">
        <f>SUMIF('Cjenik RS'!$C$11:$C$26,$B282,'Cjenik RS'!$D$11:$D$90)</f>
        <v>98.54</v>
      </c>
      <c r="G282" s="35">
        <f>E282*F282</f>
        <v>9.1668805800000008</v>
      </c>
      <c r="I282" s="32"/>
      <c r="J282" s="838" t="s">
        <v>53</v>
      </c>
      <c r="K282" s="838"/>
      <c r="L282" s="33" t="s">
        <v>51</v>
      </c>
      <c r="M282" s="34">
        <v>9.3026999999999999E-2</v>
      </c>
      <c r="N282" s="238">
        <f>SUMIF('Cjenik RS'!$C$11:$C$26,J282,'Cjenik RS'!$D$11:$D$90)</f>
        <v>98.54</v>
      </c>
      <c r="O282" s="35">
        <f>M282*N282</f>
        <v>9.1668805800000008</v>
      </c>
    </row>
    <row r="283" spans="1:15" ht="25.15" customHeight="1">
      <c r="A283" s="16"/>
      <c r="B283" s="837" t="s">
        <v>566</v>
      </c>
      <c r="C283" s="837"/>
      <c r="D283" s="16"/>
      <c r="E283" s="16"/>
      <c r="F283" s="238"/>
      <c r="G283" s="18">
        <f>SUM(G284:G285)</f>
        <v>5.1149392000000002</v>
      </c>
      <c r="I283" s="16"/>
      <c r="J283" s="837" t="s">
        <v>566</v>
      </c>
      <c r="K283" s="837"/>
      <c r="L283" s="16"/>
      <c r="M283" s="16"/>
      <c r="N283" s="238"/>
      <c r="O283" s="18">
        <f>SUM(O284:O285)</f>
        <v>5.1149392000000002</v>
      </c>
    </row>
    <row r="284" spans="1:15" ht="25.15" customHeight="1">
      <c r="A284" s="51"/>
      <c r="B284" s="849" t="s">
        <v>69</v>
      </c>
      <c r="C284" s="849"/>
      <c r="D284" s="52" t="s">
        <v>51</v>
      </c>
      <c r="E284" s="86">
        <v>8.8690000000000001E-3</v>
      </c>
      <c r="F284" s="260">
        <f>SUMIF('Cjenik VSO'!$B$9:$B$85,$B284,'Cjenik VSO'!$C$9:$C$85)</f>
        <v>179.6</v>
      </c>
      <c r="G284" s="54">
        <f>E284*F284</f>
        <v>1.5928724000000001</v>
      </c>
      <c r="I284" s="51"/>
      <c r="J284" s="849" t="s">
        <v>69</v>
      </c>
      <c r="K284" s="849"/>
      <c r="L284" s="52" t="s">
        <v>51</v>
      </c>
      <c r="M284" s="86">
        <v>8.8690000000000001E-3</v>
      </c>
      <c r="N284" s="260">
        <f>SUMIF('Cjenik VSO'!$B$9:$B$85,$B284,'Cjenik VSO'!$C$9:$C$85)</f>
        <v>179.6</v>
      </c>
      <c r="O284" s="54">
        <f>M284*N284</f>
        <v>1.5928724000000001</v>
      </c>
    </row>
    <row r="285" spans="1:15" ht="25.15" customHeight="1">
      <c r="A285" s="61"/>
      <c r="B285" s="855" t="s">
        <v>288</v>
      </c>
      <c r="C285" s="855"/>
      <c r="D285" s="62" t="s">
        <v>51</v>
      </c>
      <c r="E285" s="87">
        <v>2.0621E-2</v>
      </c>
      <c r="F285" s="261">
        <f>SUMIF('Cjenik VSO'!$B$9:$B$85,$B285,'Cjenik VSO'!$C$9:$C$85)</f>
        <v>170.8</v>
      </c>
      <c r="G285" s="64">
        <f>E285*F285</f>
        <v>3.5220668000000002</v>
      </c>
      <c r="I285" s="61"/>
      <c r="J285" s="855" t="s">
        <v>288</v>
      </c>
      <c r="K285" s="855"/>
      <c r="L285" s="62" t="s">
        <v>51</v>
      </c>
      <c r="M285" s="87">
        <v>2.0621E-2</v>
      </c>
      <c r="N285" s="261">
        <f>SUMIF('Cjenik VSO'!$B$9:$B$85,$B285,'Cjenik VSO'!$C$9:$C$85)</f>
        <v>170.8</v>
      </c>
      <c r="O285" s="64">
        <f>M285*N285</f>
        <v>3.5220668000000002</v>
      </c>
    </row>
    <row r="286" spans="1:15" ht="25.15" customHeight="1">
      <c r="A286" s="16"/>
      <c r="B286" s="837" t="s">
        <v>630</v>
      </c>
      <c r="C286" s="837"/>
      <c r="D286" s="16"/>
      <c r="E286" s="16"/>
      <c r="F286" s="238"/>
      <c r="G286" s="18">
        <f>SUM(G287:G287)</f>
        <v>0</v>
      </c>
      <c r="I286" s="16"/>
      <c r="J286" s="837" t="s">
        <v>630</v>
      </c>
      <c r="K286" s="837"/>
      <c r="L286" s="16"/>
      <c r="M286" s="16"/>
      <c r="N286" s="238"/>
      <c r="O286" s="18">
        <f>SUM(O287:O287)</f>
        <v>0</v>
      </c>
    </row>
    <row r="287" spans="1:15" ht="25.15" customHeight="1" thickBot="1">
      <c r="A287" s="43"/>
      <c r="B287" s="863">
        <f>'Cjenik M'!$B$109</f>
        <v>0</v>
      </c>
      <c r="C287" s="863"/>
      <c r="D287" s="52">
        <f>'Cjenik M'!$C$109</f>
        <v>0</v>
      </c>
      <c r="E287" s="53">
        <v>0.5</v>
      </c>
      <c r="F287" s="260">
        <f>'Cjenik M'!$D$109</f>
        <v>0</v>
      </c>
      <c r="G287" s="55">
        <f>E287*F287</f>
        <v>0</v>
      </c>
      <c r="I287" s="43"/>
      <c r="J287" s="863">
        <f>'Cjenik M'!$B$109</f>
        <v>0</v>
      </c>
      <c r="K287" s="863"/>
      <c r="L287" s="52">
        <f>'Cjenik M'!$C$109</f>
        <v>0</v>
      </c>
      <c r="M287" s="53">
        <v>0.5</v>
      </c>
      <c r="N287" s="260">
        <f>'Cjenik M'!$D$109</f>
        <v>0</v>
      </c>
      <c r="O287" s="55">
        <f>M287*N287</f>
        <v>0</v>
      </c>
    </row>
    <row r="288" spans="1:15" ht="25.15" customHeight="1" thickTop="1" thickBot="1">
      <c r="B288" s="47"/>
      <c r="C288" s="24"/>
      <c r="D288" s="25"/>
      <c r="E288" s="850" t="str">
        <f>'Obrazac kalkulacije'!$E$18</f>
        <v>Ukupno (kn):</v>
      </c>
      <c r="F288" s="850"/>
      <c r="G288" s="26">
        <f>ROUND(SUM(G281+G283+G286),2)</f>
        <v>14.28</v>
      </c>
      <c r="H288" s="269" t="e">
        <f>SUMIF(#REF!,$B277,#REF!)</f>
        <v>#REF!</v>
      </c>
      <c r="J288" s="47"/>
      <c r="K288" s="24"/>
      <c r="L288" s="25"/>
      <c r="M288" s="850" t="str">
        <f>'Obrazac kalkulacije'!$E$18</f>
        <v>Ukupno (kn):</v>
      </c>
      <c r="N288" s="850"/>
      <c r="O288" s="26">
        <f>ROUND(SUM(O281+O283+O286),2)</f>
        <v>14.28</v>
      </c>
    </row>
    <row r="289" spans="1:15" ht="25.15" customHeight="1" thickTop="1" thickBot="1">
      <c r="E289" s="27" t="str">
        <f>'Obrazac kalkulacije'!$E$19</f>
        <v>PDV:</v>
      </c>
      <c r="F289" s="259">
        <f>'Obrazac kalkulacije'!$F$19</f>
        <v>0.25</v>
      </c>
      <c r="G289" s="29">
        <f>G288*F289</f>
        <v>3.57</v>
      </c>
      <c r="H289" s="270" t="e">
        <f>H288-G288</f>
        <v>#REF!</v>
      </c>
      <c r="M289" s="27" t="str">
        <f>'Obrazac kalkulacije'!$E$19</f>
        <v>PDV:</v>
      </c>
      <c r="N289" s="259">
        <f>'Obrazac kalkulacije'!$F$19</f>
        <v>0.25</v>
      </c>
      <c r="O289" s="29">
        <f>O288*N289</f>
        <v>3.57</v>
      </c>
    </row>
    <row r="290" spans="1:15" ht="25.15" customHeight="1" thickTop="1" thickBot="1">
      <c r="E290" s="840" t="str">
        <f>'Obrazac kalkulacije'!$E$20</f>
        <v>Sveukupno (kn):</v>
      </c>
      <c r="F290" s="840"/>
      <c r="G290" s="29">
        <f>ROUND(SUM(G288:G289),2)</f>
        <v>17.850000000000001</v>
      </c>
      <c r="H290" s="271" t="e">
        <f>G285+H289</f>
        <v>#REF!</v>
      </c>
      <c r="M290" s="840" t="str">
        <f>'Obrazac kalkulacije'!$E$20</f>
        <v>Sveukupno (kn):</v>
      </c>
      <c r="N290" s="840"/>
      <c r="O290" s="29">
        <f>ROUND(SUM(O288:O289),2)</f>
        <v>17.850000000000001</v>
      </c>
    </row>
    <row r="291" spans="1:15" ht="15" customHeight="1" thickTop="1"/>
    <row r="292" spans="1:15" ht="15" customHeight="1"/>
    <row r="293" spans="1:15" ht="15" customHeight="1"/>
    <row r="294" spans="1:15" ht="15" customHeight="1">
      <c r="C294" s="3" t="str">
        <f>'Obrazac kalkulacije'!$C$24</f>
        <v>IZVODITELJ:</v>
      </c>
      <c r="F294" s="841" t="str">
        <f>'Obrazac kalkulacije'!$F$24</f>
        <v>NARUČITELJ:</v>
      </c>
      <c r="G294" s="841"/>
      <c r="K294" s="3" t="str">
        <f>'Obrazac kalkulacije'!$C$24</f>
        <v>IZVODITELJ:</v>
      </c>
      <c r="N294" s="841" t="str">
        <f>'Obrazac kalkulacije'!$F$24</f>
        <v>NARUČITELJ:</v>
      </c>
      <c r="O294" s="841"/>
    </row>
    <row r="295" spans="1:15" ht="25.15" customHeight="1">
      <c r="C295" s="3" t="str">
        <f>'Obrazac kalkulacije'!$C$25</f>
        <v>__________________</v>
      </c>
      <c r="F295" s="841" t="str">
        <f>'Obrazac kalkulacije'!$F$25</f>
        <v>___________________</v>
      </c>
      <c r="G295" s="841"/>
      <c r="K295" s="3" t="str">
        <f>'Obrazac kalkulacije'!$C$25</f>
        <v>__________________</v>
      </c>
      <c r="N295" s="841" t="str">
        <f>'Obrazac kalkulacije'!$F$25</f>
        <v>___________________</v>
      </c>
      <c r="O295" s="841"/>
    </row>
    <row r="296" spans="1:15" ht="15" customHeight="1">
      <c r="F296" s="841"/>
      <c r="G296" s="841"/>
      <c r="N296" s="841"/>
      <c r="O296" s="841"/>
    </row>
    <row r="297" spans="1:15" ht="15" customHeight="1"/>
    <row r="298" spans="1:15" ht="15" customHeight="1">
      <c r="A298" s="144"/>
      <c r="B298" s="145" t="s">
        <v>615</v>
      </c>
      <c r="C298" s="836" t="s">
        <v>616</v>
      </c>
      <c r="D298" s="836"/>
      <c r="E298" s="836"/>
      <c r="F298" s="836"/>
      <c r="G298" s="836"/>
      <c r="I298" s="144"/>
      <c r="J298" s="145" t="s">
        <v>615</v>
      </c>
      <c r="K298" s="836" t="s">
        <v>616</v>
      </c>
      <c r="L298" s="836"/>
      <c r="M298" s="836"/>
      <c r="N298" s="836"/>
      <c r="O298" s="836"/>
    </row>
    <row r="299" spans="1:15" ht="15" customHeight="1">
      <c r="A299" s="7"/>
      <c r="B299" s="39" t="s">
        <v>648</v>
      </c>
      <c r="C299" s="860" t="s">
        <v>649</v>
      </c>
      <c r="D299" s="860"/>
      <c r="E299" s="860"/>
      <c r="F299" s="860"/>
      <c r="G299" s="860"/>
      <c r="I299" s="7"/>
      <c r="J299" s="39" t="s">
        <v>648</v>
      </c>
      <c r="K299" s="860" t="s">
        <v>649</v>
      </c>
      <c r="L299" s="860"/>
      <c r="M299" s="860"/>
      <c r="N299" s="860"/>
      <c r="O299" s="860"/>
    </row>
    <row r="300" spans="1:15" ht="150" customHeight="1">
      <c r="A300" s="9"/>
      <c r="B300" s="556" t="s">
        <v>665</v>
      </c>
      <c r="C300" s="852" t="s">
        <v>666</v>
      </c>
      <c r="D300" s="852"/>
      <c r="E300" s="852"/>
      <c r="F300" s="852"/>
      <c r="G300" s="852"/>
      <c r="I300" s="9"/>
      <c r="J300" s="41" t="s">
        <v>665</v>
      </c>
      <c r="K300" s="869" t="s">
        <v>666</v>
      </c>
      <c r="L300" s="869"/>
      <c r="M300" s="869"/>
      <c r="N300" s="869"/>
      <c r="O300" s="869"/>
    </row>
    <row r="301" spans="1:15" ht="15" customHeight="1" thickBot="1"/>
    <row r="302" spans="1:15" ht="30" customHeight="1" thickTop="1" thickBot="1">
      <c r="A302" s="10"/>
      <c r="B302" s="99">
        <v>0</v>
      </c>
      <c r="C302" s="100" t="s">
        <v>624</v>
      </c>
      <c r="D302" s="10" t="s">
        <v>625</v>
      </c>
      <c r="E302" s="10" t="s">
        <v>626</v>
      </c>
      <c r="F302" s="10" t="s">
        <v>627</v>
      </c>
      <c r="G302" s="10" t="s">
        <v>628</v>
      </c>
      <c r="I302" s="10"/>
      <c r="J302" s="99">
        <v>0</v>
      </c>
      <c r="K302" s="100" t="s">
        <v>624</v>
      </c>
      <c r="L302" s="10" t="s">
        <v>625</v>
      </c>
      <c r="M302" s="10" t="s">
        <v>626</v>
      </c>
      <c r="N302" s="10" t="s">
        <v>627</v>
      </c>
      <c r="O302" s="10" t="s">
        <v>628</v>
      </c>
    </row>
    <row r="303" spans="1:15" ht="4.5" customHeight="1" thickTop="1">
      <c r="B303" s="42"/>
      <c r="C303" s="1"/>
      <c r="D303" s="11"/>
      <c r="E303" s="13"/>
      <c r="F303" s="258"/>
      <c r="G303" s="15"/>
      <c r="J303" s="42"/>
      <c r="K303" s="1"/>
      <c r="L303" s="11"/>
      <c r="M303" s="13"/>
      <c r="N303" s="258"/>
      <c r="O303" s="15"/>
    </row>
    <row r="304" spans="1:15" ht="25.15" customHeight="1">
      <c r="A304" s="16"/>
      <c r="B304" s="837" t="s">
        <v>565</v>
      </c>
      <c r="C304" s="837"/>
      <c r="D304" s="16"/>
      <c r="E304" s="16"/>
      <c r="F304" s="44"/>
      <c r="G304" s="18">
        <f>SUM(G305:G305)</f>
        <v>787.95047499999998</v>
      </c>
      <c r="I304" s="16"/>
      <c r="J304" s="837" t="s">
        <v>565</v>
      </c>
      <c r="K304" s="837"/>
      <c r="L304" s="16"/>
      <c r="M304" s="16"/>
      <c r="N304" s="44"/>
      <c r="O304" s="18">
        <f>SUM(O305:O305)</f>
        <v>787.95047499999998</v>
      </c>
    </row>
    <row r="305" spans="1:15" ht="25.15" customHeight="1">
      <c r="A305" s="32"/>
      <c r="B305" s="838" t="s">
        <v>53</v>
      </c>
      <c r="C305" s="838"/>
      <c r="D305" s="33" t="s">
        <v>51</v>
      </c>
      <c r="E305" s="34">
        <v>7.9962499999999999</v>
      </c>
      <c r="F305" s="238">
        <f>SUMIF('Cjenik RS'!$C$11:$C$26,$B305,'Cjenik RS'!$D$11:$D$90)</f>
        <v>98.54</v>
      </c>
      <c r="G305" s="35">
        <f>E305*F305</f>
        <v>787.95047499999998</v>
      </c>
      <c r="I305" s="32"/>
      <c r="J305" s="838" t="s">
        <v>53</v>
      </c>
      <c r="K305" s="838"/>
      <c r="L305" s="33" t="s">
        <v>51</v>
      </c>
      <c r="M305" s="34">
        <v>7.9962499999999999</v>
      </c>
      <c r="N305" s="238">
        <f>SUMIF('Cjenik RS'!$C$11:$C$26,J305,'Cjenik RS'!$D$11:$D$90)</f>
        <v>98.54</v>
      </c>
      <c r="O305" s="35">
        <f>M305*N305</f>
        <v>787.95047499999998</v>
      </c>
    </row>
    <row r="306" spans="1:15" ht="25.15" customHeight="1">
      <c r="A306" s="16"/>
      <c r="B306" s="837" t="s">
        <v>630</v>
      </c>
      <c r="C306" s="837"/>
      <c r="D306" s="16"/>
      <c r="E306" s="16"/>
      <c r="F306" s="238"/>
      <c r="G306" s="18">
        <f>SUM(G307:G307)</f>
        <v>0</v>
      </c>
      <c r="I306" s="16"/>
      <c r="J306" s="837" t="s">
        <v>630</v>
      </c>
      <c r="K306" s="837"/>
      <c r="L306" s="16"/>
      <c r="M306" s="16"/>
      <c r="N306" s="238"/>
      <c r="O306" s="18">
        <f>SUM(O307:O307)</f>
        <v>0</v>
      </c>
    </row>
    <row r="307" spans="1:15" ht="25.15" customHeight="1" thickBot="1">
      <c r="A307" s="43"/>
      <c r="B307" s="863">
        <f>'Cjenik M'!$B$30</f>
        <v>0</v>
      </c>
      <c r="C307" s="863"/>
      <c r="D307" s="52">
        <f>'Cjenik M'!$C$30</f>
        <v>0</v>
      </c>
      <c r="E307" s="53">
        <v>0.375</v>
      </c>
      <c r="F307" s="260">
        <f>'Cjenik M'!$D$30</f>
        <v>0</v>
      </c>
      <c r="G307" s="55">
        <f>E307*F307</f>
        <v>0</v>
      </c>
      <c r="I307" s="43"/>
      <c r="J307" s="863">
        <f>'Cjenik M'!$B$30</f>
        <v>0</v>
      </c>
      <c r="K307" s="863"/>
      <c r="L307" s="52">
        <f>'Cjenik M'!$C$30</f>
        <v>0</v>
      </c>
      <c r="M307" s="53">
        <v>0.375</v>
      </c>
      <c r="N307" s="260">
        <f>'Cjenik M'!$D$30</f>
        <v>0</v>
      </c>
      <c r="O307" s="55">
        <f>M307*N307</f>
        <v>0</v>
      </c>
    </row>
    <row r="308" spans="1:15" ht="25.15" customHeight="1" thickTop="1" thickBot="1">
      <c r="B308" s="47"/>
      <c r="C308" s="24"/>
      <c r="D308" s="25"/>
      <c r="E308" s="850" t="str">
        <f>'Obrazac kalkulacije'!$E$18</f>
        <v>Ukupno (kn):</v>
      </c>
      <c r="F308" s="850"/>
      <c r="G308" s="26">
        <f>ROUND(SUM(G304+G306),2)</f>
        <v>787.95</v>
      </c>
      <c r="H308" s="269" t="e">
        <f>SUMIF(#REF!,$B300,#REF!)</f>
        <v>#REF!</v>
      </c>
      <c r="J308" s="47"/>
      <c r="K308" s="24"/>
      <c r="L308" s="25"/>
      <c r="M308" s="850" t="str">
        <f>'Obrazac kalkulacije'!$E$18</f>
        <v>Ukupno (kn):</v>
      </c>
      <c r="N308" s="850"/>
      <c r="O308" s="26">
        <f>ROUND(SUM(O304+O306),2)</f>
        <v>787.95</v>
      </c>
    </row>
    <row r="309" spans="1:15" ht="25.15" customHeight="1" thickTop="1" thickBot="1">
      <c r="E309" s="27" t="str">
        <f>'Obrazac kalkulacije'!$E$19</f>
        <v>PDV:</v>
      </c>
      <c r="F309" s="259">
        <f>'Obrazac kalkulacije'!$F$19</f>
        <v>0.25</v>
      </c>
      <c r="G309" s="29">
        <f>G308*F309</f>
        <v>196.98750000000001</v>
      </c>
      <c r="H309" s="270" t="e">
        <f>H308-G308</f>
        <v>#REF!</v>
      </c>
      <c r="M309" s="27" t="str">
        <f>'Obrazac kalkulacije'!$E$19</f>
        <v>PDV:</v>
      </c>
      <c r="N309" s="259">
        <f>'Obrazac kalkulacije'!$F$19</f>
        <v>0.25</v>
      </c>
      <c r="O309" s="29">
        <f>O308*N309</f>
        <v>196.98750000000001</v>
      </c>
    </row>
    <row r="310" spans="1:15" ht="25.15" customHeight="1" thickTop="1" thickBot="1">
      <c r="E310" s="840" t="str">
        <f>'Obrazac kalkulacije'!$E$20</f>
        <v>Sveukupno (kn):</v>
      </c>
      <c r="F310" s="840"/>
      <c r="G310" s="29">
        <f>ROUND(SUM(G308:G309),2)</f>
        <v>984.94</v>
      </c>
      <c r="H310" s="271" t="e">
        <f>G305+H309</f>
        <v>#REF!</v>
      </c>
      <c r="M310" s="840" t="str">
        <f>'Obrazac kalkulacije'!$E$20</f>
        <v>Sveukupno (kn):</v>
      </c>
      <c r="N310" s="840"/>
      <c r="O310" s="29">
        <f>ROUND(SUM(O308:O309),2)</f>
        <v>984.94</v>
      </c>
    </row>
    <row r="311" spans="1:15" ht="15" customHeight="1" thickTop="1"/>
    <row r="312" spans="1:15" ht="15" customHeight="1"/>
    <row r="313" spans="1:15" ht="15" customHeight="1"/>
    <row r="314" spans="1:15" ht="15" customHeight="1">
      <c r="C314" s="3" t="str">
        <f>'Obrazac kalkulacije'!$C$24</f>
        <v>IZVODITELJ:</v>
      </c>
      <c r="F314" s="841" t="str">
        <f>'Obrazac kalkulacije'!$F$24</f>
        <v>NARUČITELJ:</v>
      </c>
      <c r="G314" s="841"/>
      <c r="K314" s="3" t="str">
        <f>'Obrazac kalkulacije'!$C$24</f>
        <v>IZVODITELJ:</v>
      </c>
      <c r="N314" s="841" t="str">
        <f>'Obrazac kalkulacije'!$F$24</f>
        <v>NARUČITELJ:</v>
      </c>
      <c r="O314" s="841"/>
    </row>
    <row r="315" spans="1:15" ht="25.15" customHeight="1">
      <c r="C315" s="3" t="str">
        <f>'Obrazac kalkulacije'!$C$25</f>
        <v>__________________</v>
      </c>
      <c r="F315" s="841" t="str">
        <f>'Obrazac kalkulacije'!$F$25</f>
        <v>___________________</v>
      </c>
      <c r="G315" s="841"/>
      <c r="K315" s="3" t="str">
        <f>'Obrazac kalkulacije'!$C$25</f>
        <v>__________________</v>
      </c>
      <c r="N315" s="841" t="str">
        <f>'Obrazac kalkulacije'!$F$25</f>
        <v>___________________</v>
      </c>
      <c r="O315" s="841"/>
    </row>
    <row r="316" spans="1:15" ht="15" customHeight="1">
      <c r="F316" s="841"/>
      <c r="G316" s="841"/>
      <c r="N316" s="841"/>
      <c r="O316" s="841"/>
    </row>
    <row r="317" spans="1:15" ht="15" customHeight="1"/>
    <row r="318" spans="1:15" ht="15" customHeight="1">
      <c r="A318" s="144"/>
      <c r="B318" s="145" t="s">
        <v>615</v>
      </c>
      <c r="C318" s="836" t="s">
        <v>616</v>
      </c>
      <c r="D318" s="836"/>
      <c r="E318" s="836"/>
      <c r="F318" s="836"/>
      <c r="G318" s="836"/>
      <c r="I318" s="144"/>
      <c r="J318" s="145" t="s">
        <v>615</v>
      </c>
      <c r="K318" s="836" t="s">
        <v>616</v>
      </c>
      <c r="L318" s="836"/>
      <c r="M318" s="836"/>
      <c r="N318" s="836"/>
      <c r="O318" s="836"/>
    </row>
    <row r="319" spans="1:15" ht="15" customHeight="1">
      <c r="A319" s="7"/>
      <c r="B319" s="39" t="s">
        <v>648</v>
      </c>
      <c r="C319" s="860" t="s">
        <v>649</v>
      </c>
      <c r="D319" s="860"/>
      <c r="E319" s="860"/>
      <c r="F319" s="860"/>
      <c r="G319" s="860"/>
      <c r="I319" s="7"/>
      <c r="J319" s="39" t="s">
        <v>648</v>
      </c>
      <c r="K319" s="860" t="s">
        <v>649</v>
      </c>
      <c r="L319" s="860"/>
      <c r="M319" s="860"/>
      <c r="N319" s="860"/>
      <c r="O319" s="860"/>
    </row>
    <row r="320" spans="1:15" ht="150" customHeight="1">
      <c r="A320" s="9"/>
      <c r="B320" s="556" t="s">
        <v>667</v>
      </c>
      <c r="C320" s="852" t="s">
        <v>668</v>
      </c>
      <c r="D320" s="852"/>
      <c r="E320" s="852"/>
      <c r="F320" s="852"/>
      <c r="G320" s="852"/>
      <c r="I320" s="9"/>
      <c r="J320" s="41" t="s">
        <v>667</v>
      </c>
      <c r="K320" s="869" t="s">
        <v>669</v>
      </c>
      <c r="L320" s="869"/>
      <c r="M320" s="869"/>
      <c r="N320" s="869"/>
      <c r="O320" s="869"/>
    </row>
    <row r="321" spans="1:15" ht="15" customHeight="1" thickBot="1"/>
    <row r="322" spans="1:15" ht="30" customHeight="1" thickTop="1" thickBot="1">
      <c r="A322" s="10"/>
      <c r="B322" s="99">
        <v>0</v>
      </c>
      <c r="C322" s="100" t="s">
        <v>624</v>
      </c>
      <c r="D322" s="10" t="s">
        <v>625</v>
      </c>
      <c r="E322" s="10" t="s">
        <v>626</v>
      </c>
      <c r="F322" s="10" t="s">
        <v>627</v>
      </c>
      <c r="G322" s="10" t="s">
        <v>628</v>
      </c>
      <c r="I322" s="10"/>
      <c r="J322" s="99">
        <v>0</v>
      </c>
      <c r="K322" s="100" t="s">
        <v>624</v>
      </c>
      <c r="L322" s="10" t="s">
        <v>625</v>
      </c>
      <c r="M322" s="10" t="s">
        <v>626</v>
      </c>
      <c r="N322" s="10" t="s">
        <v>627</v>
      </c>
      <c r="O322" s="10" t="s">
        <v>628</v>
      </c>
    </row>
    <row r="323" spans="1:15" ht="4.5" customHeight="1" thickTop="1">
      <c r="B323" s="42"/>
      <c r="C323" s="1"/>
      <c r="D323" s="11"/>
      <c r="E323" s="13"/>
      <c r="F323" s="258"/>
      <c r="G323" s="15"/>
      <c r="J323" s="42"/>
      <c r="K323" s="1"/>
      <c r="L323" s="11"/>
      <c r="M323" s="13"/>
      <c r="N323" s="258"/>
      <c r="O323" s="15"/>
    </row>
    <row r="324" spans="1:15" ht="25.15" customHeight="1">
      <c r="A324" s="16"/>
      <c r="B324" s="837" t="s">
        <v>565</v>
      </c>
      <c r="C324" s="837"/>
      <c r="D324" s="16"/>
      <c r="E324" s="16"/>
      <c r="F324" s="44"/>
      <c r="G324" s="18">
        <f>SUM(G325:G325)</f>
        <v>976.25923252000007</v>
      </c>
      <c r="I324" s="16"/>
      <c r="J324" s="837" t="s">
        <v>565</v>
      </c>
      <c r="K324" s="837"/>
      <c r="L324" s="16"/>
      <c r="M324" s="16"/>
      <c r="N324" s="44"/>
      <c r="O324" s="18">
        <f>SUM(O325:O325)</f>
        <v>976.25923252000007</v>
      </c>
    </row>
    <row r="325" spans="1:15" ht="25.15" customHeight="1">
      <c r="A325" s="32"/>
      <c r="B325" s="838" t="s">
        <v>53</v>
      </c>
      <c r="C325" s="838"/>
      <c r="D325" s="33" t="s">
        <v>51</v>
      </c>
      <c r="E325" s="34">
        <v>9.9072379999999995</v>
      </c>
      <c r="F325" s="238">
        <f>SUMIF('Cjenik RS'!$C$11:$C$26,$B325,'Cjenik RS'!$D$11:$D$90)</f>
        <v>98.54</v>
      </c>
      <c r="G325" s="35">
        <f>E325*F325</f>
        <v>976.25923252000007</v>
      </c>
      <c r="I325" s="32"/>
      <c r="J325" s="838" t="s">
        <v>53</v>
      </c>
      <c r="K325" s="838"/>
      <c r="L325" s="33" t="s">
        <v>51</v>
      </c>
      <c r="M325" s="34">
        <v>9.9072379999999995</v>
      </c>
      <c r="N325" s="238">
        <f>SUMIF('Cjenik RS'!$C$11:$C$26,J325,'Cjenik RS'!$D$11:$D$90)</f>
        <v>98.54</v>
      </c>
      <c r="O325" s="35">
        <f>M325*N325</f>
        <v>976.25923252000007</v>
      </c>
    </row>
    <row r="326" spans="1:15" ht="25.15" customHeight="1">
      <c r="A326" s="16"/>
      <c r="B326" s="837" t="s">
        <v>566</v>
      </c>
      <c r="C326" s="837"/>
      <c r="D326" s="16"/>
      <c r="E326" s="16"/>
      <c r="F326" s="238"/>
      <c r="G326" s="18">
        <f>SUM(G327:G327)</f>
        <v>139.40340952937743</v>
      </c>
      <c r="I326" s="16"/>
      <c r="J326" s="837" t="s">
        <v>566</v>
      </c>
      <c r="K326" s="837"/>
      <c r="L326" s="16"/>
      <c r="M326" s="16"/>
      <c r="N326" s="238"/>
      <c r="O326" s="18">
        <f>SUM(O327:O327)</f>
        <v>152.28643199999999</v>
      </c>
    </row>
    <row r="327" spans="1:15" ht="25.15" customHeight="1">
      <c r="A327" s="51"/>
      <c r="B327" s="849" t="s">
        <v>69</v>
      </c>
      <c r="C327" s="849"/>
      <c r="D327" s="52" t="s">
        <v>51</v>
      </c>
      <c r="E327" s="86">
        <v>0.77618824904998573</v>
      </c>
      <c r="F327" s="260">
        <f>SUMIF('Cjenik VSO'!$B$9:$B$85,$B327,'Cjenik VSO'!$C$9:$C$85)</f>
        <v>179.6</v>
      </c>
      <c r="G327" s="54">
        <f>E327*F327</f>
        <v>139.40340952937743</v>
      </c>
      <c r="I327" s="51"/>
      <c r="J327" s="849" t="s">
        <v>69</v>
      </c>
      <c r="K327" s="849"/>
      <c r="L327" s="52" t="s">
        <v>51</v>
      </c>
      <c r="M327" s="86">
        <v>0.84792000000000001</v>
      </c>
      <c r="N327" s="260">
        <f>SUMIF('Cjenik VSO'!$B$9:$B$85,$B327,'Cjenik VSO'!$C$9:$C$85)</f>
        <v>179.6</v>
      </c>
      <c r="O327" s="54">
        <f>M327*N327</f>
        <v>152.28643199999999</v>
      </c>
    </row>
    <row r="328" spans="1:15" ht="25.15" customHeight="1">
      <c r="A328" s="16"/>
      <c r="B328" s="837" t="s">
        <v>630</v>
      </c>
      <c r="C328" s="837"/>
      <c r="D328" s="16"/>
      <c r="E328" s="16"/>
      <c r="F328" s="238"/>
      <c r="G328" s="18">
        <f>SUM(G329:G332)</f>
        <v>0</v>
      </c>
      <c r="I328" s="16"/>
      <c r="J328" s="837" t="s">
        <v>630</v>
      </c>
      <c r="K328" s="837"/>
      <c r="L328" s="16"/>
      <c r="M328" s="16"/>
      <c r="N328" s="238"/>
      <c r="O328" s="18">
        <f>SUM(O329:O332)</f>
        <v>0</v>
      </c>
    </row>
    <row r="329" spans="1:15" ht="25.15" customHeight="1">
      <c r="A329" s="51"/>
      <c r="B329" s="863">
        <f>'Cjenik M'!$B$30</f>
        <v>0</v>
      </c>
      <c r="C329" s="863"/>
      <c r="D329" s="52">
        <f>'Cjenik M'!$C$30</f>
        <v>0</v>
      </c>
      <c r="E329" s="53">
        <v>0.375</v>
      </c>
      <c r="F329" s="260">
        <f>'Cjenik M'!$D$30</f>
        <v>0</v>
      </c>
      <c r="G329" s="55">
        <f>E329*F329</f>
        <v>0</v>
      </c>
      <c r="I329" s="51"/>
      <c r="J329" s="863">
        <f>'Cjenik M'!$B$30</f>
        <v>0</v>
      </c>
      <c r="K329" s="863"/>
      <c r="L329" s="52">
        <f>'Cjenik M'!$C$30</f>
        <v>0</v>
      </c>
      <c r="M329" s="53">
        <v>0.375</v>
      </c>
      <c r="N329" s="260">
        <f>'Cjenik M'!$D$30</f>
        <v>0</v>
      </c>
      <c r="O329" s="55">
        <f>M329*N329</f>
        <v>0</v>
      </c>
    </row>
    <row r="330" spans="1:15" ht="25.15" customHeight="1">
      <c r="A330" s="56"/>
      <c r="B330" s="834">
        <f>'Cjenik M'!$B$31</f>
        <v>0</v>
      </c>
      <c r="C330" s="834"/>
      <c r="D330" s="57">
        <f>'Cjenik M'!$C$31</f>
        <v>0</v>
      </c>
      <c r="E330" s="58">
        <v>4.0800000000000003E-2</v>
      </c>
      <c r="F330" s="263">
        <f>'Cjenik M'!$D$31</f>
        <v>0</v>
      </c>
      <c r="G330" s="60">
        <f>E330*F330</f>
        <v>0</v>
      </c>
      <c r="I330" s="56"/>
      <c r="J330" s="834">
        <f>'Cjenik M'!$B$31</f>
        <v>0</v>
      </c>
      <c r="K330" s="834"/>
      <c r="L330" s="57">
        <f>'Cjenik M'!$C$31</f>
        <v>0</v>
      </c>
      <c r="M330" s="58">
        <v>4.0800000000000003E-2</v>
      </c>
      <c r="N330" s="263">
        <f>'Cjenik M'!$D$31</f>
        <v>0</v>
      </c>
      <c r="O330" s="60">
        <f>M330*N330</f>
        <v>0</v>
      </c>
    </row>
    <row r="331" spans="1:15" ht="25.15" customHeight="1">
      <c r="A331" s="56"/>
      <c r="B331" s="834">
        <f>'Cjenik M'!$B$105</f>
        <v>0</v>
      </c>
      <c r="C331" s="834"/>
      <c r="D331" s="57">
        <f>'Cjenik M'!$C$105</f>
        <v>0</v>
      </c>
      <c r="E331" s="58">
        <v>0.25</v>
      </c>
      <c r="F331" s="263">
        <f>'Cjenik M'!$D$105</f>
        <v>0</v>
      </c>
      <c r="G331" s="60">
        <f>E331*F331</f>
        <v>0</v>
      </c>
      <c r="I331" s="56"/>
      <c r="J331" s="834">
        <f>'Cjenik M'!$B$105</f>
        <v>0</v>
      </c>
      <c r="K331" s="834"/>
      <c r="L331" s="57">
        <f>'Cjenik M'!$C$105</f>
        <v>0</v>
      </c>
      <c r="M331" s="58">
        <v>0.25</v>
      </c>
      <c r="N331" s="263">
        <f>'Cjenik M'!$D$105</f>
        <v>0</v>
      </c>
      <c r="O331" s="60">
        <f>M331*N331</f>
        <v>0</v>
      </c>
    </row>
    <row r="332" spans="1:15" ht="25.15" customHeight="1" thickBot="1">
      <c r="A332" s="66"/>
      <c r="B332" s="859">
        <f>'Cjenik M'!$B$82</f>
        <v>0</v>
      </c>
      <c r="C332" s="859"/>
      <c r="D332" s="67">
        <f>'Cjenik M'!$C$82</f>
        <v>0</v>
      </c>
      <c r="E332" s="68">
        <v>1.6E-2</v>
      </c>
      <c r="F332" s="262">
        <f>'Cjenik M'!$D$82</f>
        <v>0</v>
      </c>
      <c r="G332" s="70">
        <f>E332*F332</f>
        <v>0</v>
      </c>
      <c r="I332" s="66"/>
      <c r="J332" s="859">
        <f>'Cjenik M'!$B$82</f>
        <v>0</v>
      </c>
      <c r="K332" s="859"/>
      <c r="L332" s="67">
        <f>'Cjenik M'!$C$82</f>
        <v>0</v>
      </c>
      <c r="M332" s="68">
        <v>1.6E-2</v>
      </c>
      <c r="N332" s="262">
        <f>'Cjenik M'!$D$82</f>
        <v>0</v>
      </c>
      <c r="O332" s="70">
        <f>M332*N332</f>
        <v>0</v>
      </c>
    </row>
    <row r="333" spans="1:15" ht="25.15" customHeight="1" thickTop="1" thickBot="1">
      <c r="E333" s="868" t="str">
        <f>'Obrazac kalkulacije'!$E$18</f>
        <v>Ukupno (kn):</v>
      </c>
      <c r="F333" s="868"/>
      <c r="G333" s="71">
        <f>ROUND(SUM(G324+G326+G328),2)</f>
        <v>1115.6600000000001</v>
      </c>
      <c r="H333" s="269" t="e">
        <f>SUMIF(#REF!,$B320,#REF!)</f>
        <v>#REF!</v>
      </c>
      <c r="M333" s="868" t="str">
        <f>'Obrazac kalkulacije'!$E$18</f>
        <v>Ukupno (kn):</v>
      </c>
      <c r="N333" s="868"/>
      <c r="O333" s="71">
        <f>ROUND(SUM(O324+O326+O328),2)</f>
        <v>1128.55</v>
      </c>
    </row>
    <row r="334" spans="1:15" ht="25.15" customHeight="1" thickTop="1" thickBot="1">
      <c r="E334" s="27" t="str">
        <f>'Obrazac kalkulacije'!$E$19</f>
        <v>PDV:</v>
      </c>
      <c r="F334" s="259">
        <f>'Obrazac kalkulacije'!$F$19</f>
        <v>0.25</v>
      </c>
      <c r="G334" s="29">
        <f>G333*F334</f>
        <v>278.91500000000002</v>
      </c>
      <c r="H334" s="270" t="e">
        <f>H333-G333</f>
        <v>#REF!</v>
      </c>
      <c r="M334" s="27" t="str">
        <f>'Obrazac kalkulacije'!$E$19</f>
        <v>PDV:</v>
      </c>
      <c r="N334" s="259">
        <f>'Obrazac kalkulacije'!$F$19</f>
        <v>0.25</v>
      </c>
      <c r="O334" s="29">
        <f>O333*N334</f>
        <v>282.13749999999999</v>
      </c>
    </row>
    <row r="335" spans="1:15" ht="25.15" customHeight="1" thickTop="1" thickBot="1">
      <c r="E335" s="840" t="str">
        <f>'Obrazac kalkulacije'!$E$20</f>
        <v>Sveukupno (kn):</v>
      </c>
      <c r="F335" s="840"/>
      <c r="G335" s="29">
        <f>ROUND(SUM(G333:G334),2)</f>
        <v>1394.58</v>
      </c>
      <c r="H335" s="271" t="e">
        <f>G327+H334</f>
        <v>#REF!</v>
      </c>
      <c r="M335" s="840" t="str">
        <f>'Obrazac kalkulacije'!$E$20</f>
        <v>Sveukupno (kn):</v>
      </c>
      <c r="N335" s="840"/>
      <c r="O335" s="29">
        <f>ROUND(SUM(O333:O334),2)</f>
        <v>1410.69</v>
      </c>
    </row>
    <row r="336" spans="1:15" ht="15" customHeight="1" thickTop="1"/>
    <row r="337" spans="1:15" ht="15" customHeight="1"/>
    <row r="338" spans="1:15" ht="15" customHeight="1"/>
    <row r="339" spans="1:15" ht="15" customHeight="1">
      <c r="C339" s="3" t="str">
        <f>'Obrazac kalkulacije'!$C$24</f>
        <v>IZVODITELJ:</v>
      </c>
      <c r="F339" s="841" t="str">
        <f>'Obrazac kalkulacije'!$F$24</f>
        <v>NARUČITELJ:</v>
      </c>
      <c r="G339" s="841"/>
      <c r="K339" s="3" t="str">
        <f>'Obrazac kalkulacije'!$C$24</f>
        <v>IZVODITELJ:</v>
      </c>
      <c r="N339" s="841" t="str">
        <f>'Obrazac kalkulacije'!$F$24</f>
        <v>NARUČITELJ:</v>
      </c>
      <c r="O339" s="841"/>
    </row>
    <row r="340" spans="1:15" ht="25.15" customHeight="1">
      <c r="C340" s="3" t="str">
        <f>'Obrazac kalkulacije'!$C$25</f>
        <v>__________________</v>
      </c>
      <c r="F340" s="841" t="str">
        <f>'Obrazac kalkulacije'!$F$25</f>
        <v>___________________</v>
      </c>
      <c r="G340" s="841"/>
      <c r="K340" s="3" t="str">
        <f>'Obrazac kalkulacije'!$C$25</f>
        <v>__________________</v>
      </c>
      <c r="N340" s="841" t="str">
        <f>'Obrazac kalkulacije'!$F$25</f>
        <v>___________________</v>
      </c>
      <c r="O340" s="841"/>
    </row>
    <row r="341" spans="1:15" ht="15" customHeight="1">
      <c r="F341" s="841"/>
      <c r="G341" s="841"/>
      <c r="N341" s="841"/>
      <c r="O341" s="841"/>
    </row>
    <row r="342" spans="1:15" ht="15" customHeight="1"/>
    <row r="343" spans="1:15" ht="15" customHeight="1">
      <c r="A343" s="144"/>
      <c r="B343" s="145" t="s">
        <v>615</v>
      </c>
      <c r="C343" s="836" t="s">
        <v>616</v>
      </c>
      <c r="D343" s="836"/>
      <c r="E343" s="836"/>
      <c r="F343" s="836"/>
      <c r="G343" s="836"/>
      <c r="I343" s="144"/>
      <c r="J343" s="145" t="s">
        <v>615</v>
      </c>
      <c r="K343" s="836" t="s">
        <v>616</v>
      </c>
      <c r="L343" s="836"/>
      <c r="M343" s="836"/>
      <c r="N343" s="836"/>
      <c r="O343" s="836"/>
    </row>
    <row r="344" spans="1:15" ht="15" customHeight="1">
      <c r="A344" s="7"/>
      <c r="B344" s="39" t="s">
        <v>648</v>
      </c>
      <c r="C344" s="860" t="s">
        <v>649</v>
      </c>
      <c r="D344" s="860"/>
      <c r="E344" s="860"/>
      <c r="F344" s="860"/>
      <c r="G344" s="860"/>
      <c r="I344" s="7"/>
      <c r="J344" s="39" t="s">
        <v>648</v>
      </c>
      <c r="K344" s="860" t="s">
        <v>649</v>
      </c>
      <c r="L344" s="860"/>
      <c r="M344" s="860"/>
      <c r="N344" s="860"/>
      <c r="O344" s="860"/>
    </row>
    <row r="345" spans="1:15" ht="150" customHeight="1">
      <c r="A345" s="9"/>
      <c r="B345" s="556" t="s">
        <v>670</v>
      </c>
      <c r="C345" s="852" t="s">
        <v>671</v>
      </c>
      <c r="D345" s="852"/>
      <c r="E345" s="852"/>
      <c r="F345" s="852"/>
      <c r="G345" s="852"/>
      <c r="I345" s="9"/>
      <c r="J345" s="41" t="s">
        <v>670</v>
      </c>
      <c r="K345" s="869" t="s">
        <v>672</v>
      </c>
      <c r="L345" s="869"/>
      <c r="M345" s="869"/>
      <c r="N345" s="869"/>
      <c r="O345" s="869"/>
    </row>
    <row r="346" spans="1:15" ht="15" customHeight="1" thickBot="1"/>
    <row r="347" spans="1:15" ht="30" customHeight="1" thickTop="1" thickBot="1">
      <c r="A347" s="10"/>
      <c r="B347" s="99">
        <v>0</v>
      </c>
      <c r="C347" s="100" t="s">
        <v>624</v>
      </c>
      <c r="D347" s="10" t="s">
        <v>625</v>
      </c>
      <c r="E347" s="10" t="s">
        <v>626</v>
      </c>
      <c r="F347" s="10" t="s">
        <v>627</v>
      </c>
      <c r="G347" s="10" t="s">
        <v>628</v>
      </c>
      <c r="I347" s="10"/>
      <c r="J347" s="99">
        <v>0</v>
      </c>
      <c r="K347" s="100" t="s">
        <v>624</v>
      </c>
      <c r="L347" s="10" t="s">
        <v>625</v>
      </c>
      <c r="M347" s="10" t="s">
        <v>626</v>
      </c>
      <c r="N347" s="10" t="s">
        <v>627</v>
      </c>
      <c r="O347" s="10" t="s">
        <v>628</v>
      </c>
    </row>
    <row r="348" spans="1:15" ht="4.5" customHeight="1" thickTop="1">
      <c r="B348" s="42"/>
      <c r="C348" s="1"/>
      <c r="D348" s="11"/>
      <c r="E348" s="13"/>
      <c r="F348" s="258"/>
      <c r="G348" s="15"/>
      <c r="J348" s="42"/>
      <c r="K348" s="1"/>
      <c r="L348" s="11"/>
      <c r="M348" s="13"/>
      <c r="N348" s="258"/>
      <c r="O348" s="15"/>
    </row>
    <row r="349" spans="1:15" ht="25.15" customHeight="1">
      <c r="A349" s="16"/>
      <c r="B349" s="837" t="s">
        <v>565</v>
      </c>
      <c r="C349" s="837"/>
      <c r="D349" s="16"/>
      <c r="E349" s="16"/>
      <c r="F349" s="44"/>
      <c r="G349" s="18">
        <f>SUM(G350:G350)</f>
        <v>782.75278562000005</v>
      </c>
      <c r="I349" s="16"/>
      <c r="J349" s="837" t="s">
        <v>565</v>
      </c>
      <c r="K349" s="837"/>
      <c r="L349" s="16"/>
      <c r="M349" s="16"/>
      <c r="N349" s="44"/>
      <c r="O349" s="18">
        <f>SUM(O350:O350)</f>
        <v>782.75278562000005</v>
      </c>
    </row>
    <row r="350" spans="1:15" ht="25.15" customHeight="1">
      <c r="A350" s="32"/>
      <c r="B350" s="838" t="s">
        <v>53</v>
      </c>
      <c r="C350" s="838"/>
      <c r="D350" s="33" t="s">
        <v>51</v>
      </c>
      <c r="E350" s="34">
        <v>7.9435029999999998</v>
      </c>
      <c r="F350" s="238">
        <f>SUMIF('Cjenik RS'!$C$11:$C$26,$B350,'Cjenik RS'!$D$11:$D$90)</f>
        <v>98.54</v>
      </c>
      <c r="G350" s="35">
        <f>E350*F350</f>
        <v>782.75278562000005</v>
      </c>
      <c r="I350" s="32"/>
      <c r="J350" s="838" t="s">
        <v>53</v>
      </c>
      <c r="K350" s="838"/>
      <c r="L350" s="33" t="s">
        <v>51</v>
      </c>
      <c r="M350" s="34">
        <v>7.9435029999999998</v>
      </c>
      <c r="N350" s="238">
        <f>SUMIF('Cjenik RS'!$C$11:$C$26,J350,'Cjenik RS'!$D$11:$D$90)</f>
        <v>98.54</v>
      </c>
      <c r="O350" s="35">
        <f>M350*N350</f>
        <v>782.75278562000005</v>
      </c>
    </row>
    <row r="351" spans="1:15" ht="25.15" customHeight="1">
      <c r="A351" s="16"/>
      <c r="B351" s="837" t="s">
        <v>566</v>
      </c>
      <c r="C351" s="837"/>
      <c r="D351" s="16"/>
      <c r="E351" s="16"/>
      <c r="F351" s="238"/>
      <c r="G351" s="18">
        <f>SUM(G352:G353)</f>
        <v>223.61213477270547</v>
      </c>
      <c r="I351" s="16"/>
      <c r="J351" s="837" t="s">
        <v>566</v>
      </c>
      <c r="K351" s="837"/>
      <c r="L351" s="16"/>
      <c r="M351" s="16"/>
      <c r="N351" s="238"/>
      <c r="O351" s="18">
        <f>SUM(O352:O353)</f>
        <v>340.19100159999999</v>
      </c>
    </row>
    <row r="352" spans="1:15" ht="25.15" customHeight="1">
      <c r="A352" s="51"/>
      <c r="B352" s="849" t="s">
        <v>69</v>
      </c>
      <c r="C352" s="849"/>
      <c r="D352" s="52" t="s">
        <v>51</v>
      </c>
      <c r="E352" s="86">
        <v>0.87334299999999998</v>
      </c>
      <c r="F352" s="260">
        <f>SUMIF('Cjenik VSO'!$B$9:$B$85,$B352,'Cjenik VSO'!$C$9:$C$85)</f>
        <v>179.6</v>
      </c>
      <c r="G352" s="54">
        <f>E352*F352</f>
        <v>156.85240279999999</v>
      </c>
      <c r="I352" s="51"/>
      <c r="J352" s="849" t="s">
        <v>69</v>
      </c>
      <c r="K352" s="849"/>
      <c r="L352" s="52" t="s">
        <v>51</v>
      </c>
      <c r="M352" s="86">
        <v>0.87334299999999998</v>
      </c>
      <c r="N352" s="260">
        <f>SUMIF('Cjenik VSO'!$B$9:$B$85,$B352,'Cjenik VSO'!$C$9:$C$85)</f>
        <v>179.6</v>
      </c>
      <c r="O352" s="54">
        <f>M352*N352</f>
        <v>156.85240279999999</v>
      </c>
    </row>
    <row r="353" spans="1:15" ht="25.15" customHeight="1">
      <c r="A353" s="61"/>
      <c r="B353" s="855" t="s">
        <v>288</v>
      </c>
      <c r="C353" s="855"/>
      <c r="D353" s="62" t="s">
        <v>51</v>
      </c>
      <c r="E353" s="87">
        <v>0.39086494129218669</v>
      </c>
      <c r="F353" s="261">
        <f>SUMIF('Cjenik VSO'!$B$9:$B$85,$B353,'Cjenik VSO'!$C$9:$C$85)</f>
        <v>170.8</v>
      </c>
      <c r="G353" s="64">
        <f>E353*F353</f>
        <v>66.759731972705495</v>
      </c>
      <c r="I353" s="61"/>
      <c r="J353" s="855" t="s">
        <v>288</v>
      </c>
      <c r="K353" s="855"/>
      <c r="L353" s="62" t="s">
        <v>51</v>
      </c>
      <c r="M353" s="87">
        <v>1.0734109999999999</v>
      </c>
      <c r="N353" s="261">
        <f>SUMIF('Cjenik VSO'!$B$9:$B$85,$B353,'Cjenik VSO'!$C$9:$C$85)</f>
        <v>170.8</v>
      </c>
      <c r="O353" s="64">
        <f>M353*N353</f>
        <v>183.3385988</v>
      </c>
    </row>
    <row r="354" spans="1:15" ht="25.15" customHeight="1">
      <c r="A354" s="16"/>
      <c r="B354" s="837" t="s">
        <v>630</v>
      </c>
      <c r="C354" s="837"/>
      <c r="D354" s="16"/>
      <c r="E354" s="16"/>
      <c r="F354" s="238"/>
      <c r="G354" s="18">
        <f>SUM(G355:G356)</f>
        <v>0</v>
      </c>
      <c r="I354" s="16"/>
      <c r="J354" s="837" t="s">
        <v>630</v>
      </c>
      <c r="K354" s="837"/>
      <c r="L354" s="16"/>
      <c r="M354" s="16"/>
      <c r="N354" s="238"/>
      <c r="O354" s="18">
        <f>SUM(O355:O356)</f>
        <v>0</v>
      </c>
    </row>
    <row r="355" spans="1:15" ht="25.15" customHeight="1">
      <c r="A355" s="56"/>
      <c r="B355" s="834">
        <f>'Cjenik M'!$B$31</f>
        <v>0</v>
      </c>
      <c r="C355" s="834"/>
      <c r="D355" s="57">
        <f>'Cjenik M'!$C$31</f>
        <v>0</v>
      </c>
      <c r="E355" s="58">
        <v>5.3600000000000002E-2</v>
      </c>
      <c r="F355" s="263">
        <f>'Cjenik M'!$D$31</f>
        <v>0</v>
      </c>
      <c r="G355" s="60">
        <f>E355*F355</f>
        <v>0</v>
      </c>
      <c r="I355" s="56"/>
      <c r="J355" s="834">
        <f>'Cjenik M'!$B$31</f>
        <v>0</v>
      </c>
      <c r="K355" s="834"/>
      <c r="L355" s="57">
        <f>'Cjenik M'!$C$31</f>
        <v>0</v>
      </c>
      <c r="M355" s="58">
        <v>5.3600000000000002E-2</v>
      </c>
      <c r="N355" s="263">
        <f>'Cjenik M'!$D$31</f>
        <v>0</v>
      </c>
      <c r="O355" s="60">
        <f>M355*N355</f>
        <v>0</v>
      </c>
    </row>
    <row r="356" spans="1:15" ht="25.15" customHeight="1" thickBot="1">
      <c r="A356" s="66"/>
      <c r="B356" s="859">
        <f>'Cjenik M'!$B$34</f>
        <v>0</v>
      </c>
      <c r="C356" s="859"/>
      <c r="D356" s="67">
        <f>'Cjenik M'!$C$34</f>
        <v>0</v>
      </c>
      <c r="E356" s="68">
        <v>1</v>
      </c>
      <c r="F356" s="262">
        <f>'Cjenik M'!$D$34</f>
        <v>0</v>
      </c>
      <c r="G356" s="70">
        <f>E356*F356</f>
        <v>0</v>
      </c>
      <c r="I356" s="66"/>
      <c r="J356" s="859">
        <f>'Cjenik M'!$B$34</f>
        <v>0</v>
      </c>
      <c r="K356" s="859"/>
      <c r="L356" s="67">
        <f>'Cjenik M'!$C$34</f>
        <v>0</v>
      </c>
      <c r="M356" s="68">
        <v>1</v>
      </c>
      <c r="N356" s="262">
        <f>'Cjenik M'!$D$34</f>
        <v>0</v>
      </c>
      <c r="O356" s="70">
        <f>M356*N356</f>
        <v>0</v>
      </c>
    </row>
    <row r="357" spans="1:15" ht="25.15" customHeight="1" thickTop="1" thickBot="1">
      <c r="E357" s="868" t="str">
        <f>'Obrazac kalkulacije'!$E$18</f>
        <v>Ukupno (kn):</v>
      </c>
      <c r="F357" s="868"/>
      <c r="G357" s="71">
        <f>ROUND(SUM(G349+G351+G354),2)</f>
        <v>1006.36</v>
      </c>
      <c r="H357" s="269" t="e">
        <f>SUMIF(#REF!,$B345,#REF!)</f>
        <v>#REF!</v>
      </c>
      <c r="M357" s="868" t="str">
        <f>'Obrazac kalkulacije'!$E$18</f>
        <v>Ukupno (kn):</v>
      </c>
      <c r="N357" s="868"/>
      <c r="O357" s="71">
        <f>ROUND(SUM(O349+O351+O354),2)</f>
        <v>1122.94</v>
      </c>
    </row>
    <row r="358" spans="1:15" ht="25.15" customHeight="1" thickTop="1" thickBot="1">
      <c r="E358" s="27" t="str">
        <f>'Obrazac kalkulacije'!$E$19</f>
        <v>PDV:</v>
      </c>
      <c r="F358" s="259">
        <f>'Obrazac kalkulacije'!$F$19</f>
        <v>0.25</v>
      </c>
      <c r="G358" s="29">
        <f>G357*F358</f>
        <v>251.59</v>
      </c>
      <c r="H358" s="270" t="e">
        <f>H357-G357</f>
        <v>#REF!</v>
      </c>
      <c r="M358" s="27" t="str">
        <f>'Obrazac kalkulacije'!$E$19</f>
        <v>PDV:</v>
      </c>
      <c r="N358" s="259">
        <f>'Obrazac kalkulacije'!$F$19</f>
        <v>0.25</v>
      </c>
      <c r="O358" s="29">
        <f>O357*N358</f>
        <v>280.73500000000001</v>
      </c>
    </row>
    <row r="359" spans="1:15" ht="25.15" customHeight="1" thickTop="1" thickBot="1">
      <c r="E359" s="840" t="str">
        <f>'Obrazac kalkulacije'!$E$20</f>
        <v>Sveukupno (kn):</v>
      </c>
      <c r="F359" s="840"/>
      <c r="G359" s="29">
        <f>ROUND(SUM(G357:G358),2)</f>
        <v>1257.95</v>
      </c>
      <c r="H359" s="271" t="e">
        <f>G353+H358</f>
        <v>#REF!</v>
      </c>
      <c r="M359" s="840" t="str">
        <f>'Obrazac kalkulacije'!$E$20</f>
        <v>Sveukupno (kn):</v>
      </c>
      <c r="N359" s="840"/>
      <c r="O359" s="29">
        <f>ROUND(SUM(O357:O358),2)</f>
        <v>1403.68</v>
      </c>
    </row>
    <row r="360" spans="1:15" ht="15" customHeight="1" thickTop="1"/>
    <row r="361" spans="1:15" ht="15" customHeight="1"/>
    <row r="362" spans="1:15" ht="15" customHeight="1"/>
    <row r="363" spans="1:15" ht="15" customHeight="1">
      <c r="C363" s="3" t="str">
        <f>'Obrazac kalkulacije'!$C$24</f>
        <v>IZVODITELJ:</v>
      </c>
      <c r="F363" s="841" t="str">
        <f>'Obrazac kalkulacije'!$F$24</f>
        <v>NARUČITELJ:</v>
      </c>
      <c r="G363" s="841"/>
      <c r="K363" s="3" t="str">
        <f>'Obrazac kalkulacije'!$C$24</f>
        <v>IZVODITELJ:</v>
      </c>
      <c r="N363" s="841" t="str">
        <f>'Obrazac kalkulacije'!$F$24</f>
        <v>NARUČITELJ:</v>
      </c>
      <c r="O363" s="841"/>
    </row>
    <row r="364" spans="1:15" ht="25.15" customHeight="1">
      <c r="C364" s="3" t="str">
        <f>'Obrazac kalkulacije'!$C$25</f>
        <v>__________________</v>
      </c>
      <c r="F364" s="841" t="str">
        <f>'Obrazac kalkulacije'!$F$25</f>
        <v>___________________</v>
      </c>
      <c r="G364" s="841"/>
      <c r="K364" s="3" t="str">
        <f>'Obrazac kalkulacije'!$C$25</f>
        <v>__________________</v>
      </c>
      <c r="N364" s="841" t="str">
        <f>'Obrazac kalkulacije'!$F$25</f>
        <v>___________________</v>
      </c>
      <c r="O364" s="841"/>
    </row>
    <row r="365" spans="1:15" ht="15" customHeight="1">
      <c r="F365" s="841"/>
      <c r="G365" s="841"/>
      <c r="N365" s="841"/>
      <c r="O365" s="841"/>
    </row>
    <row r="366" spans="1:15" ht="15" customHeight="1"/>
    <row r="367" spans="1:15" ht="15" customHeight="1">
      <c r="A367" s="144"/>
      <c r="B367" s="145" t="s">
        <v>615</v>
      </c>
      <c r="C367" s="836" t="s">
        <v>616</v>
      </c>
      <c r="D367" s="836"/>
      <c r="E367" s="836"/>
      <c r="F367" s="836"/>
      <c r="G367" s="836"/>
      <c r="I367" s="144"/>
      <c r="J367" s="145" t="s">
        <v>615</v>
      </c>
      <c r="K367" s="836" t="s">
        <v>616</v>
      </c>
      <c r="L367" s="836"/>
      <c r="M367" s="836"/>
      <c r="N367" s="836"/>
      <c r="O367" s="836"/>
    </row>
    <row r="368" spans="1:15" ht="15" customHeight="1">
      <c r="A368" s="7"/>
      <c r="B368" s="39" t="s">
        <v>648</v>
      </c>
      <c r="C368" s="860" t="s">
        <v>649</v>
      </c>
      <c r="D368" s="860"/>
      <c r="E368" s="860"/>
      <c r="F368" s="860"/>
      <c r="G368" s="860"/>
      <c r="I368" s="7"/>
      <c r="J368" s="39" t="s">
        <v>648</v>
      </c>
      <c r="K368" s="860" t="s">
        <v>649</v>
      </c>
      <c r="L368" s="860"/>
      <c r="M368" s="860"/>
      <c r="N368" s="860"/>
      <c r="O368" s="860"/>
    </row>
    <row r="369" spans="1:15" ht="150" customHeight="1">
      <c r="A369" s="9"/>
      <c r="B369" s="556" t="s">
        <v>673</v>
      </c>
      <c r="C369" s="852" t="s">
        <v>674</v>
      </c>
      <c r="D369" s="852"/>
      <c r="E369" s="852"/>
      <c r="F369" s="852"/>
      <c r="G369" s="852"/>
      <c r="I369" s="9"/>
      <c r="J369" s="41" t="s">
        <v>675</v>
      </c>
      <c r="K369" s="869" t="s">
        <v>676</v>
      </c>
      <c r="L369" s="869"/>
      <c r="M369" s="869"/>
      <c r="N369" s="869"/>
      <c r="O369" s="869"/>
    </row>
    <row r="370" spans="1:15" ht="15" customHeight="1" thickBot="1"/>
    <row r="371" spans="1:15" ht="30" customHeight="1" thickTop="1" thickBot="1">
      <c r="A371" s="10"/>
      <c r="B371" s="99">
        <v>0</v>
      </c>
      <c r="C371" s="100" t="s">
        <v>624</v>
      </c>
      <c r="D371" s="10" t="s">
        <v>625</v>
      </c>
      <c r="E371" s="10" t="s">
        <v>626</v>
      </c>
      <c r="F371" s="10" t="s">
        <v>627</v>
      </c>
      <c r="G371" s="10" t="s">
        <v>628</v>
      </c>
      <c r="I371" s="10"/>
      <c r="J371" s="99">
        <v>0</v>
      </c>
      <c r="K371" s="100" t="s">
        <v>624</v>
      </c>
      <c r="L371" s="10" t="s">
        <v>625</v>
      </c>
      <c r="M371" s="10" t="s">
        <v>626</v>
      </c>
      <c r="N371" s="10" t="s">
        <v>627</v>
      </c>
      <c r="O371" s="10" t="s">
        <v>628</v>
      </c>
    </row>
    <row r="372" spans="1:15" ht="4.5" customHeight="1" thickTop="1">
      <c r="B372" s="42"/>
      <c r="C372" s="1"/>
      <c r="D372" s="11"/>
      <c r="E372" s="13"/>
      <c r="F372" s="258"/>
      <c r="G372" s="15"/>
      <c r="J372" s="42"/>
      <c r="K372" s="1"/>
      <c r="L372" s="11"/>
      <c r="M372" s="13"/>
      <c r="N372" s="258"/>
      <c r="O372" s="15"/>
    </row>
    <row r="373" spans="1:15" ht="25.15" customHeight="1">
      <c r="A373" s="16"/>
      <c r="B373" s="837" t="s">
        <v>565</v>
      </c>
      <c r="C373" s="837"/>
      <c r="D373" s="16"/>
      <c r="E373" s="16"/>
      <c r="F373" s="44"/>
      <c r="G373" s="18">
        <f>SUM(G374:G374)</f>
        <v>503.37799147999999</v>
      </c>
      <c r="I373" s="16"/>
      <c r="J373" s="837" t="s">
        <v>565</v>
      </c>
      <c r="K373" s="837"/>
      <c r="L373" s="16"/>
      <c r="M373" s="16"/>
      <c r="N373" s="44"/>
      <c r="O373" s="18">
        <f>SUM(O374:O374)</f>
        <v>503.37799147999999</v>
      </c>
    </row>
    <row r="374" spans="1:15" ht="25.15" customHeight="1">
      <c r="A374" s="32"/>
      <c r="B374" s="838" t="s">
        <v>53</v>
      </c>
      <c r="C374" s="838"/>
      <c r="D374" s="33" t="s">
        <v>51</v>
      </c>
      <c r="E374" s="34">
        <v>5.1083619999999996</v>
      </c>
      <c r="F374" s="238">
        <f>SUMIF('Cjenik RS'!$C$11:$C$26,$B374,'Cjenik RS'!$D$11:$D$90)</f>
        <v>98.54</v>
      </c>
      <c r="G374" s="35">
        <f>E374*F374</f>
        <v>503.37799147999999</v>
      </c>
      <c r="I374" s="32"/>
      <c r="J374" s="838" t="s">
        <v>53</v>
      </c>
      <c r="K374" s="838"/>
      <c r="L374" s="33" t="s">
        <v>51</v>
      </c>
      <c r="M374" s="34">
        <v>5.1083619999999996</v>
      </c>
      <c r="N374" s="238">
        <f>SUMIF('Cjenik RS'!$C$11:$C$26,J374,'Cjenik RS'!$D$11:$D$90)</f>
        <v>98.54</v>
      </c>
      <c r="O374" s="35">
        <f>M374*N374</f>
        <v>503.37799147999999</v>
      </c>
    </row>
    <row r="375" spans="1:15" ht="25.15" customHeight="1">
      <c r="A375" s="16"/>
      <c r="B375" s="837" t="s">
        <v>566</v>
      </c>
      <c r="C375" s="837"/>
      <c r="D375" s="16"/>
      <c r="E375" s="16"/>
      <c r="F375" s="238"/>
      <c r="G375" s="18">
        <f>SUM(G376:G376)</f>
        <v>18.843991200000001</v>
      </c>
      <c r="I375" s="16"/>
      <c r="J375" s="837" t="s">
        <v>566</v>
      </c>
      <c r="K375" s="837"/>
      <c r="L375" s="16"/>
      <c r="M375" s="16"/>
      <c r="N375" s="238"/>
      <c r="O375" s="18">
        <f>SUM(O376:O376)</f>
        <v>18.843991200000001</v>
      </c>
    </row>
    <row r="376" spans="1:15" ht="25.15" customHeight="1">
      <c r="A376" s="51"/>
      <c r="B376" s="849" t="s">
        <v>69</v>
      </c>
      <c r="C376" s="849"/>
      <c r="D376" s="52" t="s">
        <v>51</v>
      </c>
      <c r="E376" s="86">
        <v>0.104922</v>
      </c>
      <c r="F376" s="260">
        <f>SUMIF('Cjenik VSO'!$B$9:$B$85,$B376,'Cjenik VSO'!$C$9:$C$85)</f>
        <v>179.6</v>
      </c>
      <c r="G376" s="54">
        <f>E376*F376</f>
        <v>18.843991200000001</v>
      </c>
      <c r="I376" s="51"/>
      <c r="J376" s="849" t="s">
        <v>69</v>
      </c>
      <c r="K376" s="849"/>
      <c r="L376" s="52" t="s">
        <v>51</v>
      </c>
      <c r="M376" s="86">
        <v>0.104922</v>
      </c>
      <c r="N376" s="260">
        <f>SUMIF('Cjenik VSO'!$B$9:$B$85,$B376,'Cjenik VSO'!$C$9:$C$85)</f>
        <v>179.6</v>
      </c>
      <c r="O376" s="54">
        <f>M376*N376</f>
        <v>18.843991200000001</v>
      </c>
    </row>
    <row r="377" spans="1:15" ht="25.15" customHeight="1">
      <c r="A377" s="16"/>
      <c r="B377" s="837" t="s">
        <v>630</v>
      </c>
      <c r="C377" s="837"/>
      <c r="D377" s="16"/>
      <c r="E377" s="16"/>
      <c r="F377" s="238"/>
      <c r="G377" s="18">
        <f>SUM(G378:G379)</f>
        <v>0</v>
      </c>
      <c r="I377" s="16"/>
      <c r="J377" s="837" t="s">
        <v>630</v>
      </c>
      <c r="K377" s="837"/>
      <c r="L377" s="16"/>
      <c r="M377" s="16"/>
      <c r="N377" s="238"/>
      <c r="O377" s="18">
        <f>SUM(O378:O379)</f>
        <v>0</v>
      </c>
    </row>
    <row r="378" spans="1:15" ht="25.15" customHeight="1">
      <c r="A378" s="51"/>
      <c r="B378" s="863">
        <f>'Cjenik M'!$B$110</f>
        <v>0</v>
      </c>
      <c r="C378" s="863"/>
      <c r="D378" s="52">
        <f>'Cjenik M'!$C$110</f>
        <v>0</v>
      </c>
      <c r="E378" s="53">
        <v>1</v>
      </c>
      <c r="F378" s="260">
        <f>'Cjenik M'!$D$110</f>
        <v>0</v>
      </c>
      <c r="G378" s="55">
        <f>E378*F378</f>
        <v>0</v>
      </c>
      <c r="I378" s="51"/>
      <c r="J378" s="863">
        <f>'Cjenik M'!$B$110</f>
        <v>0</v>
      </c>
      <c r="K378" s="863"/>
      <c r="L378" s="52">
        <f>'Cjenik M'!$C$110</f>
        <v>0</v>
      </c>
      <c r="M378" s="53">
        <v>1</v>
      </c>
      <c r="N378" s="260">
        <f>'Cjenik M'!$D$110</f>
        <v>0</v>
      </c>
      <c r="O378" s="55">
        <f>M378*N378</f>
        <v>0</v>
      </c>
    </row>
    <row r="379" spans="1:15" ht="25.15" customHeight="1" thickBot="1">
      <c r="A379" s="66"/>
      <c r="B379" s="859">
        <f>'Cjenik M'!$B$30</f>
        <v>0</v>
      </c>
      <c r="C379" s="859"/>
      <c r="D379" s="67">
        <f>'Cjenik M'!$C$30</f>
        <v>0</v>
      </c>
      <c r="E379" s="68"/>
      <c r="F379" s="262">
        <f>'Cjenik M'!$D$30</f>
        <v>0</v>
      </c>
      <c r="G379" s="70">
        <f>E379*F379</f>
        <v>0</v>
      </c>
      <c r="I379" s="66"/>
      <c r="J379" s="859">
        <f>'Cjenik M'!$B$30</f>
        <v>0</v>
      </c>
      <c r="K379" s="859"/>
      <c r="L379" s="67">
        <f>'Cjenik M'!$C$30</f>
        <v>0</v>
      </c>
      <c r="M379" s="68">
        <v>0.2</v>
      </c>
      <c r="N379" s="262">
        <f>'Cjenik M'!$D$30</f>
        <v>0</v>
      </c>
      <c r="O379" s="70">
        <f>M379*N379</f>
        <v>0</v>
      </c>
    </row>
    <row r="380" spans="1:15" ht="25.15" customHeight="1" thickTop="1" thickBot="1">
      <c r="E380" s="868" t="str">
        <f>'Obrazac kalkulacije'!$E$18</f>
        <v>Ukupno (kn):</v>
      </c>
      <c r="F380" s="868"/>
      <c r="G380" s="71">
        <f>ROUND(SUM(G373+G375+G377),2)</f>
        <v>522.22</v>
      </c>
      <c r="H380" s="269" t="e">
        <f>SUMIF(#REF!,$B369,#REF!)</f>
        <v>#REF!</v>
      </c>
      <c r="M380" s="868" t="str">
        <f>'Obrazac kalkulacije'!$E$18</f>
        <v>Ukupno (kn):</v>
      </c>
      <c r="N380" s="868"/>
      <c r="O380" s="71">
        <f>ROUND(SUM(O373+O375+O377),2)</f>
        <v>522.22</v>
      </c>
    </row>
    <row r="381" spans="1:15" ht="25.15" customHeight="1" thickTop="1" thickBot="1">
      <c r="E381" s="27" t="str">
        <f>'Obrazac kalkulacije'!$E$19</f>
        <v>PDV:</v>
      </c>
      <c r="F381" s="259">
        <f>'Obrazac kalkulacije'!$F$19</f>
        <v>0.25</v>
      </c>
      <c r="G381" s="29">
        <f>G380*F381</f>
        <v>130.55500000000001</v>
      </c>
      <c r="H381" s="270" t="e">
        <f>H380-G380</f>
        <v>#REF!</v>
      </c>
      <c r="M381" s="27" t="str">
        <f>'Obrazac kalkulacije'!$E$19</f>
        <v>PDV:</v>
      </c>
      <c r="N381" s="259">
        <f>'Obrazac kalkulacije'!$F$19</f>
        <v>0.25</v>
      </c>
      <c r="O381" s="29">
        <f>O380*N381</f>
        <v>130.55500000000001</v>
      </c>
    </row>
    <row r="382" spans="1:15" ht="25.15" customHeight="1" thickTop="1" thickBot="1">
      <c r="E382" s="840" t="str">
        <f>'Obrazac kalkulacije'!$E$20</f>
        <v>Sveukupno (kn):</v>
      </c>
      <c r="F382" s="840"/>
      <c r="G382" s="29">
        <f>ROUND(SUM(G380:G381),2)</f>
        <v>652.78</v>
      </c>
      <c r="H382" s="271" t="e">
        <f>G376+H381</f>
        <v>#REF!</v>
      </c>
      <c r="M382" s="840" t="str">
        <f>'Obrazac kalkulacije'!$E$20</f>
        <v>Sveukupno (kn):</v>
      </c>
      <c r="N382" s="840"/>
      <c r="O382" s="29">
        <f>ROUND(SUM(O380:O381),2)</f>
        <v>652.78</v>
      </c>
    </row>
    <row r="383" spans="1:15" ht="15" customHeight="1" thickTop="1"/>
    <row r="384" spans="1:15" ht="15" customHeight="1"/>
    <row r="385" spans="1:15" ht="15" customHeight="1"/>
    <row r="386" spans="1:15" ht="15" customHeight="1">
      <c r="C386" s="3" t="str">
        <f>'Obrazac kalkulacije'!$C$24</f>
        <v>IZVODITELJ:</v>
      </c>
      <c r="F386" s="841" t="str">
        <f>'Obrazac kalkulacije'!$F$24</f>
        <v>NARUČITELJ:</v>
      </c>
      <c r="G386" s="841"/>
      <c r="K386" s="3" t="str">
        <f>'Obrazac kalkulacije'!$C$24</f>
        <v>IZVODITELJ:</v>
      </c>
      <c r="N386" s="841" t="str">
        <f>'Obrazac kalkulacije'!$F$24</f>
        <v>NARUČITELJ:</v>
      </c>
      <c r="O386" s="841"/>
    </row>
    <row r="387" spans="1:15" ht="25.15" customHeight="1">
      <c r="C387" s="3" t="str">
        <f>'Obrazac kalkulacije'!$C$25</f>
        <v>__________________</v>
      </c>
      <c r="F387" s="841" t="str">
        <f>'Obrazac kalkulacije'!$F$25</f>
        <v>___________________</v>
      </c>
      <c r="G387" s="841"/>
      <c r="K387" s="3" t="str">
        <f>'Obrazac kalkulacije'!$C$25</f>
        <v>__________________</v>
      </c>
      <c r="N387" s="841" t="str">
        <f>'Obrazac kalkulacije'!$F$25</f>
        <v>___________________</v>
      </c>
      <c r="O387" s="841"/>
    </row>
    <row r="388" spans="1:15" ht="15" customHeight="1">
      <c r="F388" s="841"/>
      <c r="G388" s="841"/>
      <c r="N388" s="841"/>
      <c r="O388" s="841"/>
    </row>
    <row r="389" spans="1:15" ht="15" customHeight="1"/>
    <row r="390" spans="1:15" ht="15" customHeight="1">
      <c r="A390" s="144"/>
      <c r="B390" s="145" t="s">
        <v>615</v>
      </c>
      <c r="C390" s="836" t="s">
        <v>616</v>
      </c>
      <c r="D390" s="836"/>
      <c r="E390" s="836"/>
      <c r="F390" s="836"/>
      <c r="G390" s="836"/>
      <c r="I390" s="144"/>
      <c r="J390" s="145" t="s">
        <v>615</v>
      </c>
      <c r="K390" s="836" t="s">
        <v>616</v>
      </c>
      <c r="L390" s="836"/>
      <c r="M390" s="836"/>
      <c r="N390" s="836"/>
      <c r="O390" s="836"/>
    </row>
    <row r="391" spans="1:15" ht="15" customHeight="1">
      <c r="A391" s="7"/>
      <c r="B391" s="39" t="s">
        <v>648</v>
      </c>
      <c r="C391" s="860" t="s">
        <v>649</v>
      </c>
      <c r="D391" s="860"/>
      <c r="E391" s="860"/>
      <c r="F391" s="860"/>
      <c r="G391" s="860"/>
      <c r="I391" s="7"/>
      <c r="J391" s="39" t="s">
        <v>648</v>
      </c>
      <c r="K391" s="860" t="s">
        <v>649</v>
      </c>
      <c r="L391" s="860"/>
      <c r="M391" s="860"/>
      <c r="N391" s="860"/>
      <c r="O391" s="860"/>
    </row>
    <row r="392" spans="1:15" ht="150" customHeight="1">
      <c r="A392" s="9"/>
      <c r="B392" s="556" t="s">
        <v>675</v>
      </c>
      <c r="C392" s="852" t="s">
        <v>677</v>
      </c>
      <c r="D392" s="852"/>
      <c r="E392" s="852"/>
      <c r="F392" s="852"/>
      <c r="G392" s="852"/>
      <c r="I392" s="9"/>
      <c r="J392" s="41" t="s">
        <v>678</v>
      </c>
      <c r="K392" s="869" t="s">
        <v>677</v>
      </c>
      <c r="L392" s="869"/>
      <c r="M392" s="869"/>
      <c r="N392" s="869"/>
      <c r="O392" s="869"/>
    </row>
    <row r="393" spans="1:15" ht="15" customHeight="1" thickBot="1"/>
    <row r="394" spans="1:15" ht="30" customHeight="1" thickTop="1" thickBot="1">
      <c r="A394" s="10"/>
      <c r="B394" s="99">
        <v>0</v>
      </c>
      <c r="C394" s="100" t="s">
        <v>624</v>
      </c>
      <c r="D394" s="10" t="s">
        <v>625</v>
      </c>
      <c r="E394" s="10" t="s">
        <v>626</v>
      </c>
      <c r="F394" s="10" t="s">
        <v>627</v>
      </c>
      <c r="G394" s="10" t="s">
        <v>628</v>
      </c>
      <c r="I394" s="10"/>
      <c r="J394" s="99">
        <v>0</v>
      </c>
      <c r="K394" s="100" t="s">
        <v>624</v>
      </c>
      <c r="L394" s="10" t="s">
        <v>625</v>
      </c>
      <c r="M394" s="10" t="s">
        <v>626</v>
      </c>
      <c r="N394" s="10" t="s">
        <v>627</v>
      </c>
      <c r="O394" s="10" t="s">
        <v>628</v>
      </c>
    </row>
    <row r="395" spans="1:15" ht="4.5" customHeight="1" thickTop="1">
      <c r="B395" s="42"/>
      <c r="C395" s="1"/>
      <c r="D395" s="11"/>
      <c r="E395" s="13"/>
      <c r="F395" s="258"/>
      <c r="G395" s="15"/>
      <c r="J395" s="42"/>
      <c r="K395" s="1"/>
      <c r="L395" s="11"/>
      <c r="M395" s="13"/>
      <c r="N395" s="258"/>
      <c r="O395" s="15"/>
    </row>
    <row r="396" spans="1:15" ht="25.15" customHeight="1">
      <c r="A396" s="16"/>
      <c r="B396" s="837" t="s">
        <v>565</v>
      </c>
      <c r="C396" s="837"/>
      <c r="D396" s="16"/>
      <c r="E396" s="16"/>
      <c r="F396" s="44"/>
      <c r="G396" s="18">
        <f>SUM(G397:G397)</f>
        <v>118.248</v>
      </c>
      <c r="I396" s="16"/>
      <c r="J396" s="837" t="s">
        <v>565</v>
      </c>
      <c r="K396" s="837"/>
      <c r="L396" s="16"/>
      <c r="M396" s="16"/>
      <c r="N396" s="44"/>
      <c r="O396" s="18">
        <f>SUM(O397:O397)</f>
        <v>95.345924440000005</v>
      </c>
    </row>
    <row r="397" spans="1:15" ht="25.15" customHeight="1">
      <c r="A397" s="32"/>
      <c r="B397" s="838" t="s">
        <v>53</v>
      </c>
      <c r="C397" s="838"/>
      <c r="D397" s="33" t="s">
        <v>51</v>
      </c>
      <c r="E397" s="34">
        <v>1.2</v>
      </c>
      <c r="F397" s="238">
        <f>SUMIF('Cjenik RS'!$C$11:$C$26,$B397,'Cjenik RS'!$D$11:$D$90)</f>
        <v>98.54</v>
      </c>
      <c r="G397" s="35">
        <f>E397*F397</f>
        <v>118.248</v>
      </c>
      <c r="I397" s="32"/>
      <c r="J397" s="838" t="s">
        <v>53</v>
      </c>
      <c r="K397" s="838"/>
      <c r="L397" s="33" t="s">
        <v>51</v>
      </c>
      <c r="M397" s="34">
        <v>0.96758599999999995</v>
      </c>
      <c r="N397" s="238">
        <f>SUMIF('Cjenik RS'!$C$11:$C$26,J397,'Cjenik RS'!$D$11:$D$90)</f>
        <v>98.54</v>
      </c>
      <c r="O397" s="35">
        <f>M397*N397</f>
        <v>95.345924440000005</v>
      </c>
    </row>
    <row r="398" spans="1:15" ht="25.15" customHeight="1">
      <c r="A398" s="16"/>
      <c r="B398" s="837" t="s">
        <v>566</v>
      </c>
      <c r="C398" s="837"/>
      <c r="D398" s="16"/>
      <c r="E398" s="16"/>
      <c r="F398" s="238"/>
      <c r="G398" s="18">
        <f>SUM(G399:G400)</f>
        <v>112.34</v>
      </c>
      <c r="I398" s="16"/>
      <c r="J398" s="837" t="s">
        <v>566</v>
      </c>
      <c r="K398" s="837"/>
      <c r="L398" s="16"/>
      <c r="M398" s="16"/>
      <c r="N398" s="238"/>
      <c r="O398" s="18">
        <f>SUM(O399:O400)</f>
        <v>39.416938799999997</v>
      </c>
    </row>
    <row r="399" spans="1:15" ht="25.15" customHeight="1">
      <c r="A399" s="51"/>
      <c r="B399" s="849" t="s">
        <v>69</v>
      </c>
      <c r="C399" s="849"/>
      <c r="D399" s="52" t="s">
        <v>51</v>
      </c>
      <c r="E399" s="86">
        <v>0.15</v>
      </c>
      <c r="F399" s="260">
        <f>SUMIF('Cjenik VSO'!$B$9:$B$85,$B399,'Cjenik VSO'!$C$9:$C$85)</f>
        <v>179.6</v>
      </c>
      <c r="G399" s="54">
        <f>E399*F399</f>
        <v>26.939999999999998</v>
      </c>
      <c r="I399" s="51"/>
      <c r="J399" s="849" t="s">
        <v>69</v>
      </c>
      <c r="K399" s="849"/>
      <c r="L399" s="52" t="s">
        <v>51</v>
      </c>
      <c r="M399" s="86">
        <v>0.100759</v>
      </c>
      <c r="N399" s="260">
        <f>SUMIF('Cjenik VSO'!$B$9:$B$85,$B399,'Cjenik VSO'!$C$9:$C$85)</f>
        <v>179.6</v>
      </c>
      <c r="O399" s="54">
        <f>M399*N399</f>
        <v>18.096316399999999</v>
      </c>
    </row>
    <row r="400" spans="1:15" ht="25.15" customHeight="1">
      <c r="A400" s="61"/>
      <c r="B400" s="855" t="s">
        <v>288</v>
      </c>
      <c r="C400" s="855"/>
      <c r="D400" s="62" t="s">
        <v>51</v>
      </c>
      <c r="E400" s="87">
        <v>0.5</v>
      </c>
      <c r="F400" s="261">
        <f>SUMIF('Cjenik VSO'!$B$9:$B$85,$B400,'Cjenik VSO'!$C$9:$C$85)</f>
        <v>170.8</v>
      </c>
      <c r="G400" s="64">
        <f>E400*F400</f>
        <v>85.4</v>
      </c>
      <c r="I400" s="61"/>
      <c r="J400" s="855" t="s">
        <v>288</v>
      </c>
      <c r="K400" s="855"/>
      <c r="L400" s="62" t="s">
        <v>51</v>
      </c>
      <c r="M400" s="87">
        <v>0.12482799999999999</v>
      </c>
      <c r="N400" s="261">
        <f>SUMIF('Cjenik VSO'!$B$9:$B$85,$B400,'Cjenik VSO'!$C$9:$C$85)</f>
        <v>170.8</v>
      </c>
      <c r="O400" s="64">
        <f>M400*N400</f>
        <v>21.320622400000001</v>
      </c>
    </row>
    <row r="401" spans="1:15" ht="25.15" customHeight="1">
      <c r="A401" s="16"/>
      <c r="B401" s="837" t="s">
        <v>630</v>
      </c>
      <c r="C401" s="837"/>
      <c r="D401" s="16"/>
      <c r="E401" s="16"/>
      <c r="F401" s="238"/>
      <c r="G401" s="18">
        <f>SUM(G402:G402)</f>
        <v>0</v>
      </c>
      <c r="I401" s="16"/>
      <c r="J401" s="837" t="s">
        <v>630</v>
      </c>
      <c r="K401" s="837"/>
      <c r="L401" s="16"/>
      <c r="M401" s="16"/>
      <c r="N401" s="238"/>
      <c r="O401" s="18">
        <f>SUM(O402:O402)</f>
        <v>0</v>
      </c>
    </row>
    <row r="402" spans="1:15" ht="25.15" customHeight="1" thickBot="1">
      <c r="A402" s="43"/>
      <c r="B402" s="863">
        <f>'Cjenik M'!$B$81</f>
        <v>0</v>
      </c>
      <c r="C402" s="863"/>
      <c r="D402" s="52">
        <f>'Cjenik M'!$C$109</f>
        <v>0</v>
      </c>
      <c r="E402" s="53">
        <v>38</v>
      </c>
      <c r="F402" s="260">
        <f>'Cjenik M'!$D$81</f>
        <v>0</v>
      </c>
      <c r="G402" s="55">
        <f>E402*F402</f>
        <v>0</v>
      </c>
      <c r="I402" s="43"/>
      <c r="J402" s="863">
        <f>'Cjenik M'!$B$109</f>
        <v>0</v>
      </c>
      <c r="K402" s="863"/>
      <c r="L402" s="52">
        <f>'Cjenik M'!$C$109</f>
        <v>0</v>
      </c>
      <c r="M402" s="53">
        <v>38</v>
      </c>
      <c r="N402" s="260">
        <f>'Cjenik M'!$D$109</f>
        <v>0</v>
      </c>
      <c r="O402" s="55">
        <f>M402*N402</f>
        <v>0</v>
      </c>
    </row>
    <row r="403" spans="1:15" ht="25.15" customHeight="1" thickTop="1" thickBot="1">
      <c r="B403" s="47"/>
      <c r="C403" s="24"/>
      <c r="D403" s="25"/>
      <c r="E403" s="850" t="str">
        <f>'Obrazac kalkulacije'!$E$18</f>
        <v>Ukupno (kn):</v>
      </c>
      <c r="F403" s="850"/>
      <c r="G403" s="26">
        <f>ROUND(SUM(G396+G398+G401),2)</f>
        <v>230.59</v>
      </c>
      <c r="H403" s="269" t="e">
        <f>SUMIF(#REF!,$B392,#REF!)</f>
        <v>#REF!</v>
      </c>
      <c r="J403" s="47"/>
      <c r="K403" s="24"/>
      <c r="L403" s="25"/>
      <c r="M403" s="850" t="str">
        <f>'Obrazac kalkulacije'!$E$18</f>
        <v>Ukupno (kn):</v>
      </c>
      <c r="N403" s="850"/>
      <c r="O403" s="26">
        <f>ROUND(SUM(O396+O398+O401),2)</f>
        <v>134.76</v>
      </c>
    </row>
    <row r="404" spans="1:15" ht="25.15" customHeight="1" thickTop="1" thickBot="1">
      <c r="E404" s="27" t="str">
        <f>'Obrazac kalkulacije'!$E$19</f>
        <v>PDV:</v>
      </c>
      <c r="F404" s="259">
        <f>'Obrazac kalkulacije'!$F$19</f>
        <v>0.25</v>
      </c>
      <c r="G404" s="29">
        <f>G403*F404</f>
        <v>57.647500000000001</v>
      </c>
      <c r="H404" s="270" t="e">
        <f>H403-G403</f>
        <v>#REF!</v>
      </c>
      <c r="M404" s="27" t="str">
        <f>'Obrazac kalkulacije'!$E$19</f>
        <v>PDV:</v>
      </c>
      <c r="N404" s="259">
        <f>'Obrazac kalkulacije'!$F$19</f>
        <v>0.25</v>
      </c>
      <c r="O404" s="29">
        <f>O403*N404</f>
        <v>33.69</v>
      </c>
    </row>
    <row r="405" spans="1:15" ht="25.15" customHeight="1" thickTop="1" thickBot="1">
      <c r="E405" s="840" t="str">
        <f>'Obrazac kalkulacije'!$E$20</f>
        <v>Sveukupno (kn):</v>
      </c>
      <c r="F405" s="840"/>
      <c r="G405" s="29">
        <f>ROUND(SUM(G403:G404),2)</f>
        <v>288.24</v>
      </c>
      <c r="H405" s="271" t="e">
        <f>G400+H404</f>
        <v>#REF!</v>
      </c>
      <c r="M405" s="840" t="str">
        <f>'Obrazac kalkulacije'!$E$20</f>
        <v>Sveukupno (kn):</v>
      </c>
      <c r="N405" s="840"/>
      <c r="O405" s="29">
        <f>ROUND(SUM(O403:O404),2)</f>
        <v>168.45</v>
      </c>
    </row>
    <row r="406" spans="1:15" ht="15" customHeight="1" thickTop="1"/>
    <row r="407" spans="1:15" ht="15" customHeight="1"/>
    <row r="408" spans="1:15" ht="15" customHeight="1"/>
    <row r="409" spans="1:15" ht="15" customHeight="1">
      <c r="C409" s="3" t="str">
        <f>'Obrazac kalkulacije'!$C$24</f>
        <v>IZVODITELJ:</v>
      </c>
      <c r="F409" s="841" t="str">
        <f>'Obrazac kalkulacije'!$F$24</f>
        <v>NARUČITELJ:</v>
      </c>
      <c r="G409" s="841"/>
      <c r="K409" s="3" t="str">
        <f>'Obrazac kalkulacije'!$C$24</f>
        <v>IZVODITELJ:</v>
      </c>
      <c r="N409" s="841" t="str">
        <f>'Obrazac kalkulacije'!$F$24</f>
        <v>NARUČITELJ:</v>
      </c>
      <c r="O409" s="841"/>
    </row>
    <row r="410" spans="1:15" ht="25.15" customHeight="1">
      <c r="C410" s="3" t="str">
        <f>'Obrazac kalkulacije'!$C$25</f>
        <v>__________________</v>
      </c>
      <c r="F410" s="841" t="str">
        <f>'Obrazac kalkulacije'!$F$25</f>
        <v>___________________</v>
      </c>
      <c r="G410" s="841"/>
      <c r="K410" s="3" t="str">
        <f>'Obrazac kalkulacije'!$C$25</f>
        <v>__________________</v>
      </c>
      <c r="N410" s="841" t="str">
        <f>'Obrazac kalkulacije'!$F$25</f>
        <v>___________________</v>
      </c>
      <c r="O410" s="841"/>
    </row>
    <row r="411" spans="1:15" ht="15" customHeight="1">
      <c r="F411" s="841"/>
      <c r="G411" s="841"/>
      <c r="N411" s="841"/>
      <c r="O411" s="841"/>
    </row>
    <row r="412" spans="1:15" ht="15" customHeight="1"/>
    <row r="413" spans="1:15" ht="15" customHeight="1">
      <c r="A413" s="144"/>
      <c r="B413" s="145" t="s">
        <v>615</v>
      </c>
      <c r="C413" s="836" t="s">
        <v>616</v>
      </c>
      <c r="D413" s="836"/>
      <c r="E413" s="836"/>
      <c r="F413" s="836"/>
      <c r="G413" s="836"/>
      <c r="I413" s="144"/>
      <c r="J413" s="145" t="s">
        <v>615</v>
      </c>
      <c r="K413" s="836" t="s">
        <v>616</v>
      </c>
      <c r="L413" s="836"/>
      <c r="M413" s="836"/>
      <c r="N413" s="836"/>
      <c r="O413" s="836"/>
    </row>
    <row r="414" spans="1:15" ht="15" customHeight="1">
      <c r="A414" s="7"/>
      <c r="B414" s="39" t="s">
        <v>648</v>
      </c>
      <c r="C414" s="860" t="s">
        <v>649</v>
      </c>
      <c r="D414" s="860"/>
      <c r="E414" s="860"/>
      <c r="F414" s="860"/>
      <c r="G414" s="860"/>
      <c r="I414" s="7"/>
      <c r="J414" s="39" t="s">
        <v>648</v>
      </c>
      <c r="K414" s="860" t="s">
        <v>649</v>
      </c>
      <c r="L414" s="860"/>
      <c r="M414" s="860"/>
      <c r="N414" s="860"/>
      <c r="O414" s="860"/>
    </row>
    <row r="415" spans="1:15" ht="150" customHeight="1">
      <c r="A415" s="9"/>
      <c r="B415" s="556" t="s">
        <v>678</v>
      </c>
      <c r="C415" s="852" t="s">
        <v>679</v>
      </c>
      <c r="D415" s="852"/>
      <c r="E415" s="852"/>
      <c r="F415" s="852"/>
      <c r="G415" s="852"/>
      <c r="I415" s="9"/>
      <c r="J415" s="41" t="s">
        <v>680</v>
      </c>
      <c r="K415" s="869" t="s">
        <v>681</v>
      </c>
      <c r="L415" s="869"/>
      <c r="M415" s="869"/>
      <c r="N415" s="869"/>
      <c r="O415" s="869"/>
    </row>
    <row r="416" spans="1:15" ht="15" customHeight="1" thickBot="1"/>
    <row r="417" spans="1:15" ht="30" customHeight="1" thickTop="1" thickBot="1">
      <c r="A417" s="10"/>
      <c r="B417" s="99">
        <v>0</v>
      </c>
      <c r="C417" s="100" t="s">
        <v>624</v>
      </c>
      <c r="D417" s="10" t="s">
        <v>625</v>
      </c>
      <c r="E417" s="10" t="s">
        <v>626</v>
      </c>
      <c r="F417" s="10" t="s">
        <v>627</v>
      </c>
      <c r="G417" s="10" t="s">
        <v>628</v>
      </c>
      <c r="I417" s="10"/>
      <c r="J417" s="99">
        <v>0</v>
      </c>
      <c r="K417" s="100" t="s">
        <v>624</v>
      </c>
      <c r="L417" s="10" t="s">
        <v>625</v>
      </c>
      <c r="M417" s="10" t="s">
        <v>626</v>
      </c>
      <c r="N417" s="10" t="s">
        <v>627</v>
      </c>
      <c r="O417" s="10" t="s">
        <v>628</v>
      </c>
    </row>
    <row r="418" spans="1:15" ht="4.5" customHeight="1" thickTop="1">
      <c r="B418" s="42"/>
      <c r="C418" s="1"/>
      <c r="D418" s="11"/>
      <c r="E418" s="13"/>
      <c r="F418" s="258"/>
      <c r="G418" s="15"/>
      <c r="J418" s="42"/>
      <c r="K418" s="1"/>
      <c r="L418" s="11"/>
      <c r="M418" s="13"/>
      <c r="N418" s="258"/>
      <c r="O418" s="15"/>
    </row>
    <row r="419" spans="1:15" ht="25.15" customHeight="1">
      <c r="A419" s="16"/>
      <c r="B419" s="837" t="s">
        <v>565</v>
      </c>
      <c r="C419" s="837"/>
      <c r="D419" s="16"/>
      <c r="E419" s="16"/>
      <c r="F419" s="44"/>
      <c r="G419" s="18">
        <f>SUM(G420:G420)</f>
        <v>49.27</v>
      </c>
      <c r="I419" s="16"/>
      <c r="J419" s="837" t="s">
        <v>565</v>
      </c>
      <c r="K419" s="837"/>
      <c r="L419" s="16"/>
      <c r="M419" s="16"/>
      <c r="N419" s="44"/>
      <c r="O419" s="18">
        <f>SUM(O420:O420)</f>
        <v>52.145003039999999</v>
      </c>
    </row>
    <row r="420" spans="1:15" ht="25.15" customHeight="1">
      <c r="A420" s="32"/>
      <c r="B420" s="838" t="s">
        <v>53</v>
      </c>
      <c r="C420" s="838"/>
      <c r="D420" s="33" t="s">
        <v>51</v>
      </c>
      <c r="E420" s="34">
        <v>0.5</v>
      </c>
      <c r="F420" s="238">
        <f>SUMIF('Cjenik RS'!$C$11:$C$26,$B420,'Cjenik RS'!$D$11:$D$90)</f>
        <v>98.54</v>
      </c>
      <c r="G420" s="35">
        <f>E420*F420</f>
        <v>49.27</v>
      </c>
      <c r="I420" s="32"/>
      <c r="J420" s="838" t="s">
        <v>53</v>
      </c>
      <c r="K420" s="838"/>
      <c r="L420" s="33" t="s">
        <v>51</v>
      </c>
      <c r="M420" s="34">
        <v>0.52917599999999998</v>
      </c>
      <c r="N420" s="238">
        <f>SUMIF('Cjenik RS'!$C$11:$C$26,J420,'Cjenik RS'!$D$11:$D$90)</f>
        <v>98.54</v>
      </c>
      <c r="O420" s="35">
        <f>M420*N420</f>
        <v>52.145003039999999</v>
      </c>
    </row>
    <row r="421" spans="1:15" ht="25.15" customHeight="1">
      <c r="A421" s="16"/>
      <c r="B421" s="837" t="s">
        <v>566</v>
      </c>
      <c r="C421" s="837"/>
      <c r="D421" s="16"/>
      <c r="E421" s="16"/>
      <c r="F421" s="238"/>
      <c r="G421" s="18">
        <f>SUM(G422:G423)</f>
        <v>10.072000000000001</v>
      </c>
      <c r="I421" s="16"/>
      <c r="J421" s="837" t="s">
        <v>566</v>
      </c>
      <c r="K421" s="837"/>
      <c r="L421" s="16"/>
      <c r="M421" s="16"/>
      <c r="N421" s="238"/>
      <c r="O421" s="18">
        <f>SUM(O422:O423)</f>
        <v>6.6348992000000004</v>
      </c>
    </row>
    <row r="422" spans="1:15" ht="25.15" customHeight="1">
      <c r="A422" s="51"/>
      <c r="B422" s="849" t="s">
        <v>69</v>
      </c>
      <c r="C422" s="849"/>
      <c r="D422" s="52" t="s">
        <v>51</v>
      </c>
      <c r="E422" s="86">
        <v>0.05</v>
      </c>
      <c r="F422" s="260">
        <f>SUMIF('Cjenik VSO'!$B$9:$B$85,$B422,'Cjenik VSO'!$C$9:$C$85)</f>
        <v>179.6</v>
      </c>
      <c r="G422" s="54">
        <f>E422*F422</f>
        <v>8.98</v>
      </c>
      <c r="I422" s="51"/>
      <c r="J422" s="849" t="s">
        <v>69</v>
      </c>
      <c r="K422" s="849"/>
      <c r="L422" s="52" t="s">
        <v>51</v>
      </c>
      <c r="M422" s="86">
        <v>2.8552000000000001E-2</v>
      </c>
      <c r="N422" s="260">
        <f>SUMIF('Cjenik VSO'!$B$9:$B$85,$B422,'Cjenik VSO'!$C$9:$C$85)</f>
        <v>179.6</v>
      </c>
      <c r="O422" s="54">
        <f>M422*N422</f>
        <v>5.1279392000000001</v>
      </c>
    </row>
    <row r="423" spans="1:15" ht="25.15" customHeight="1">
      <c r="A423" s="61"/>
      <c r="B423" s="855" t="s">
        <v>200</v>
      </c>
      <c r="C423" s="855"/>
      <c r="D423" s="62" t="s">
        <v>51</v>
      </c>
      <c r="E423" s="87">
        <v>0.05</v>
      </c>
      <c r="F423" s="261">
        <f>SUMIF('Cjenik VSO'!$B$9:$B$85,$B423,'Cjenik VSO'!$C$9:$C$85)</f>
        <v>21.84</v>
      </c>
      <c r="G423" s="64">
        <f>E423*F423</f>
        <v>1.0920000000000001</v>
      </c>
      <c r="I423" s="61"/>
      <c r="J423" s="855" t="s">
        <v>200</v>
      </c>
      <c r="K423" s="855"/>
      <c r="L423" s="62" t="s">
        <v>51</v>
      </c>
      <c r="M423" s="87">
        <v>6.9000000000000006E-2</v>
      </c>
      <c r="N423" s="261">
        <f>SUMIF('Cjenik VSO'!$B$9:$B$85,$B423,'Cjenik VSO'!$C$9:$C$85)</f>
        <v>21.84</v>
      </c>
      <c r="O423" s="64">
        <f>M423*N423</f>
        <v>1.5069600000000001</v>
      </c>
    </row>
    <row r="424" spans="1:15" ht="25.15" customHeight="1">
      <c r="A424" s="16"/>
      <c r="B424" s="837" t="s">
        <v>630</v>
      </c>
      <c r="C424" s="837"/>
      <c r="D424" s="16"/>
      <c r="E424" s="16"/>
      <c r="F424" s="238"/>
      <c r="G424" s="18">
        <f>SUM(G425:G429)</f>
        <v>0</v>
      </c>
      <c r="I424" s="16"/>
      <c r="J424" s="837" t="s">
        <v>630</v>
      </c>
      <c r="K424" s="837"/>
      <c r="L424" s="16"/>
      <c r="M424" s="16"/>
      <c r="N424" s="238"/>
      <c r="O424" s="18">
        <f>SUM(O425:O429)</f>
        <v>0</v>
      </c>
    </row>
    <row r="425" spans="1:15" ht="25.15" customHeight="1">
      <c r="A425" s="51"/>
      <c r="B425" s="863">
        <f>'Cjenik M'!$B$63</f>
        <v>0</v>
      </c>
      <c r="C425" s="863"/>
      <c r="D425" s="52">
        <f>'Cjenik M'!$C$63</f>
        <v>0</v>
      </c>
      <c r="E425" s="53">
        <v>1</v>
      </c>
      <c r="F425" s="260">
        <f>'Cjenik M'!$D$63</f>
        <v>0</v>
      </c>
      <c r="G425" s="55">
        <f>E425*F425</f>
        <v>0</v>
      </c>
      <c r="I425" s="51"/>
      <c r="J425" s="863">
        <f>'Cjenik M'!$B$63</f>
        <v>0</v>
      </c>
      <c r="K425" s="863"/>
      <c r="L425" s="52">
        <f>'Cjenik M'!$C$63</f>
        <v>0</v>
      </c>
      <c r="M425" s="53">
        <v>0.55000000000000004</v>
      </c>
      <c r="N425" s="260">
        <f>'Cjenik M'!$D$63</f>
        <v>0</v>
      </c>
      <c r="O425" s="55">
        <f>M425*N425</f>
        <v>0</v>
      </c>
    </row>
    <row r="426" spans="1:15" ht="25.15" customHeight="1">
      <c r="A426" s="56"/>
      <c r="B426" s="834">
        <f>'Cjenik M'!$B$107</f>
        <v>0</v>
      </c>
      <c r="C426" s="834"/>
      <c r="D426" s="57">
        <f>'Cjenik M'!$C$107</f>
        <v>0</v>
      </c>
      <c r="E426" s="58"/>
      <c r="F426" s="263">
        <f>'Cjenik M'!$D$107</f>
        <v>0</v>
      </c>
      <c r="G426" s="60">
        <f>E426*F426</f>
        <v>0</v>
      </c>
      <c r="I426" s="56"/>
      <c r="J426" s="834">
        <f>'Cjenik M'!$B$107</f>
        <v>0</v>
      </c>
      <c r="K426" s="834"/>
      <c r="L426" s="57">
        <f>'Cjenik M'!$C$107</f>
        <v>0</v>
      </c>
      <c r="M426" s="58">
        <v>0.55000000000000004</v>
      </c>
      <c r="N426" s="263">
        <f>'Cjenik M'!$D$107</f>
        <v>0</v>
      </c>
      <c r="O426" s="60">
        <f>M426*N426</f>
        <v>0</v>
      </c>
    </row>
    <row r="427" spans="1:15" ht="25.15" customHeight="1">
      <c r="A427" s="56"/>
      <c r="B427" s="834">
        <f>'Cjenik M'!$B$75</f>
        <v>0</v>
      </c>
      <c r="C427" s="834"/>
      <c r="D427" s="57">
        <f>'Cjenik M'!$C$75</f>
        <v>0</v>
      </c>
      <c r="E427" s="58">
        <v>1.6799999999999999E-2</v>
      </c>
      <c r="F427" s="263">
        <f>'Cjenik M'!$D$75</f>
        <v>0</v>
      </c>
      <c r="G427" s="60">
        <f>E427*F427</f>
        <v>0</v>
      </c>
      <c r="I427" s="56"/>
      <c r="J427" s="834">
        <f>'Cjenik M'!$B$75</f>
        <v>0</v>
      </c>
      <c r="K427" s="834"/>
      <c r="L427" s="57">
        <f>'Cjenik M'!$C$75</f>
        <v>0</v>
      </c>
      <c r="M427" s="58">
        <v>0.01</v>
      </c>
      <c r="N427" s="263">
        <f>'Cjenik M'!$D$75</f>
        <v>0</v>
      </c>
      <c r="O427" s="60">
        <f>M427*N427</f>
        <v>0</v>
      </c>
    </row>
    <row r="428" spans="1:15" ht="25.15" customHeight="1">
      <c r="A428" s="56"/>
      <c r="B428" s="834">
        <f>'Cjenik M'!$B$77</f>
        <v>0</v>
      </c>
      <c r="C428" s="834"/>
      <c r="D428" s="57">
        <f>'Cjenik M'!$C$77</f>
        <v>0</v>
      </c>
      <c r="E428" s="58">
        <v>1.6800000000000001E-3</v>
      </c>
      <c r="F428" s="263">
        <f>'Cjenik M'!$D$77</f>
        <v>0</v>
      </c>
      <c r="G428" s="60">
        <f>E428*F428</f>
        <v>0</v>
      </c>
      <c r="I428" s="56"/>
      <c r="J428" s="834">
        <f>'Cjenik M'!$B$77</f>
        <v>0</v>
      </c>
      <c r="K428" s="834"/>
      <c r="L428" s="57">
        <f>'Cjenik M'!$C$77</f>
        <v>0</v>
      </c>
      <c r="M428" s="58">
        <v>1E-3</v>
      </c>
      <c r="N428" s="263">
        <f>'Cjenik M'!$D$77</f>
        <v>0</v>
      </c>
      <c r="O428" s="60">
        <f>M428*N428</f>
        <v>0</v>
      </c>
    </row>
    <row r="429" spans="1:15" ht="25.15" customHeight="1" thickBot="1">
      <c r="A429" s="66"/>
      <c r="B429" s="859">
        <f>'Cjenik M'!$B$82</f>
        <v>0</v>
      </c>
      <c r="C429" s="859"/>
      <c r="D429" s="67">
        <f>'Cjenik M'!$C$82</f>
        <v>0</v>
      </c>
      <c r="E429" s="68">
        <v>2E-3</v>
      </c>
      <c r="F429" s="262">
        <f>'Cjenik M'!$D$82</f>
        <v>0</v>
      </c>
      <c r="G429" s="70">
        <f>E429*F429</f>
        <v>0</v>
      </c>
      <c r="I429" s="66"/>
      <c r="J429" s="859">
        <f>'Cjenik M'!$B$82</f>
        <v>0</v>
      </c>
      <c r="K429" s="859"/>
      <c r="L429" s="67">
        <f>'Cjenik M'!$C$82</f>
        <v>0</v>
      </c>
      <c r="M429" s="68">
        <v>2E-3</v>
      </c>
      <c r="N429" s="262">
        <f>'Cjenik M'!$D$82</f>
        <v>0</v>
      </c>
      <c r="O429" s="70">
        <f>M429*N429</f>
        <v>0</v>
      </c>
    </row>
    <row r="430" spans="1:15" ht="25.15" customHeight="1" thickTop="1" thickBot="1">
      <c r="B430" s="47"/>
      <c r="C430" s="24"/>
      <c r="D430" s="25"/>
      <c r="E430" s="850" t="str">
        <f>'Obrazac kalkulacije'!$E$18</f>
        <v>Ukupno (kn):</v>
      </c>
      <c r="F430" s="850"/>
      <c r="G430" s="26">
        <f>ROUND(SUM(G419+G421+G424),2)</f>
        <v>59.34</v>
      </c>
      <c r="H430" s="269" t="e">
        <f>SUMIF(#REF!,$B415,#REF!)</f>
        <v>#REF!</v>
      </c>
      <c r="J430" s="47"/>
      <c r="K430" s="24"/>
      <c r="L430" s="25"/>
      <c r="M430" s="850" t="str">
        <f>'Obrazac kalkulacije'!$E$18</f>
        <v>Ukupno (kn):</v>
      </c>
      <c r="N430" s="850"/>
      <c r="O430" s="26">
        <f>ROUND(SUM(O419+O421+O424),2)</f>
        <v>58.78</v>
      </c>
    </row>
    <row r="431" spans="1:15" ht="25.15" customHeight="1" thickTop="1" thickBot="1">
      <c r="E431" s="27" t="str">
        <f>'Obrazac kalkulacije'!$E$19</f>
        <v>PDV:</v>
      </c>
      <c r="F431" s="259">
        <f>'Obrazac kalkulacije'!$F$19</f>
        <v>0.25</v>
      </c>
      <c r="G431" s="29">
        <f>G430*F431</f>
        <v>14.835000000000001</v>
      </c>
      <c r="H431" s="270" t="e">
        <f>H430-G430</f>
        <v>#REF!</v>
      </c>
      <c r="M431" s="27" t="str">
        <f>'Obrazac kalkulacije'!$E$19</f>
        <v>PDV:</v>
      </c>
      <c r="N431" s="259">
        <f>'Obrazac kalkulacije'!$F$19</f>
        <v>0.25</v>
      </c>
      <c r="O431" s="29">
        <f>O430*N431</f>
        <v>14.695</v>
      </c>
    </row>
    <row r="432" spans="1:15" ht="25.15" customHeight="1" thickTop="1" thickBot="1">
      <c r="E432" s="840" t="str">
        <f>'Obrazac kalkulacije'!$E$20</f>
        <v>Sveukupno (kn):</v>
      </c>
      <c r="F432" s="840"/>
      <c r="G432" s="29">
        <f>ROUND(SUM(G430:G431),2)</f>
        <v>74.180000000000007</v>
      </c>
      <c r="H432" s="271" t="e">
        <f>G423+H431</f>
        <v>#REF!</v>
      </c>
      <c r="M432" s="840" t="str">
        <f>'Obrazac kalkulacije'!$E$20</f>
        <v>Sveukupno (kn):</v>
      </c>
      <c r="N432" s="840"/>
      <c r="O432" s="29">
        <f>ROUND(SUM(O430:O431),2)</f>
        <v>73.48</v>
      </c>
    </row>
    <row r="433" spans="1:15" ht="15" customHeight="1" thickTop="1"/>
    <row r="434" spans="1:15" ht="15" customHeight="1"/>
    <row r="435" spans="1:15" ht="15" customHeight="1"/>
    <row r="436" spans="1:15" ht="15" customHeight="1">
      <c r="C436" s="3" t="str">
        <f>'Obrazac kalkulacije'!$C$24</f>
        <v>IZVODITELJ:</v>
      </c>
      <c r="F436" s="841" t="str">
        <f>'Obrazac kalkulacije'!$F$24</f>
        <v>NARUČITELJ:</v>
      </c>
      <c r="G436" s="841"/>
      <c r="K436" s="3" t="str">
        <f>'Obrazac kalkulacije'!$C$24</f>
        <v>IZVODITELJ:</v>
      </c>
      <c r="N436" s="841" t="str">
        <f>'Obrazac kalkulacije'!$F$24</f>
        <v>NARUČITELJ:</v>
      </c>
      <c r="O436" s="841"/>
    </row>
    <row r="437" spans="1:15" ht="25.15" customHeight="1">
      <c r="C437" s="3" t="str">
        <f>'Obrazac kalkulacije'!$C$25</f>
        <v>__________________</v>
      </c>
      <c r="F437" s="841" t="str">
        <f>'Obrazac kalkulacije'!$F$25</f>
        <v>___________________</v>
      </c>
      <c r="G437" s="841"/>
      <c r="K437" s="3" t="str">
        <f>'Obrazac kalkulacije'!$C$25</f>
        <v>__________________</v>
      </c>
      <c r="N437" s="841" t="str">
        <f>'Obrazac kalkulacije'!$F$25</f>
        <v>___________________</v>
      </c>
      <c r="O437" s="841"/>
    </row>
    <row r="438" spans="1:15" ht="15" customHeight="1">
      <c r="F438" s="841"/>
      <c r="G438" s="841"/>
      <c r="N438" s="841"/>
      <c r="O438" s="841"/>
    </row>
    <row r="439" spans="1:15" ht="15" customHeight="1"/>
    <row r="440" spans="1:15" ht="15" customHeight="1">
      <c r="A440" s="144"/>
      <c r="B440" s="145" t="s">
        <v>615</v>
      </c>
      <c r="C440" s="836" t="s">
        <v>616</v>
      </c>
      <c r="D440" s="836"/>
      <c r="E440" s="836"/>
      <c r="F440" s="836"/>
      <c r="G440" s="836"/>
      <c r="I440" s="144"/>
      <c r="J440" s="145" t="s">
        <v>615</v>
      </c>
      <c r="K440" s="836" t="s">
        <v>616</v>
      </c>
      <c r="L440" s="836"/>
      <c r="M440" s="836"/>
      <c r="N440" s="836"/>
      <c r="O440" s="836"/>
    </row>
    <row r="441" spans="1:15" ht="15" customHeight="1">
      <c r="A441" s="7"/>
      <c r="B441" s="39" t="s">
        <v>648</v>
      </c>
      <c r="C441" s="860" t="s">
        <v>649</v>
      </c>
      <c r="D441" s="860"/>
      <c r="E441" s="860"/>
      <c r="F441" s="860"/>
      <c r="G441" s="860"/>
      <c r="I441" s="7"/>
      <c r="J441" s="39" t="s">
        <v>648</v>
      </c>
      <c r="K441" s="860" t="s">
        <v>649</v>
      </c>
      <c r="L441" s="860"/>
      <c r="M441" s="860"/>
      <c r="N441" s="860"/>
      <c r="O441" s="860"/>
    </row>
    <row r="442" spans="1:15" ht="150" customHeight="1">
      <c r="A442" s="9"/>
      <c r="B442" s="556" t="s">
        <v>680</v>
      </c>
      <c r="C442" s="852" t="s">
        <v>682</v>
      </c>
      <c r="D442" s="852"/>
      <c r="E442" s="852"/>
      <c r="F442" s="852"/>
      <c r="G442" s="852"/>
      <c r="I442" s="9"/>
      <c r="J442" s="41" t="s">
        <v>683</v>
      </c>
      <c r="K442" s="869" t="s">
        <v>684</v>
      </c>
      <c r="L442" s="869"/>
      <c r="M442" s="869"/>
      <c r="N442" s="869"/>
      <c r="O442" s="869"/>
    </row>
    <row r="443" spans="1:15" ht="15" customHeight="1" thickBot="1"/>
    <row r="444" spans="1:15" ht="30" customHeight="1" thickTop="1" thickBot="1">
      <c r="A444" s="10"/>
      <c r="B444" s="99">
        <v>0</v>
      </c>
      <c r="C444" s="100" t="s">
        <v>624</v>
      </c>
      <c r="D444" s="10" t="s">
        <v>625</v>
      </c>
      <c r="E444" s="10" t="s">
        <v>626</v>
      </c>
      <c r="F444" s="10" t="s">
        <v>627</v>
      </c>
      <c r="G444" s="10" t="s">
        <v>628</v>
      </c>
    </row>
    <row r="445" spans="1:15" ht="4.5" customHeight="1" thickTop="1">
      <c r="B445" s="42"/>
      <c r="C445" s="1"/>
      <c r="D445" s="11"/>
      <c r="E445" s="13"/>
      <c r="F445" s="258"/>
      <c r="G445" s="15"/>
    </row>
    <row r="446" spans="1:15" ht="25.15" customHeight="1">
      <c r="A446" s="16"/>
      <c r="B446" s="837" t="s">
        <v>565</v>
      </c>
      <c r="C446" s="837"/>
      <c r="D446" s="16"/>
      <c r="E446" s="16"/>
      <c r="F446" s="44"/>
      <c r="G446" s="18">
        <f>SUM(G447:G447)</f>
        <v>197.08</v>
      </c>
    </row>
    <row r="447" spans="1:15" ht="25.15" customHeight="1">
      <c r="A447" s="32"/>
      <c r="B447" s="838" t="s">
        <v>53</v>
      </c>
      <c r="C447" s="838"/>
      <c r="D447" s="33" t="s">
        <v>51</v>
      </c>
      <c r="E447" s="34">
        <v>2</v>
      </c>
      <c r="F447" s="238">
        <f>SUMIF('Cjenik RS'!$C$11:$C$26,$B447,'Cjenik RS'!$D$11:$D$90)</f>
        <v>98.54</v>
      </c>
      <c r="G447" s="35">
        <f>E447*F447</f>
        <v>197.08</v>
      </c>
      <c r="N447" s="238">
        <f>SUMIF('Cjenik RS'!$C$11:$C$26,J447,'Cjenik RS'!$D$11:$D$90)</f>
        <v>0</v>
      </c>
    </row>
    <row r="448" spans="1:15" ht="25.15" customHeight="1">
      <c r="A448" s="16"/>
      <c r="B448" s="837" t="s">
        <v>566</v>
      </c>
      <c r="C448" s="837"/>
      <c r="D448" s="16"/>
      <c r="E448" s="16"/>
      <c r="F448" s="238"/>
      <c r="G448" s="18">
        <f>SUM(G449:G451)</f>
        <v>100.72</v>
      </c>
    </row>
    <row r="449" spans="1:15" ht="25.15" customHeight="1">
      <c r="A449" s="51"/>
      <c r="B449" s="849" t="s">
        <v>69</v>
      </c>
      <c r="C449" s="849"/>
      <c r="D449" s="52" t="s">
        <v>51</v>
      </c>
      <c r="E449" s="53">
        <v>0.5</v>
      </c>
      <c r="F449" s="260">
        <f>SUMIF('Cjenik VSO'!$B$9:$B$85,$B449,'Cjenik VSO'!$C$9:$C$85)</f>
        <v>179.6</v>
      </c>
      <c r="G449" s="55">
        <f>E449*F449</f>
        <v>89.8</v>
      </c>
    </row>
    <row r="450" spans="1:15" ht="25.15" customHeight="1">
      <c r="A450" s="51"/>
      <c r="B450" s="849" t="s">
        <v>200</v>
      </c>
      <c r="C450" s="849"/>
      <c r="D450" s="52" t="s">
        <v>51</v>
      </c>
      <c r="E450" s="53">
        <v>0.5</v>
      </c>
      <c r="F450" s="260">
        <f>SUMIF('Cjenik VSO'!$B$9:$B$85,$B450,'Cjenik VSO'!$C$9:$C$85)</f>
        <v>21.84</v>
      </c>
      <c r="G450" s="55">
        <f>E450*F450</f>
        <v>10.92</v>
      </c>
    </row>
    <row r="451" spans="1:15" ht="25.15" customHeight="1">
      <c r="A451" s="61"/>
      <c r="B451" s="864"/>
      <c r="C451" s="864"/>
      <c r="D451" s="62" t="s">
        <v>51</v>
      </c>
      <c r="E451" s="63"/>
      <c r="F451" s="261">
        <f>SUMIF('Cjenik VSO'!$B$9:$B$85,$B451,'Cjenik VSO'!$C$9:$C$85)</f>
        <v>0</v>
      </c>
      <c r="G451" s="65">
        <f>E451*F451</f>
        <v>0</v>
      </c>
    </row>
    <row r="452" spans="1:15" ht="25.15" customHeight="1">
      <c r="A452" s="88"/>
      <c r="B452" s="837" t="s">
        <v>630</v>
      </c>
      <c r="C452" s="837"/>
      <c r="D452" s="16"/>
      <c r="E452" s="16"/>
      <c r="F452" s="238"/>
      <c r="G452" s="18">
        <f>SUM(G453:G454)</f>
        <v>0</v>
      </c>
    </row>
    <row r="453" spans="1:15" ht="25.15" customHeight="1">
      <c r="A453" s="51"/>
      <c r="B453" s="863"/>
      <c r="C453" s="863"/>
      <c r="D453" s="52"/>
      <c r="E453" s="53"/>
      <c r="F453" s="260"/>
      <c r="G453" s="55">
        <f>E453*F453</f>
        <v>0</v>
      </c>
    </row>
    <row r="454" spans="1:15" ht="25.15" customHeight="1" thickBot="1">
      <c r="A454" s="66"/>
      <c r="B454" s="859"/>
      <c r="C454" s="859"/>
      <c r="D454" s="67"/>
      <c r="E454" s="68"/>
      <c r="F454" s="262"/>
      <c r="G454" s="70">
        <f>E454*F454</f>
        <v>0</v>
      </c>
      <c r="H454" s="1"/>
      <c r="I454" s="37"/>
      <c r="J454" s="2"/>
      <c r="K454" s="3"/>
      <c r="L454" s="4"/>
      <c r="M454" s="30"/>
      <c r="N454" s="5"/>
      <c r="O454" s="2"/>
    </row>
    <row r="455" spans="1:15" ht="25.15" customHeight="1" thickTop="1" thickBot="1">
      <c r="B455" s="47"/>
      <c r="C455" s="24"/>
      <c r="D455" s="25"/>
      <c r="E455" s="850" t="str">
        <f>'Obrazac kalkulacije'!$E$18</f>
        <v>Ukupno (kn):</v>
      </c>
      <c r="F455" s="850"/>
      <c r="G455" s="26">
        <f>ROUND(SUM(G446+G448+G452),2)</f>
        <v>297.8</v>
      </c>
      <c r="H455" s="1"/>
      <c r="I455" s="37"/>
      <c r="J455" s="2"/>
      <c r="K455" s="3"/>
      <c r="L455" s="4"/>
      <c r="M455" s="30"/>
      <c r="N455" s="5"/>
      <c r="O455" s="2"/>
    </row>
    <row r="456" spans="1:15" ht="25.15" customHeight="1" thickTop="1" thickBot="1">
      <c r="E456" s="27" t="str">
        <f>'Obrazac kalkulacije'!$E$19</f>
        <v>PDV:</v>
      </c>
      <c r="F456" s="259">
        <f>'Obrazac kalkulacije'!$F$19</f>
        <v>0.25</v>
      </c>
      <c r="G456" s="29">
        <f>G455*F456</f>
        <v>74.45</v>
      </c>
      <c r="H456" s="1"/>
      <c r="I456" s="37"/>
      <c r="J456" s="2"/>
      <c r="K456" s="3"/>
      <c r="L456" s="4"/>
      <c r="M456" s="30"/>
      <c r="N456" s="5"/>
      <c r="O456" s="2"/>
    </row>
    <row r="457" spans="1:15" ht="25.15" customHeight="1" thickTop="1" thickBot="1">
      <c r="E457" s="840" t="str">
        <f>'Obrazac kalkulacije'!$E$20</f>
        <v>Sveukupno (kn):</v>
      </c>
      <c r="F457" s="840"/>
      <c r="G457" s="29">
        <f>ROUND(SUM(G455:G456),2)</f>
        <v>372.25</v>
      </c>
      <c r="H457" s="1"/>
      <c r="I457" s="37"/>
      <c r="J457" s="2"/>
      <c r="K457" s="3"/>
      <c r="L457" s="4"/>
      <c r="M457" s="30"/>
      <c r="N457" s="5"/>
      <c r="O457" s="2"/>
    </row>
    <row r="458" spans="1:15" ht="15" customHeight="1" thickTop="1"/>
    <row r="459" spans="1:15" ht="15" customHeight="1"/>
    <row r="460" spans="1:15" ht="15" customHeight="1"/>
    <row r="461" spans="1:15" ht="15" customHeight="1">
      <c r="C461" s="3" t="str">
        <f>'Obrazac kalkulacije'!$C$24</f>
        <v>IZVODITELJ:</v>
      </c>
      <c r="F461" s="841" t="str">
        <f>'Obrazac kalkulacije'!$F$24</f>
        <v>NARUČITELJ:</v>
      </c>
      <c r="G461" s="841"/>
      <c r="K461" s="3" t="str">
        <f>'Obrazac kalkulacije'!$C$24</f>
        <v>IZVODITELJ:</v>
      </c>
      <c r="N461" s="841" t="str">
        <f>'Obrazac kalkulacije'!$F$24</f>
        <v>NARUČITELJ:</v>
      </c>
      <c r="O461" s="841"/>
    </row>
    <row r="462" spans="1:15" ht="25.15" customHeight="1">
      <c r="C462" s="3" t="str">
        <f>'Obrazac kalkulacije'!$C$25</f>
        <v>__________________</v>
      </c>
      <c r="F462" s="841" t="str">
        <f>'Obrazac kalkulacije'!$F$25</f>
        <v>___________________</v>
      </c>
      <c r="G462" s="841"/>
      <c r="K462" s="3" t="str">
        <f>'Obrazac kalkulacije'!$C$25</f>
        <v>__________________</v>
      </c>
      <c r="N462" s="841" t="str">
        <f>'Obrazac kalkulacije'!$F$25</f>
        <v>___________________</v>
      </c>
      <c r="O462" s="841"/>
    </row>
    <row r="463" spans="1:15" ht="15" customHeight="1">
      <c r="F463" s="841"/>
      <c r="G463" s="841"/>
      <c r="N463" s="841"/>
      <c r="O463" s="841"/>
    </row>
    <row r="464" spans="1:15" ht="15" customHeight="1"/>
    <row r="465" spans="1:15" ht="15" customHeight="1">
      <c r="A465" s="144"/>
      <c r="B465" s="145" t="s">
        <v>615</v>
      </c>
      <c r="C465" s="836" t="s">
        <v>616</v>
      </c>
      <c r="D465" s="836"/>
      <c r="E465" s="836"/>
      <c r="F465" s="836"/>
      <c r="G465" s="836"/>
      <c r="I465" s="144"/>
      <c r="J465" s="145" t="s">
        <v>615</v>
      </c>
      <c r="K465" s="836" t="s">
        <v>616</v>
      </c>
      <c r="L465" s="836"/>
      <c r="M465" s="836"/>
      <c r="N465" s="836"/>
      <c r="O465" s="836"/>
    </row>
    <row r="466" spans="1:15" ht="15" customHeight="1">
      <c r="A466" s="7"/>
      <c r="B466" s="39" t="s">
        <v>648</v>
      </c>
      <c r="C466" s="860" t="s">
        <v>649</v>
      </c>
      <c r="D466" s="860"/>
      <c r="E466" s="860"/>
      <c r="F466" s="860"/>
      <c r="G466" s="860"/>
      <c r="I466" s="7"/>
      <c r="J466" s="39" t="s">
        <v>648</v>
      </c>
      <c r="K466" s="860" t="s">
        <v>649</v>
      </c>
      <c r="L466" s="860"/>
      <c r="M466" s="860"/>
      <c r="N466" s="860"/>
      <c r="O466" s="860"/>
    </row>
    <row r="467" spans="1:15" ht="150" customHeight="1">
      <c r="A467" s="9"/>
      <c r="B467" s="556" t="s">
        <v>683</v>
      </c>
      <c r="C467" s="852" t="s">
        <v>685</v>
      </c>
      <c r="D467" s="852"/>
      <c r="E467" s="852"/>
      <c r="F467" s="852"/>
      <c r="G467" s="852"/>
      <c r="I467" s="9"/>
      <c r="J467" s="41" t="s">
        <v>686</v>
      </c>
      <c r="K467" s="869" t="s">
        <v>687</v>
      </c>
      <c r="L467" s="869"/>
      <c r="M467" s="869"/>
      <c r="N467" s="869"/>
      <c r="O467" s="869"/>
    </row>
    <row r="468" spans="1:15" ht="15" customHeight="1" thickBot="1"/>
    <row r="469" spans="1:15" ht="30" customHeight="1" thickTop="1" thickBot="1">
      <c r="A469" s="10"/>
      <c r="B469" s="99">
        <v>0</v>
      </c>
      <c r="C469" s="100" t="s">
        <v>624</v>
      </c>
      <c r="D469" s="10" t="s">
        <v>625</v>
      </c>
      <c r="E469" s="10" t="s">
        <v>626</v>
      </c>
      <c r="F469" s="10" t="s">
        <v>627</v>
      </c>
      <c r="G469" s="10" t="s">
        <v>628</v>
      </c>
      <c r="I469" s="10"/>
      <c r="J469" s="99">
        <v>0</v>
      </c>
      <c r="K469" s="100" t="s">
        <v>624</v>
      </c>
      <c r="L469" s="10" t="s">
        <v>625</v>
      </c>
      <c r="M469" s="10" t="s">
        <v>626</v>
      </c>
      <c r="N469" s="10" t="s">
        <v>627</v>
      </c>
      <c r="O469" s="10" t="s">
        <v>628</v>
      </c>
    </row>
    <row r="470" spans="1:15" ht="4.5" customHeight="1" thickTop="1">
      <c r="B470" s="42"/>
      <c r="C470" s="1"/>
      <c r="D470" s="11"/>
      <c r="E470" s="13"/>
      <c r="F470" s="258"/>
      <c r="G470" s="15"/>
      <c r="J470" s="42"/>
      <c r="K470" s="1"/>
      <c r="L470" s="11"/>
      <c r="M470" s="13"/>
      <c r="N470" s="258"/>
      <c r="O470" s="15"/>
    </row>
    <row r="471" spans="1:15" ht="25.15" customHeight="1">
      <c r="A471" s="16"/>
      <c r="B471" s="837" t="s">
        <v>565</v>
      </c>
      <c r="C471" s="837"/>
      <c r="D471" s="16"/>
      <c r="E471" s="16"/>
      <c r="F471" s="44"/>
      <c r="G471" s="18">
        <f>SUM(G472:G472)</f>
        <v>68.977999999999994</v>
      </c>
      <c r="I471" s="16"/>
      <c r="J471" s="837" t="s">
        <v>565</v>
      </c>
      <c r="K471" s="837"/>
      <c r="L471" s="16"/>
      <c r="M471" s="16"/>
      <c r="N471" s="44"/>
      <c r="O471" s="18">
        <f>SUM(O472:O472)</f>
        <v>79.11747038</v>
      </c>
    </row>
    <row r="472" spans="1:15" ht="25.15" customHeight="1">
      <c r="A472" s="32"/>
      <c r="B472" s="838" t="s">
        <v>53</v>
      </c>
      <c r="C472" s="838"/>
      <c r="D472" s="33" t="s">
        <v>51</v>
      </c>
      <c r="E472" s="34">
        <v>0.7</v>
      </c>
      <c r="F472" s="238">
        <f>SUMIF('Cjenik RS'!$C$11:$C$26,$B472,'Cjenik RS'!$D$11:$D$90)</f>
        <v>98.54</v>
      </c>
      <c r="G472" s="35">
        <f>E472*F472</f>
        <v>68.977999999999994</v>
      </c>
      <c r="I472" s="32"/>
      <c r="J472" s="838" t="s">
        <v>53</v>
      </c>
      <c r="K472" s="838"/>
      <c r="L472" s="33" t="s">
        <v>51</v>
      </c>
      <c r="M472" s="34">
        <v>0.80289699999999997</v>
      </c>
      <c r="N472" s="238">
        <f>SUMIF('Cjenik RS'!$C$11:$C$26,J472,'Cjenik RS'!$D$11:$D$90)</f>
        <v>98.54</v>
      </c>
      <c r="O472" s="35">
        <f>M472*N472</f>
        <v>79.11747038</v>
      </c>
    </row>
    <row r="473" spans="1:15" ht="25.15" customHeight="1">
      <c r="A473" s="16"/>
      <c r="B473" s="837" t="s">
        <v>566</v>
      </c>
      <c r="C473" s="837"/>
      <c r="D473" s="16"/>
      <c r="E473" s="16"/>
      <c r="F473" s="238"/>
      <c r="G473" s="18">
        <f>SUM(G474:G475)</f>
        <v>53.380800000000001</v>
      </c>
      <c r="I473" s="16"/>
      <c r="J473" s="837" t="s">
        <v>566</v>
      </c>
      <c r="K473" s="837"/>
      <c r="L473" s="16"/>
      <c r="M473" s="16"/>
      <c r="N473" s="238"/>
      <c r="O473" s="18">
        <f>SUM(O474:O475)</f>
        <v>53.682046400000004</v>
      </c>
    </row>
    <row r="474" spans="1:15" ht="25.15" customHeight="1">
      <c r="A474" s="51"/>
      <c r="B474" s="849" t="s">
        <v>69</v>
      </c>
      <c r="C474" s="849"/>
      <c r="D474" s="52" t="s">
        <v>51</v>
      </c>
      <c r="E474" s="86">
        <v>8.7999999999999995E-2</v>
      </c>
      <c r="F474" s="260">
        <f>SUMIF('Cjenik VSO'!$B$9:$B$85,$B474,'Cjenik VSO'!$C$9:$C$85)</f>
        <v>179.6</v>
      </c>
      <c r="G474" s="54">
        <f>E474*F474</f>
        <v>15.804799999999998</v>
      </c>
      <c r="I474" s="51"/>
      <c r="J474" s="849" t="s">
        <v>69</v>
      </c>
      <c r="K474" s="849"/>
      <c r="L474" s="52" t="s">
        <v>51</v>
      </c>
      <c r="M474" s="86">
        <v>8.9897000000000005E-2</v>
      </c>
      <c r="N474" s="260">
        <f>SUMIF('Cjenik VSO'!$B$9:$B$85,$B474,'Cjenik VSO'!$C$9:$C$85)</f>
        <v>179.6</v>
      </c>
      <c r="O474" s="54">
        <f>M474*N474</f>
        <v>16.145501200000002</v>
      </c>
    </row>
    <row r="475" spans="1:15" ht="25.15" customHeight="1">
      <c r="A475" s="61"/>
      <c r="B475" s="855" t="s">
        <v>288</v>
      </c>
      <c r="C475" s="855"/>
      <c r="D475" s="62" t="s">
        <v>51</v>
      </c>
      <c r="E475" s="87">
        <v>0.22</v>
      </c>
      <c r="F475" s="261">
        <f>SUMIF('Cjenik VSO'!$B$9:$B$85,$B475,'Cjenik VSO'!$C$9:$C$85)</f>
        <v>170.8</v>
      </c>
      <c r="G475" s="64">
        <f>E475*F475</f>
        <v>37.576000000000001</v>
      </c>
      <c r="I475" s="61"/>
      <c r="J475" s="855" t="s">
        <v>288</v>
      </c>
      <c r="K475" s="855"/>
      <c r="L475" s="62" t="s">
        <v>51</v>
      </c>
      <c r="M475" s="87">
        <v>0.21976899999999999</v>
      </c>
      <c r="N475" s="261">
        <f>SUMIF('Cjenik VSO'!$B$9:$B$85,$B475,'Cjenik VSO'!$C$9:$C$85)</f>
        <v>170.8</v>
      </c>
      <c r="O475" s="64">
        <f>M475*N475</f>
        <v>37.536545199999999</v>
      </c>
    </row>
    <row r="476" spans="1:15" ht="25.15" customHeight="1">
      <c r="A476" s="16"/>
      <c r="B476" s="837" t="s">
        <v>630</v>
      </c>
      <c r="C476" s="837"/>
      <c r="D476" s="16"/>
      <c r="E476" s="16"/>
      <c r="F476" s="238"/>
      <c r="G476" s="18">
        <f>SUM(G477:G479)</f>
        <v>208</v>
      </c>
      <c r="I476" s="16"/>
      <c r="J476" s="837" t="s">
        <v>630</v>
      </c>
      <c r="K476" s="837"/>
      <c r="L476" s="16"/>
      <c r="M476" s="16"/>
      <c r="N476" s="238"/>
      <c r="O476" s="18">
        <f>SUM(O477:O479)</f>
        <v>0</v>
      </c>
    </row>
    <row r="477" spans="1:15" ht="25.15" customHeight="1">
      <c r="A477" s="51"/>
      <c r="B477" s="863" t="str">
        <f>'Cjenik M'!$B$23</f>
        <v xml:space="preserve">Materijal za pranje </v>
      </c>
      <c r="C477" s="863"/>
      <c r="D477" s="52">
        <f>'Cjenik M'!$C$63</f>
        <v>0</v>
      </c>
      <c r="E477" s="53">
        <v>0.26</v>
      </c>
      <c r="F477" s="260">
        <f>'Cjenik M'!$D$23</f>
        <v>800</v>
      </c>
      <c r="G477" s="55">
        <f>E477*F477</f>
        <v>208</v>
      </c>
      <c r="I477" s="51"/>
      <c r="J477" s="863" t="str">
        <f>'Cjenik M'!$B$23</f>
        <v xml:space="preserve">Materijal za pranje </v>
      </c>
      <c r="K477" s="863"/>
      <c r="L477" s="52">
        <f>'Cjenik M'!$C$63</f>
        <v>0</v>
      </c>
      <c r="M477" s="53">
        <v>0.05</v>
      </c>
      <c r="N477" s="260">
        <f>'Cjenik M'!$D$63</f>
        <v>0</v>
      </c>
      <c r="O477" s="55">
        <f>M477*N477</f>
        <v>0</v>
      </c>
    </row>
    <row r="478" spans="1:15" ht="25.15" customHeight="1" thickBot="1">
      <c r="A478" s="61"/>
      <c r="B478" s="864">
        <f>'Cjenik M'!$B$77</f>
        <v>0</v>
      </c>
      <c r="C478" s="864"/>
      <c r="D478" s="62">
        <f>'Cjenik M'!$C$77</f>
        <v>0</v>
      </c>
      <c r="E478" s="63">
        <v>2.5999999999999999E-2</v>
      </c>
      <c r="F478" s="261">
        <f>'Cjenik M'!$D$77</f>
        <v>0</v>
      </c>
      <c r="G478" s="65">
        <f>E478*F478</f>
        <v>0</v>
      </c>
      <c r="I478" s="66"/>
      <c r="J478" s="859">
        <f>'Cjenik M'!$B$77</f>
        <v>0</v>
      </c>
      <c r="K478" s="859"/>
      <c r="L478" s="67">
        <f>'Cjenik M'!$C$77</f>
        <v>0</v>
      </c>
      <c r="M478" s="68">
        <v>1.7000000000000001E-2</v>
      </c>
      <c r="N478" s="262">
        <f>'Cjenik M'!$D$77</f>
        <v>0</v>
      </c>
      <c r="O478" s="70">
        <f>M478*N478</f>
        <v>0</v>
      </c>
    </row>
    <row r="479" spans="1:15" ht="25.15" customHeight="1" thickTop="1" thickBot="1">
      <c r="A479" s="632"/>
      <c r="B479" s="881">
        <f>'Cjenik M'!$B$104</f>
        <v>0</v>
      </c>
      <c r="C479" s="881"/>
      <c r="D479" s="633">
        <f>'Cjenik M'!$C$104</f>
        <v>0</v>
      </c>
      <c r="E479" s="634">
        <v>2.8000000000000001E-2</v>
      </c>
      <c r="F479" s="635">
        <f>'Cjenik M'!$D$104</f>
        <v>0</v>
      </c>
      <c r="G479" s="636">
        <f>E479*F479</f>
        <v>0</v>
      </c>
      <c r="I479" s="66"/>
      <c r="J479" s="859">
        <f>'Cjenik M'!$B$104</f>
        <v>0</v>
      </c>
      <c r="K479" s="859"/>
      <c r="L479" s="67">
        <f>'Cjenik M'!$C$104</f>
        <v>0</v>
      </c>
      <c r="M479" s="68">
        <v>2.8000000000000001E-2</v>
      </c>
      <c r="N479" s="262">
        <f>'Cjenik M'!$D$104</f>
        <v>0</v>
      </c>
      <c r="O479" s="70">
        <f>M479*N479</f>
        <v>0</v>
      </c>
    </row>
    <row r="480" spans="1:15" ht="25.15" customHeight="1" thickTop="1" thickBot="1">
      <c r="E480" s="868" t="str">
        <f>'Obrazac kalkulacije'!$E$18</f>
        <v>Ukupno (kn):</v>
      </c>
      <c r="F480" s="868"/>
      <c r="G480" s="71">
        <f>ROUND(SUM(G471+G473+G476),2)</f>
        <v>330.36</v>
      </c>
      <c r="H480" s="269" t="e">
        <f>SUMIF(#REF!,$B467,#REF!)</f>
        <v>#REF!</v>
      </c>
      <c r="M480" s="868" t="str">
        <f>'Obrazac kalkulacije'!$E$18</f>
        <v>Ukupno (kn):</v>
      </c>
      <c r="N480" s="868"/>
      <c r="O480" s="71">
        <f>ROUND(SUM(O471+O473+O476),2)</f>
        <v>132.80000000000001</v>
      </c>
    </row>
    <row r="481" spans="1:15" ht="25.15" customHeight="1" thickTop="1" thickBot="1">
      <c r="E481" s="27" t="str">
        <f>'Obrazac kalkulacije'!$E$19</f>
        <v>PDV:</v>
      </c>
      <c r="F481" s="259">
        <f>'Obrazac kalkulacije'!$F$19</f>
        <v>0.25</v>
      </c>
      <c r="G481" s="29">
        <f>G480*F481</f>
        <v>82.59</v>
      </c>
      <c r="H481" s="270" t="e">
        <f>H480-G480</f>
        <v>#REF!</v>
      </c>
      <c r="M481" s="27" t="str">
        <f>'Obrazac kalkulacije'!$E$19</f>
        <v>PDV:</v>
      </c>
      <c r="N481" s="259">
        <f>'Obrazac kalkulacije'!$F$19</f>
        <v>0.25</v>
      </c>
      <c r="O481" s="29">
        <f>O480*N481</f>
        <v>33.200000000000003</v>
      </c>
    </row>
    <row r="482" spans="1:15" ht="25.15" customHeight="1" thickTop="1" thickBot="1">
      <c r="E482" s="840" t="str">
        <f>'Obrazac kalkulacije'!$E$20</f>
        <v>Sveukupno (kn):</v>
      </c>
      <c r="F482" s="840"/>
      <c r="G482" s="29">
        <f>ROUND(SUM(G480:G481),2)</f>
        <v>412.95</v>
      </c>
      <c r="H482" s="271" t="e">
        <f>G475+H481</f>
        <v>#REF!</v>
      </c>
      <c r="M482" s="840" t="str">
        <f>'Obrazac kalkulacije'!$E$20</f>
        <v>Sveukupno (kn):</v>
      </c>
      <c r="N482" s="840"/>
      <c r="O482" s="29">
        <f>ROUND(SUM(O480:O481),2)</f>
        <v>166</v>
      </c>
    </row>
    <row r="483" spans="1:15" ht="15" customHeight="1" thickTop="1"/>
    <row r="484" spans="1:15" ht="15" customHeight="1"/>
    <row r="485" spans="1:15" ht="15" customHeight="1"/>
    <row r="486" spans="1:15" ht="15" customHeight="1">
      <c r="C486" s="3" t="str">
        <f>'Obrazac kalkulacije'!$C$24</f>
        <v>IZVODITELJ:</v>
      </c>
      <c r="F486" s="841" t="str">
        <f>'Obrazac kalkulacije'!$F$24</f>
        <v>NARUČITELJ:</v>
      </c>
      <c r="G486" s="841"/>
      <c r="K486" s="3" t="str">
        <f>'Obrazac kalkulacije'!$C$24</f>
        <v>IZVODITELJ:</v>
      </c>
      <c r="N486" s="841" t="str">
        <f>'Obrazac kalkulacije'!$F$24</f>
        <v>NARUČITELJ:</v>
      </c>
      <c r="O486" s="841"/>
    </row>
    <row r="487" spans="1:15" ht="25.15" customHeight="1">
      <c r="C487" s="3" t="str">
        <f>'Obrazac kalkulacije'!$C$25</f>
        <v>__________________</v>
      </c>
      <c r="F487" s="841" t="str">
        <f>'Obrazac kalkulacije'!$F$25</f>
        <v>___________________</v>
      </c>
      <c r="G487" s="841"/>
      <c r="K487" s="3" t="str">
        <f>'Obrazac kalkulacije'!$C$25</f>
        <v>__________________</v>
      </c>
      <c r="N487" s="841" t="str">
        <f>'Obrazac kalkulacije'!$F$25</f>
        <v>___________________</v>
      </c>
      <c r="O487" s="841"/>
    </row>
    <row r="488" spans="1:15" ht="15" customHeight="1">
      <c r="F488" s="841"/>
      <c r="G488" s="841"/>
      <c r="N488" s="841"/>
      <c r="O488" s="841"/>
    </row>
    <row r="489" spans="1:15" ht="15" customHeight="1"/>
    <row r="490" spans="1:15" ht="15" customHeight="1">
      <c r="A490" s="144"/>
      <c r="B490" s="145" t="s">
        <v>615</v>
      </c>
      <c r="C490" s="836" t="s">
        <v>616</v>
      </c>
      <c r="D490" s="836"/>
      <c r="E490" s="836"/>
      <c r="F490" s="836"/>
      <c r="G490" s="836"/>
      <c r="I490" s="144"/>
      <c r="J490" s="145" t="s">
        <v>615</v>
      </c>
      <c r="K490" s="836" t="s">
        <v>616</v>
      </c>
      <c r="L490" s="836"/>
      <c r="M490" s="836"/>
      <c r="N490" s="836"/>
      <c r="O490" s="836"/>
    </row>
    <row r="491" spans="1:15" ht="15" customHeight="1">
      <c r="A491" s="7"/>
      <c r="B491" s="39" t="s">
        <v>648</v>
      </c>
      <c r="C491" s="860" t="s">
        <v>649</v>
      </c>
      <c r="D491" s="860"/>
      <c r="E491" s="860"/>
      <c r="F491" s="860"/>
      <c r="G491" s="860"/>
      <c r="I491" s="7"/>
      <c r="J491" s="39" t="s">
        <v>648</v>
      </c>
      <c r="K491" s="860" t="s">
        <v>649</v>
      </c>
      <c r="L491" s="860"/>
      <c r="M491" s="860"/>
      <c r="N491" s="860"/>
      <c r="O491" s="860"/>
    </row>
    <row r="492" spans="1:15" ht="150" customHeight="1">
      <c r="A492" s="9"/>
      <c r="B492" s="556" t="s">
        <v>688</v>
      </c>
      <c r="C492" s="852" t="s">
        <v>689</v>
      </c>
      <c r="D492" s="852"/>
      <c r="E492" s="852"/>
      <c r="F492" s="852"/>
      <c r="G492" s="852"/>
      <c r="I492" s="9"/>
      <c r="J492" s="41" t="s">
        <v>690</v>
      </c>
      <c r="K492" s="869" t="s">
        <v>691</v>
      </c>
      <c r="L492" s="869"/>
      <c r="M492" s="869"/>
      <c r="N492" s="869"/>
      <c r="O492" s="869"/>
    </row>
    <row r="493" spans="1:15" ht="15" customHeight="1" thickBot="1"/>
    <row r="494" spans="1:15" ht="30" customHeight="1" thickTop="1" thickBot="1">
      <c r="A494" s="10"/>
      <c r="B494" s="99">
        <v>0</v>
      </c>
      <c r="C494" s="100" t="s">
        <v>624</v>
      </c>
      <c r="D494" s="10" t="s">
        <v>625</v>
      </c>
      <c r="E494" s="10" t="s">
        <v>626</v>
      </c>
      <c r="F494" s="10" t="s">
        <v>627</v>
      </c>
      <c r="G494" s="10" t="s">
        <v>628</v>
      </c>
      <c r="I494" s="10"/>
      <c r="J494" s="99">
        <v>0</v>
      </c>
      <c r="K494" s="100" t="s">
        <v>624</v>
      </c>
      <c r="L494" s="10" t="s">
        <v>625</v>
      </c>
      <c r="M494" s="10" t="s">
        <v>626</v>
      </c>
      <c r="N494" s="10" t="s">
        <v>627</v>
      </c>
      <c r="O494" s="10" t="s">
        <v>628</v>
      </c>
    </row>
    <row r="495" spans="1:15" ht="4.5" customHeight="1" thickTop="1">
      <c r="B495" s="42"/>
      <c r="C495" s="1"/>
      <c r="D495" s="11"/>
      <c r="E495" s="13"/>
      <c r="F495" s="258"/>
      <c r="G495" s="15"/>
      <c r="J495" s="42"/>
      <c r="K495" s="1"/>
      <c r="L495" s="11"/>
      <c r="M495" s="13"/>
      <c r="N495" s="258"/>
      <c r="O495" s="15"/>
    </row>
    <row r="496" spans="1:15" ht="25.15" customHeight="1">
      <c r="A496" s="16"/>
      <c r="B496" s="837" t="s">
        <v>565</v>
      </c>
      <c r="C496" s="837"/>
      <c r="D496" s="16"/>
      <c r="E496" s="16"/>
      <c r="F496" s="44"/>
      <c r="G496" s="18">
        <f>SUM(G497:G497)</f>
        <v>137.83371186000002</v>
      </c>
      <c r="I496" s="16"/>
      <c r="J496" s="837" t="s">
        <v>565</v>
      </c>
      <c r="K496" s="837"/>
      <c r="L496" s="16"/>
      <c r="M496" s="16"/>
      <c r="N496" s="44"/>
      <c r="O496" s="18">
        <f>SUM(O497:O497)</f>
        <v>137.83371186000002</v>
      </c>
    </row>
    <row r="497" spans="1:15" ht="25.15" customHeight="1">
      <c r="A497" s="32"/>
      <c r="B497" s="838" t="s">
        <v>53</v>
      </c>
      <c r="C497" s="838"/>
      <c r="D497" s="33" t="s">
        <v>51</v>
      </c>
      <c r="E497" s="34">
        <v>1.3987590000000001</v>
      </c>
      <c r="F497" s="238">
        <f>SUMIF('Cjenik RS'!$C$11:$C$26,$B497,'Cjenik RS'!$D$11:$D$90)</f>
        <v>98.54</v>
      </c>
      <c r="G497" s="35">
        <f>E497*F497</f>
        <v>137.83371186000002</v>
      </c>
      <c r="I497" s="32"/>
      <c r="J497" s="838" t="s">
        <v>53</v>
      </c>
      <c r="K497" s="838"/>
      <c r="L497" s="33" t="s">
        <v>51</v>
      </c>
      <c r="M497" s="34">
        <v>1.3987590000000001</v>
      </c>
      <c r="N497" s="238">
        <f>SUMIF('Cjenik RS'!$C$11:$C$26,J497,'Cjenik RS'!$D$11:$D$90)</f>
        <v>98.54</v>
      </c>
      <c r="O497" s="35">
        <f>M497*N497</f>
        <v>137.83371186000002</v>
      </c>
    </row>
    <row r="498" spans="1:15" ht="25.15" customHeight="1">
      <c r="A498" s="16"/>
      <c r="B498" s="837" t="s">
        <v>566</v>
      </c>
      <c r="C498" s="837"/>
      <c r="D498" s="16"/>
      <c r="E498" s="16"/>
      <c r="F498" s="238"/>
      <c r="G498" s="18">
        <f>SUM(G499:G500)</f>
        <v>41.598300416720967</v>
      </c>
      <c r="I498" s="16"/>
      <c r="J498" s="837" t="s">
        <v>566</v>
      </c>
      <c r="K498" s="837"/>
      <c r="L498" s="16"/>
      <c r="M498" s="16"/>
      <c r="N498" s="238"/>
      <c r="O498" s="18">
        <f>SUM(O499:O500)</f>
        <v>66.577298799999994</v>
      </c>
    </row>
    <row r="499" spans="1:15" ht="25.15" customHeight="1">
      <c r="A499" s="51"/>
      <c r="B499" s="849" t="s">
        <v>69</v>
      </c>
      <c r="C499" s="849"/>
      <c r="D499" s="52" t="s">
        <v>51</v>
      </c>
      <c r="E499" s="86">
        <v>0.145759</v>
      </c>
      <c r="F499" s="260">
        <f>SUMIF('Cjenik VSO'!$B$9:$B$85,$B499,'Cjenik VSO'!$C$9:$C$85)</f>
        <v>179.6</v>
      </c>
      <c r="G499" s="54">
        <f>E499*F499</f>
        <v>26.1783164</v>
      </c>
      <c r="I499" s="51"/>
      <c r="J499" s="849" t="s">
        <v>69</v>
      </c>
      <c r="K499" s="849"/>
      <c r="L499" s="52" t="s">
        <v>51</v>
      </c>
      <c r="M499" s="86">
        <v>0.145759</v>
      </c>
      <c r="N499" s="260">
        <f>SUMIF('Cjenik VSO'!$B$9:$B$85,$B499,'Cjenik VSO'!$C$9:$C$85)</f>
        <v>179.6</v>
      </c>
      <c r="O499" s="54">
        <f>M499*N499</f>
        <v>26.1783164</v>
      </c>
    </row>
    <row r="500" spans="1:15" ht="25.15" customHeight="1">
      <c r="A500" s="61"/>
      <c r="B500" s="855" t="s">
        <v>288</v>
      </c>
      <c r="C500" s="855"/>
      <c r="D500" s="62" t="s">
        <v>51</v>
      </c>
      <c r="E500" s="87">
        <v>9.0280936866047809E-2</v>
      </c>
      <c r="F500" s="261">
        <f>SUMIF('Cjenik VSO'!$B$9:$B$85,$B500,'Cjenik VSO'!$C$9:$C$85)</f>
        <v>170.8</v>
      </c>
      <c r="G500" s="64">
        <f>E500*F500</f>
        <v>15.419984016720967</v>
      </c>
      <c r="I500" s="61"/>
      <c r="J500" s="855" t="s">
        <v>288</v>
      </c>
      <c r="K500" s="855"/>
      <c r="L500" s="62" t="s">
        <v>51</v>
      </c>
      <c r="M500" s="87">
        <v>0.23652799999999999</v>
      </c>
      <c r="N500" s="261">
        <f>SUMIF('Cjenik VSO'!$B$9:$B$85,$B500,'Cjenik VSO'!$C$9:$C$85)</f>
        <v>170.8</v>
      </c>
      <c r="O500" s="64">
        <f>M500*N500</f>
        <v>40.398982400000001</v>
      </c>
    </row>
    <row r="501" spans="1:15" ht="25.15" customHeight="1">
      <c r="A501" s="16"/>
      <c r="B501" s="837" t="s">
        <v>630</v>
      </c>
      <c r="C501" s="837"/>
      <c r="D501" s="16"/>
      <c r="E501" s="16"/>
      <c r="F501" s="238"/>
      <c r="G501" s="18">
        <f>SUM(G502:G504)</f>
        <v>0</v>
      </c>
      <c r="I501" s="16"/>
      <c r="J501" s="837" t="s">
        <v>630</v>
      </c>
      <c r="K501" s="837"/>
      <c r="L501" s="16"/>
      <c r="M501" s="16"/>
      <c r="N501" s="238"/>
      <c r="O501" s="18">
        <f>SUM(O502:O504)</f>
        <v>0</v>
      </c>
    </row>
    <row r="502" spans="1:15" ht="25.15" customHeight="1">
      <c r="A502" s="51"/>
      <c r="B502" s="863">
        <f>'Cjenik M'!$B$104</f>
        <v>0</v>
      </c>
      <c r="C502" s="863"/>
      <c r="D502" s="52">
        <f>'Cjenik M'!$C$104</f>
        <v>0</v>
      </c>
      <c r="E502" s="53">
        <v>0.05</v>
      </c>
      <c r="F502" s="260">
        <f>'Cjenik M'!$D$104</f>
        <v>0</v>
      </c>
      <c r="G502" s="55">
        <f>E502*F502</f>
        <v>0</v>
      </c>
      <c r="I502" s="51"/>
      <c r="J502" s="863">
        <f>'Cjenik M'!$B$104</f>
        <v>0</v>
      </c>
      <c r="K502" s="863"/>
      <c r="L502" s="52">
        <f>'Cjenik M'!$C$104</f>
        <v>0</v>
      </c>
      <c r="M502" s="53">
        <v>0.05</v>
      </c>
      <c r="N502" s="260">
        <f>'Cjenik M'!$D$104</f>
        <v>0</v>
      </c>
      <c r="O502" s="55">
        <f>M502*N502</f>
        <v>0</v>
      </c>
    </row>
    <row r="503" spans="1:15" ht="25.15" customHeight="1">
      <c r="A503" s="56"/>
      <c r="B503" s="834">
        <f>'Cjenik M'!$B$75</f>
        <v>0</v>
      </c>
      <c r="C503" s="834"/>
      <c r="D503" s="57">
        <f>'Cjenik M'!$C$75</f>
        <v>0</v>
      </c>
      <c r="E503" s="58">
        <v>0.25</v>
      </c>
      <c r="F503" s="263">
        <f>'Cjenik M'!$D$75</f>
        <v>0</v>
      </c>
      <c r="G503" s="60">
        <f>E503*F503</f>
        <v>0</v>
      </c>
      <c r="I503" s="56"/>
      <c r="J503" s="834">
        <f>'Cjenik M'!$B$75</f>
        <v>0</v>
      </c>
      <c r="K503" s="834"/>
      <c r="L503" s="57">
        <f>'Cjenik M'!$C$75</f>
        <v>0</v>
      </c>
      <c r="M503" s="58">
        <v>0.25</v>
      </c>
      <c r="N503" s="263">
        <f>'Cjenik M'!$D$75</f>
        <v>0</v>
      </c>
      <c r="O503" s="60">
        <f>M503*N503</f>
        <v>0</v>
      </c>
    </row>
    <row r="504" spans="1:15" ht="25.15" customHeight="1" thickBot="1">
      <c r="A504" s="66"/>
      <c r="B504" s="859">
        <f>'Cjenik M'!$B$77</f>
        <v>0</v>
      </c>
      <c r="C504" s="859"/>
      <c r="D504" s="67">
        <f>'Cjenik M'!$C$77</f>
        <v>0</v>
      </c>
      <c r="E504" s="68">
        <v>1.7000000000000001E-2</v>
      </c>
      <c r="F504" s="262">
        <f>'Cjenik M'!$D$77</f>
        <v>0</v>
      </c>
      <c r="G504" s="70">
        <f>E504*F504</f>
        <v>0</v>
      </c>
      <c r="I504" s="66"/>
      <c r="J504" s="859">
        <f>'Cjenik M'!$B$77</f>
        <v>0</v>
      </c>
      <c r="K504" s="859"/>
      <c r="L504" s="67">
        <f>'Cjenik M'!$C$77</f>
        <v>0</v>
      </c>
      <c r="M504" s="68">
        <v>1.7000000000000001E-2</v>
      </c>
      <c r="N504" s="262">
        <f>'Cjenik M'!$D$77</f>
        <v>0</v>
      </c>
      <c r="O504" s="70">
        <f>M504*N504</f>
        <v>0</v>
      </c>
    </row>
    <row r="505" spans="1:15" ht="25.15" customHeight="1" thickTop="1" thickBot="1">
      <c r="E505" s="868" t="str">
        <f>'Obrazac kalkulacije'!$E$18</f>
        <v>Ukupno (kn):</v>
      </c>
      <c r="F505" s="868"/>
      <c r="G505" s="71">
        <f>ROUND(SUM(G496+G498+G501),2)</f>
        <v>179.43</v>
      </c>
      <c r="H505" s="269" t="e">
        <f>SUMIF(#REF!,$B492,#REF!)</f>
        <v>#REF!</v>
      </c>
      <c r="M505" s="868" t="str">
        <f>'Obrazac kalkulacije'!$E$18</f>
        <v>Ukupno (kn):</v>
      </c>
      <c r="N505" s="868"/>
      <c r="O505" s="71">
        <f>ROUND(SUM(O496+O498+O501),2)</f>
        <v>204.41</v>
      </c>
    </row>
    <row r="506" spans="1:15" ht="25.15" customHeight="1" thickTop="1" thickBot="1">
      <c r="E506" s="27" t="str">
        <f>'Obrazac kalkulacije'!$E$19</f>
        <v>PDV:</v>
      </c>
      <c r="F506" s="259">
        <f>'Obrazac kalkulacije'!$F$19</f>
        <v>0.25</v>
      </c>
      <c r="G506" s="29">
        <f>G505*F506</f>
        <v>44.857500000000002</v>
      </c>
      <c r="H506" s="270" t="e">
        <f>H505-G505</f>
        <v>#REF!</v>
      </c>
      <c r="M506" s="27" t="str">
        <f>'Obrazac kalkulacije'!$E$19</f>
        <v>PDV:</v>
      </c>
      <c r="N506" s="259">
        <f>'Obrazac kalkulacije'!$F$19</f>
        <v>0.25</v>
      </c>
      <c r="O506" s="29">
        <f>O505*N506</f>
        <v>51.102499999999999</v>
      </c>
    </row>
    <row r="507" spans="1:15" ht="25.15" customHeight="1" thickTop="1" thickBot="1">
      <c r="E507" s="840" t="str">
        <f>'Obrazac kalkulacije'!$E$20</f>
        <v>Sveukupno (kn):</v>
      </c>
      <c r="F507" s="840"/>
      <c r="G507" s="29">
        <f>ROUND(SUM(G505:G506),2)</f>
        <v>224.29</v>
      </c>
      <c r="H507" s="271" t="e">
        <f>G500+H506</f>
        <v>#REF!</v>
      </c>
      <c r="M507" s="840" t="str">
        <f>'Obrazac kalkulacije'!$E$20</f>
        <v>Sveukupno (kn):</v>
      </c>
      <c r="N507" s="840"/>
      <c r="O507" s="29">
        <f>ROUND(SUM(O505:O506),2)</f>
        <v>255.51</v>
      </c>
    </row>
    <row r="508" spans="1:15" ht="15" customHeight="1" thickTop="1"/>
    <row r="509" spans="1:15" ht="15" customHeight="1"/>
    <row r="510" spans="1:15" ht="15" customHeight="1"/>
    <row r="511" spans="1:15" ht="15" customHeight="1">
      <c r="C511" s="3" t="str">
        <f>'Obrazac kalkulacije'!$C$24</f>
        <v>IZVODITELJ:</v>
      </c>
      <c r="F511" s="841" t="str">
        <f>'Obrazac kalkulacije'!$F$24</f>
        <v>NARUČITELJ:</v>
      </c>
      <c r="G511" s="841"/>
      <c r="K511" s="3" t="str">
        <f>'Obrazac kalkulacije'!$C$24</f>
        <v>IZVODITELJ:</v>
      </c>
      <c r="N511" s="841" t="str">
        <f>'Obrazac kalkulacije'!$F$24</f>
        <v>NARUČITELJ:</v>
      </c>
      <c r="O511" s="841"/>
    </row>
    <row r="512" spans="1:15" ht="25.15" customHeight="1">
      <c r="C512" s="3" t="str">
        <f>'Obrazac kalkulacije'!$C$25</f>
        <v>__________________</v>
      </c>
      <c r="F512" s="841" t="str">
        <f>'Obrazac kalkulacije'!$F$25</f>
        <v>___________________</v>
      </c>
      <c r="G512" s="841"/>
      <c r="K512" s="3" t="str">
        <f>'Obrazac kalkulacije'!$C$25</f>
        <v>__________________</v>
      </c>
      <c r="N512" s="841" t="str">
        <f>'Obrazac kalkulacije'!$F$25</f>
        <v>___________________</v>
      </c>
      <c r="O512" s="841"/>
    </row>
    <row r="513" spans="1:15" ht="15" customHeight="1">
      <c r="F513" s="841"/>
      <c r="G513" s="841"/>
      <c r="N513" s="841"/>
      <c r="O513" s="841"/>
    </row>
    <row r="514" spans="1:15" ht="15" customHeight="1"/>
    <row r="515" spans="1:15" ht="15" customHeight="1">
      <c r="A515" s="144"/>
      <c r="B515" s="145" t="s">
        <v>615</v>
      </c>
      <c r="C515" s="836" t="s">
        <v>616</v>
      </c>
      <c r="D515" s="836"/>
      <c r="E515" s="836"/>
      <c r="F515" s="836"/>
      <c r="G515" s="836"/>
      <c r="I515" s="144"/>
      <c r="J515" s="145" t="s">
        <v>615</v>
      </c>
      <c r="K515" s="836" t="s">
        <v>616</v>
      </c>
      <c r="L515" s="836"/>
      <c r="M515" s="836"/>
      <c r="N515" s="836"/>
      <c r="O515" s="836"/>
    </row>
    <row r="516" spans="1:15" ht="15" customHeight="1">
      <c r="A516" s="7"/>
      <c r="B516" s="39" t="s">
        <v>648</v>
      </c>
      <c r="C516" s="860" t="s">
        <v>649</v>
      </c>
      <c r="D516" s="860"/>
      <c r="E516" s="860"/>
      <c r="F516" s="860"/>
      <c r="G516" s="860"/>
      <c r="I516" s="7"/>
      <c r="J516" s="39" t="s">
        <v>648</v>
      </c>
      <c r="K516" s="860" t="s">
        <v>649</v>
      </c>
      <c r="L516" s="860"/>
      <c r="M516" s="860"/>
      <c r="N516" s="860"/>
      <c r="O516" s="860"/>
    </row>
    <row r="517" spans="1:15" ht="150" customHeight="1">
      <c r="A517" s="9"/>
      <c r="B517" s="556" t="s">
        <v>692</v>
      </c>
      <c r="C517" s="852" t="s">
        <v>693</v>
      </c>
      <c r="D517" s="852"/>
      <c r="E517" s="852"/>
      <c r="F517" s="852"/>
      <c r="G517" s="852"/>
      <c r="I517" s="9"/>
      <c r="J517" s="41" t="s">
        <v>694</v>
      </c>
      <c r="K517" s="869" t="s">
        <v>695</v>
      </c>
      <c r="L517" s="869"/>
      <c r="M517" s="869"/>
      <c r="N517" s="869"/>
      <c r="O517" s="869"/>
    </row>
    <row r="518" spans="1:15" ht="15" customHeight="1" thickBot="1"/>
    <row r="519" spans="1:15" ht="30" customHeight="1" thickTop="1" thickBot="1">
      <c r="A519" s="10"/>
      <c r="B519" s="99">
        <v>0</v>
      </c>
      <c r="C519" s="100" t="s">
        <v>624</v>
      </c>
      <c r="D519" s="10" t="s">
        <v>625</v>
      </c>
      <c r="E519" s="10" t="s">
        <v>626</v>
      </c>
      <c r="F519" s="10" t="s">
        <v>627</v>
      </c>
      <c r="G519" s="10" t="s">
        <v>628</v>
      </c>
      <c r="I519" s="10"/>
      <c r="J519" s="99">
        <v>0</v>
      </c>
      <c r="K519" s="100" t="s">
        <v>624</v>
      </c>
      <c r="L519" s="10" t="s">
        <v>625</v>
      </c>
      <c r="M519" s="10" t="s">
        <v>626</v>
      </c>
      <c r="N519" s="10" t="s">
        <v>627</v>
      </c>
      <c r="O519" s="10" t="s">
        <v>628</v>
      </c>
    </row>
    <row r="520" spans="1:15" ht="4.5" customHeight="1" thickTop="1">
      <c r="B520" s="42"/>
      <c r="C520" s="1"/>
      <c r="D520" s="11"/>
      <c r="E520" s="13"/>
      <c r="F520" s="258"/>
      <c r="G520" s="15"/>
      <c r="J520" s="42"/>
      <c r="K520" s="1"/>
      <c r="L520" s="11"/>
      <c r="M520" s="13"/>
      <c r="N520" s="258"/>
      <c r="O520" s="15"/>
    </row>
    <row r="521" spans="1:15" ht="25.15" customHeight="1">
      <c r="A521" s="16"/>
      <c r="B521" s="837" t="s">
        <v>565</v>
      </c>
      <c r="C521" s="837"/>
      <c r="D521" s="16"/>
      <c r="E521" s="16"/>
      <c r="F521" s="44"/>
      <c r="G521" s="18">
        <f>SUM(G522:G522)</f>
        <v>5.1482223000000005</v>
      </c>
      <c r="I521" s="16"/>
      <c r="J521" s="837" t="s">
        <v>565</v>
      </c>
      <c r="K521" s="837"/>
      <c r="L521" s="16"/>
      <c r="M521" s="16"/>
      <c r="N521" s="44"/>
      <c r="O521" s="18">
        <f>SUM(O522:O522)</f>
        <v>5.1482223000000005</v>
      </c>
    </row>
    <row r="522" spans="1:15" ht="25.15" customHeight="1">
      <c r="A522" s="32"/>
      <c r="B522" s="838" t="s">
        <v>53</v>
      </c>
      <c r="C522" s="838"/>
      <c r="D522" s="33" t="s">
        <v>51</v>
      </c>
      <c r="E522" s="34">
        <v>5.2245E-2</v>
      </c>
      <c r="F522" s="238">
        <f>SUMIF('Cjenik RS'!$C$11:$C$26,$B522,'Cjenik RS'!$D$11:$D$90)</f>
        <v>98.54</v>
      </c>
      <c r="G522" s="35">
        <f>E522*F522</f>
        <v>5.1482223000000005</v>
      </c>
      <c r="I522" s="32"/>
      <c r="J522" s="838" t="s">
        <v>53</v>
      </c>
      <c r="K522" s="838"/>
      <c r="L522" s="33" t="s">
        <v>51</v>
      </c>
      <c r="M522" s="34">
        <v>5.2245E-2</v>
      </c>
      <c r="N522" s="238">
        <f>SUMIF('Cjenik RS'!$C$11:$C$26,J522,'Cjenik RS'!$D$11:$D$90)</f>
        <v>98.54</v>
      </c>
      <c r="O522" s="35">
        <f>M522*N522</f>
        <v>5.1482223000000005</v>
      </c>
    </row>
    <row r="523" spans="1:15" ht="25.15" customHeight="1">
      <c r="A523" s="16"/>
      <c r="B523" s="837" t="s">
        <v>566</v>
      </c>
      <c r="C523" s="837"/>
      <c r="D523" s="16"/>
      <c r="E523" s="16"/>
      <c r="F523" s="238"/>
      <c r="G523" s="18">
        <f>SUM(G524:G525)</f>
        <v>8.6958306837288788</v>
      </c>
      <c r="I523" s="16"/>
      <c r="J523" s="837" t="s">
        <v>566</v>
      </c>
      <c r="K523" s="837"/>
      <c r="L523" s="16"/>
      <c r="M523" s="16"/>
      <c r="N523" s="238"/>
      <c r="O523" s="18">
        <f>SUM(O524:O525)</f>
        <v>5.1470917299999996</v>
      </c>
    </row>
    <row r="524" spans="1:15" ht="25.15" customHeight="1">
      <c r="A524" s="51"/>
      <c r="B524" s="849" t="s">
        <v>644</v>
      </c>
      <c r="C524" s="849"/>
      <c r="D524" s="52" t="s">
        <v>51</v>
      </c>
      <c r="E524" s="86">
        <v>4.5832542244161764E-2</v>
      </c>
      <c r="F524" s="260">
        <f>SUMIF('Cjenik VSO'!$B$9:$B$85,$B524,'Cjenik VSO'!$C$9:$C$85)</f>
        <v>165.91</v>
      </c>
      <c r="G524" s="54">
        <f>E524*F524</f>
        <v>7.6040770837288783</v>
      </c>
      <c r="I524" s="51"/>
      <c r="J524" s="849" t="s">
        <v>644</v>
      </c>
      <c r="K524" s="849"/>
      <c r="L524" s="52" t="s">
        <v>51</v>
      </c>
      <c r="M524" s="86">
        <v>2.4442999999999999E-2</v>
      </c>
      <c r="N524" s="260">
        <f>SUMIF('Cjenik VSO'!$B$9:$B$85,$B524,'Cjenik VSO'!$C$9:$C$85)</f>
        <v>165.91</v>
      </c>
      <c r="O524" s="54">
        <f>M524*N524</f>
        <v>4.05533813</v>
      </c>
    </row>
    <row r="525" spans="1:15" ht="25.15" customHeight="1">
      <c r="A525" s="61"/>
      <c r="B525" s="855" t="s">
        <v>288</v>
      </c>
      <c r="C525" s="855"/>
      <c r="D525" s="62" t="s">
        <v>51</v>
      </c>
      <c r="E525" s="87">
        <v>6.3920000000000001E-3</v>
      </c>
      <c r="F525" s="261">
        <f>SUMIF('Cjenik VSO'!$B$9:$B$85,$B525,'Cjenik VSO'!$C$9:$C$85)</f>
        <v>170.8</v>
      </c>
      <c r="G525" s="64">
        <f>E525*F525</f>
        <v>1.0917536000000001</v>
      </c>
      <c r="I525" s="61"/>
      <c r="J525" s="855" t="s">
        <v>288</v>
      </c>
      <c r="K525" s="855"/>
      <c r="L525" s="62" t="s">
        <v>51</v>
      </c>
      <c r="M525" s="87">
        <v>6.3920000000000001E-3</v>
      </c>
      <c r="N525" s="261">
        <f>SUMIF('Cjenik VSO'!$B$9:$B$85,$B525,'Cjenik VSO'!$C$9:$C$85)</f>
        <v>170.8</v>
      </c>
      <c r="O525" s="64">
        <f>M525*N525</f>
        <v>1.0917536000000001</v>
      </c>
    </row>
    <row r="526" spans="1:15" ht="25.15" customHeight="1">
      <c r="A526" s="16"/>
      <c r="B526" s="837" t="s">
        <v>630</v>
      </c>
      <c r="C526" s="837"/>
      <c r="D526" s="16"/>
      <c r="E526" s="16"/>
      <c r="F526" s="238"/>
      <c r="G526" s="18">
        <f>SUM(G527:G528)</f>
        <v>0</v>
      </c>
      <c r="I526" s="16"/>
      <c r="J526" s="837" t="s">
        <v>630</v>
      </c>
      <c r="K526" s="837"/>
      <c r="L526" s="16"/>
      <c r="M526" s="16"/>
      <c r="N526" s="238"/>
      <c r="O526" s="18">
        <f>SUM(O527:O528)</f>
        <v>0</v>
      </c>
    </row>
    <row r="527" spans="1:15" ht="25.15" customHeight="1">
      <c r="A527" s="51"/>
      <c r="B527" s="863">
        <f>'Cjenik M'!$B$78</f>
        <v>0</v>
      </c>
      <c r="C527" s="863"/>
      <c r="D527" s="52">
        <f>'Cjenik M'!$C$78</f>
        <v>0</v>
      </c>
      <c r="E527" s="53">
        <v>0.2</v>
      </c>
      <c r="F527" s="260">
        <f>'Cjenik M'!$D$78</f>
        <v>0</v>
      </c>
      <c r="G527" s="55">
        <f>E527*F527</f>
        <v>0</v>
      </c>
      <c r="I527" s="51"/>
      <c r="J527" s="863">
        <f>'Cjenik M'!$B$78</f>
        <v>0</v>
      </c>
      <c r="K527" s="863"/>
      <c r="L527" s="52">
        <f>'Cjenik M'!$C$78</f>
        <v>0</v>
      </c>
      <c r="M527" s="53">
        <v>0.2</v>
      </c>
      <c r="N527" s="260">
        <f>'Cjenik M'!$D$78</f>
        <v>0</v>
      </c>
      <c r="O527" s="55">
        <f>M527*N527</f>
        <v>0</v>
      </c>
    </row>
    <row r="528" spans="1:15" ht="25.15" customHeight="1" thickBot="1">
      <c r="A528" s="66"/>
      <c r="B528" s="859">
        <f>'Cjenik M'!$B$79</f>
        <v>0</v>
      </c>
      <c r="C528" s="859"/>
      <c r="D528" s="67">
        <f>'Cjenik M'!$C$79</f>
        <v>0</v>
      </c>
      <c r="E528" s="68">
        <v>0.05</v>
      </c>
      <c r="F528" s="262">
        <f>'Cjenik M'!$D$79</f>
        <v>0</v>
      </c>
      <c r="G528" s="70">
        <f>E528*F528</f>
        <v>0</v>
      </c>
      <c r="I528" s="66"/>
      <c r="J528" s="859">
        <f>'Cjenik M'!$B$79</f>
        <v>0</v>
      </c>
      <c r="K528" s="859"/>
      <c r="L528" s="67">
        <f>'Cjenik M'!$C$79</f>
        <v>0</v>
      </c>
      <c r="M528" s="68">
        <v>0.05</v>
      </c>
      <c r="N528" s="262">
        <f>'Cjenik M'!$D$79</f>
        <v>0</v>
      </c>
      <c r="O528" s="70">
        <f>M528*N528</f>
        <v>0</v>
      </c>
    </row>
    <row r="529" spans="1:15" ht="25.15" customHeight="1" thickTop="1" thickBot="1">
      <c r="E529" s="868" t="str">
        <f>'Obrazac kalkulacije'!$E$18</f>
        <v>Ukupno (kn):</v>
      </c>
      <c r="F529" s="868"/>
      <c r="G529" s="71">
        <f>ROUND(SUM(G521+G523+G526),2)</f>
        <v>13.84</v>
      </c>
      <c r="H529" s="269" t="e">
        <f>SUMIF(#REF!,$B517,#REF!)</f>
        <v>#REF!</v>
      </c>
      <c r="M529" s="868" t="str">
        <f>'Obrazac kalkulacije'!$E$18</f>
        <v>Ukupno (kn):</v>
      </c>
      <c r="N529" s="868"/>
      <c r="O529" s="71">
        <f>ROUND(SUM(O521+O523+O526),2)</f>
        <v>10.3</v>
      </c>
    </row>
    <row r="530" spans="1:15" ht="25.15" customHeight="1" thickTop="1" thickBot="1">
      <c r="E530" s="27" t="str">
        <f>'Obrazac kalkulacije'!$E$19</f>
        <v>PDV:</v>
      </c>
      <c r="F530" s="259">
        <f>'Obrazac kalkulacije'!$F$19</f>
        <v>0.25</v>
      </c>
      <c r="G530" s="29">
        <f>G529*F530</f>
        <v>3.46</v>
      </c>
      <c r="H530" s="270" t="e">
        <f>H529-G529</f>
        <v>#REF!</v>
      </c>
      <c r="M530" s="27" t="str">
        <f>'Obrazac kalkulacije'!$E$19</f>
        <v>PDV:</v>
      </c>
      <c r="N530" s="259">
        <f>'Obrazac kalkulacije'!$F$19</f>
        <v>0.25</v>
      </c>
      <c r="O530" s="29">
        <f>O529*N530</f>
        <v>2.5750000000000002</v>
      </c>
    </row>
    <row r="531" spans="1:15" ht="25.15" customHeight="1" thickTop="1" thickBot="1">
      <c r="E531" s="840" t="str">
        <f>'Obrazac kalkulacije'!$E$20</f>
        <v>Sveukupno (kn):</v>
      </c>
      <c r="F531" s="840"/>
      <c r="G531" s="29">
        <f>ROUND(SUM(G529:G530),2)</f>
        <v>17.3</v>
      </c>
      <c r="H531" s="271" t="e">
        <f>G524+H530</f>
        <v>#REF!</v>
      </c>
      <c r="M531" s="840" t="str">
        <f>'Obrazac kalkulacije'!$E$20</f>
        <v>Sveukupno (kn):</v>
      </c>
      <c r="N531" s="840"/>
      <c r="O531" s="29">
        <f>ROUND(SUM(O529:O530),2)</f>
        <v>12.88</v>
      </c>
    </row>
    <row r="532" spans="1:15" ht="15" customHeight="1" thickTop="1"/>
    <row r="533" spans="1:15" ht="15" customHeight="1"/>
    <row r="534" spans="1:15" ht="15" customHeight="1"/>
    <row r="535" spans="1:15" ht="15" customHeight="1">
      <c r="C535" s="3" t="str">
        <f>'Obrazac kalkulacije'!$C$24</f>
        <v>IZVODITELJ:</v>
      </c>
      <c r="F535" s="841" t="str">
        <f>'Obrazac kalkulacije'!$F$24</f>
        <v>NARUČITELJ:</v>
      </c>
      <c r="G535" s="841"/>
      <c r="K535" s="3" t="str">
        <f>'Obrazac kalkulacije'!$C$24</f>
        <v>IZVODITELJ:</v>
      </c>
      <c r="N535" s="841" t="str">
        <f>'Obrazac kalkulacije'!$F$24</f>
        <v>NARUČITELJ:</v>
      </c>
      <c r="O535" s="841"/>
    </row>
    <row r="536" spans="1:15" ht="25.15" customHeight="1">
      <c r="C536" s="3" t="str">
        <f>'Obrazac kalkulacije'!$C$25</f>
        <v>__________________</v>
      </c>
      <c r="F536" s="841" t="str">
        <f>'Obrazac kalkulacije'!$F$25</f>
        <v>___________________</v>
      </c>
      <c r="G536" s="841"/>
      <c r="K536" s="3" t="str">
        <f>'Obrazac kalkulacije'!$C$25</f>
        <v>__________________</v>
      </c>
      <c r="N536" s="841" t="str">
        <f>'Obrazac kalkulacije'!$F$25</f>
        <v>___________________</v>
      </c>
      <c r="O536" s="841"/>
    </row>
    <row r="537" spans="1:15" ht="15" customHeight="1">
      <c r="F537" s="841"/>
      <c r="G537" s="841"/>
      <c r="N537" s="841"/>
      <c r="O537" s="841"/>
    </row>
    <row r="538" spans="1:15" ht="15" customHeight="1"/>
    <row r="539" spans="1:15" ht="15" customHeight="1">
      <c r="A539" s="144"/>
      <c r="B539" s="145" t="s">
        <v>615</v>
      </c>
      <c r="C539" s="836" t="s">
        <v>616</v>
      </c>
      <c r="D539" s="836"/>
      <c r="E539" s="836"/>
      <c r="F539" s="836"/>
      <c r="G539" s="836"/>
      <c r="I539" s="144"/>
      <c r="J539" s="145" t="s">
        <v>615</v>
      </c>
      <c r="K539" s="836" t="s">
        <v>616</v>
      </c>
      <c r="L539" s="836"/>
      <c r="M539" s="836"/>
      <c r="N539" s="836"/>
      <c r="O539" s="836"/>
    </row>
    <row r="540" spans="1:15" ht="15" customHeight="1">
      <c r="A540" s="7"/>
      <c r="B540" s="39" t="s">
        <v>648</v>
      </c>
      <c r="C540" s="860" t="s">
        <v>649</v>
      </c>
      <c r="D540" s="860"/>
      <c r="E540" s="860"/>
      <c r="F540" s="860"/>
      <c r="G540" s="860"/>
      <c r="I540" s="7"/>
      <c r="J540" s="39" t="s">
        <v>648</v>
      </c>
      <c r="K540" s="860" t="s">
        <v>649</v>
      </c>
      <c r="L540" s="860"/>
      <c r="M540" s="860"/>
      <c r="N540" s="860"/>
      <c r="O540" s="860"/>
    </row>
    <row r="541" spans="1:15" ht="150" customHeight="1">
      <c r="A541" s="9"/>
      <c r="B541" s="556" t="s">
        <v>686</v>
      </c>
      <c r="C541" s="852" t="s">
        <v>696</v>
      </c>
      <c r="D541" s="852"/>
      <c r="E541" s="852"/>
      <c r="F541" s="852"/>
      <c r="G541" s="852"/>
      <c r="I541" s="9"/>
      <c r="J541" s="41" t="s">
        <v>697</v>
      </c>
      <c r="K541" s="869" t="s">
        <v>698</v>
      </c>
      <c r="L541" s="869"/>
      <c r="M541" s="869"/>
      <c r="N541" s="869"/>
      <c r="O541" s="869"/>
    </row>
    <row r="542" spans="1:15" ht="15" customHeight="1" thickBot="1"/>
    <row r="543" spans="1:15" ht="30" customHeight="1" thickTop="1" thickBot="1">
      <c r="A543" s="10"/>
      <c r="B543" s="99">
        <v>0</v>
      </c>
      <c r="C543" s="100" t="s">
        <v>624</v>
      </c>
      <c r="D543" s="10" t="s">
        <v>625</v>
      </c>
      <c r="E543" s="10" t="s">
        <v>626</v>
      </c>
      <c r="F543" s="10" t="s">
        <v>627</v>
      </c>
      <c r="G543" s="10" t="s">
        <v>628</v>
      </c>
    </row>
    <row r="544" spans="1:15" ht="4.5" customHeight="1" thickTop="1">
      <c r="B544" s="42"/>
      <c r="C544" s="1"/>
      <c r="D544" s="11"/>
      <c r="E544" s="13"/>
      <c r="F544" s="258"/>
      <c r="G544" s="15"/>
    </row>
    <row r="545" spans="1:15" ht="25.15" customHeight="1">
      <c r="A545" s="16"/>
      <c r="B545" s="837" t="s">
        <v>565</v>
      </c>
      <c r="C545" s="837"/>
      <c r="D545" s="16"/>
      <c r="E545" s="16"/>
      <c r="F545" s="44"/>
      <c r="G545" s="18">
        <f>SUM(G546:G546)</f>
        <v>98.54</v>
      </c>
    </row>
    <row r="546" spans="1:15" ht="25.15" customHeight="1">
      <c r="A546" s="32"/>
      <c r="B546" s="838" t="s">
        <v>53</v>
      </c>
      <c r="C546" s="838"/>
      <c r="D546" s="33" t="s">
        <v>51</v>
      </c>
      <c r="E546" s="34">
        <v>1</v>
      </c>
      <c r="F546" s="238">
        <f>SUMIF('Cjenik RS'!$C$11:$C$26,$B546,'Cjenik RS'!$D$11:$D$90)</f>
        <v>98.54</v>
      </c>
      <c r="G546" s="35">
        <f>E546*F546</f>
        <v>98.54</v>
      </c>
      <c r="N546" s="238">
        <f>SUMIF('Cjenik RS'!$C$11:$C$26,J546,'Cjenik RS'!$D$11:$D$90)</f>
        <v>0</v>
      </c>
    </row>
    <row r="547" spans="1:15" ht="25.15" customHeight="1">
      <c r="A547" s="16"/>
      <c r="B547" s="837" t="s">
        <v>566</v>
      </c>
      <c r="C547" s="837"/>
      <c r="D547" s="16"/>
      <c r="E547" s="16"/>
      <c r="F547" s="238"/>
      <c r="G547" s="18">
        <f>SUM(G548:G550)</f>
        <v>0</v>
      </c>
    </row>
    <row r="548" spans="1:15" ht="25.15" customHeight="1">
      <c r="A548" s="51"/>
      <c r="B548" s="834"/>
      <c r="C548" s="834"/>
      <c r="D548" s="57" t="s">
        <v>51</v>
      </c>
      <c r="E548" s="58"/>
      <c r="F548" s="263">
        <f>SUMIF('Cjenik VSO'!$B$9:$B$85,$B548,'Cjenik VSO'!$C$9:$C$85)</f>
        <v>0</v>
      </c>
      <c r="G548" s="55">
        <f>E548*F548</f>
        <v>0</v>
      </c>
    </row>
    <row r="549" spans="1:15" ht="25.15" customHeight="1">
      <c r="A549" s="56"/>
      <c r="B549" s="834"/>
      <c r="C549" s="834"/>
      <c r="D549" s="57" t="s">
        <v>51</v>
      </c>
      <c r="E549" s="58"/>
      <c r="F549" s="263">
        <f>SUMIF('Cjenik VSO'!$B$9:$B$85,$B549,'Cjenik VSO'!$C$9:$C$85)</f>
        <v>0</v>
      </c>
      <c r="G549" s="60">
        <f>E549*F549</f>
        <v>0</v>
      </c>
    </row>
    <row r="550" spans="1:15" ht="25.15" customHeight="1">
      <c r="A550" s="61"/>
      <c r="B550" s="864"/>
      <c r="C550" s="864"/>
      <c r="D550" s="62" t="s">
        <v>51</v>
      </c>
      <c r="E550" s="63"/>
      <c r="F550" s="261">
        <f>SUMIF('Cjenik VSO'!$B$9:$B$85,$B550,'Cjenik VSO'!$C$9:$C$85)</f>
        <v>0</v>
      </c>
      <c r="G550" s="65">
        <f>E550*F550</f>
        <v>0</v>
      </c>
    </row>
    <row r="551" spans="1:15" ht="25.15" customHeight="1">
      <c r="A551" s="88"/>
      <c r="B551" s="837" t="s">
        <v>630</v>
      </c>
      <c r="C551" s="837"/>
      <c r="D551" s="16"/>
      <c r="E551" s="16"/>
      <c r="F551" s="238"/>
      <c r="G551" s="18">
        <f>SUM(G552:G553)</f>
        <v>0</v>
      </c>
    </row>
    <row r="552" spans="1:15" ht="25.15" customHeight="1">
      <c r="A552" s="51"/>
      <c r="B552" s="863"/>
      <c r="C552" s="863"/>
      <c r="D552" s="52"/>
      <c r="E552" s="53"/>
      <c r="F552" s="260"/>
      <c r="G552" s="55">
        <f>E552*F552</f>
        <v>0</v>
      </c>
    </row>
    <row r="553" spans="1:15" ht="25.15" customHeight="1" thickBot="1">
      <c r="A553" s="66"/>
      <c r="B553" s="859"/>
      <c r="C553" s="859"/>
      <c r="D553" s="67"/>
      <c r="E553" s="68"/>
      <c r="F553" s="262"/>
      <c r="G553" s="70">
        <f>E553*F553</f>
        <v>0</v>
      </c>
      <c r="H553" s="1"/>
      <c r="I553" s="37"/>
      <c r="J553" s="2"/>
      <c r="K553" s="3"/>
      <c r="L553" s="4"/>
      <c r="M553" s="30"/>
      <c r="N553" s="5"/>
      <c r="O553" s="2"/>
    </row>
    <row r="554" spans="1:15" ht="25.15" customHeight="1" thickTop="1" thickBot="1">
      <c r="B554" s="47"/>
      <c r="C554" s="24"/>
      <c r="D554" s="25"/>
      <c r="E554" s="850" t="str">
        <f>'Obrazac kalkulacije'!$E$18</f>
        <v>Ukupno (kn):</v>
      </c>
      <c r="F554" s="850"/>
      <c r="G554" s="26">
        <f>ROUND(SUM(G545+G547+G551),2)</f>
        <v>98.54</v>
      </c>
      <c r="H554" s="1"/>
      <c r="I554" s="37"/>
      <c r="J554" s="2"/>
      <c r="K554" s="3"/>
      <c r="L554" s="4"/>
      <c r="M554" s="30"/>
      <c r="N554" s="5"/>
      <c r="O554" s="2"/>
    </row>
    <row r="555" spans="1:15" ht="25.15" customHeight="1" thickTop="1" thickBot="1">
      <c r="E555" s="27" t="str">
        <f>'Obrazac kalkulacije'!$E$19</f>
        <v>PDV:</v>
      </c>
      <c r="F555" s="259">
        <f>'Obrazac kalkulacije'!$F$19</f>
        <v>0.25</v>
      </c>
      <c r="G555" s="29">
        <f>G554*F555</f>
        <v>24.635000000000002</v>
      </c>
      <c r="H555" s="1"/>
      <c r="I555" s="37"/>
      <c r="J555" s="2"/>
      <c r="K555" s="3"/>
      <c r="L555" s="4"/>
      <c r="M555" s="30"/>
      <c r="N555" s="5"/>
      <c r="O555" s="2"/>
    </row>
    <row r="556" spans="1:15" ht="25.15" customHeight="1" thickTop="1" thickBot="1">
      <c r="E556" s="840" t="str">
        <f>'Obrazac kalkulacije'!$E$20</f>
        <v>Sveukupno (kn):</v>
      </c>
      <c r="F556" s="840"/>
      <c r="G556" s="29">
        <f>ROUND(SUM(G554:G555),2)</f>
        <v>123.18</v>
      </c>
      <c r="H556" s="1"/>
      <c r="I556" s="37"/>
      <c r="J556" s="2"/>
      <c r="K556" s="3"/>
      <c r="L556" s="4"/>
      <c r="M556" s="30"/>
      <c r="N556" s="5"/>
      <c r="O556" s="2"/>
    </row>
    <row r="557" spans="1:15" ht="15" customHeight="1" thickTop="1"/>
    <row r="558" spans="1:15" ht="15" customHeight="1"/>
    <row r="559" spans="1:15" ht="15" customHeight="1"/>
    <row r="560" spans="1:15" ht="15" customHeight="1">
      <c r="C560" s="3" t="str">
        <f>'Obrazac kalkulacije'!$C$24</f>
        <v>IZVODITELJ:</v>
      </c>
      <c r="F560" s="841" t="str">
        <f>'Obrazac kalkulacije'!$F$24</f>
        <v>NARUČITELJ:</v>
      </c>
      <c r="G560" s="841"/>
      <c r="K560" s="3" t="str">
        <f>'Obrazac kalkulacije'!$C$24</f>
        <v>IZVODITELJ:</v>
      </c>
      <c r="N560" s="841" t="str">
        <f>'Obrazac kalkulacije'!$F$24</f>
        <v>NARUČITELJ:</v>
      </c>
      <c r="O560" s="841"/>
    </row>
    <row r="561" spans="1:15" ht="25.15" customHeight="1">
      <c r="C561" s="3" t="str">
        <f>'Obrazac kalkulacije'!$C$25</f>
        <v>__________________</v>
      </c>
      <c r="F561" s="841" t="str">
        <f>'Obrazac kalkulacije'!$F$25</f>
        <v>___________________</v>
      </c>
      <c r="G561" s="841"/>
      <c r="K561" s="3" t="str">
        <f>'Obrazac kalkulacije'!$C$25</f>
        <v>__________________</v>
      </c>
      <c r="N561" s="841" t="str">
        <f>'Obrazac kalkulacije'!$F$25</f>
        <v>___________________</v>
      </c>
      <c r="O561" s="841"/>
    </row>
    <row r="562" spans="1:15" ht="15" customHeight="1">
      <c r="F562" s="841"/>
      <c r="G562" s="841"/>
      <c r="N562" s="841"/>
      <c r="O562" s="841"/>
    </row>
    <row r="563" spans="1:15" ht="15" customHeight="1"/>
    <row r="564" spans="1:15" ht="15" customHeight="1">
      <c r="A564" s="144"/>
      <c r="B564" s="145" t="s">
        <v>615</v>
      </c>
      <c r="C564" s="836" t="s">
        <v>616</v>
      </c>
      <c r="D564" s="836"/>
      <c r="E564" s="836"/>
      <c r="F564" s="836"/>
      <c r="G564" s="836"/>
      <c r="I564" s="144"/>
      <c r="J564" s="145" t="s">
        <v>615</v>
      </c>
      <c r="K564" s="836" t="s">
        <v>616</v>
      </c>
      <c r="L564" s="836"/>
      <c r="M564" s="836"/>
      <c r="N564" s="836"/>
      <c r="O564" s="836"/>
    </row>
    <row r="565" spans="1:15" ht="15" customHeight="1">
      <c r="A565" s="7"/>
      <c r="B565" s="39" t="s">
        <v>648</v>
      </c>
      <c r="C565" s="860" t="s">
        <v>649</v>
      </c>
      <c r="D565" s="860"/>
      <c r="E565" s="860"/>
      <c r="F565" s="860"/>
      <c r="G565" s="860"/>
      <c r="I565" s="7"/>
      <c r="J565" s="39" t="s">
        <v>648</v>
      </c>
      <c r="K565" s="860" t="s">
        <v>649</v>
      </c>
      <c r="L565" s="860"/>
      <c r="M565" s="860"/>
      <c r="N565" s="860"/>
      <c r="O565" s="860"/>
    </row>
    <row r="566" spans="1:15" ht="150" customHeight="1">
      <c r="A566" s="9"/>
      <c r="B566" s="556" t="s">
        <v>690</v>
      </c>
      <c r="C566" s="852" t="s">
        <v>699</v>
      </c>
      <c r="D566" s="852"/>
      <c r="E566" s="852"/>
      <c r="F566" s="852"/>
      <c r="G566" s="852"/>
      <c r="I566" s="9"/>
      <c r="J566" s="41" t="s">
        <v>700</v>
      </c>
      <c r="K566" s="869" t="s">
        <v>699</v>
      </c>
      <c r="L566" s="869"/>
      <c r="M566" s="869"/>
      <c r="N566" s="869"/>
      <c r="O566" s="869"/>
    </row>
    <row r="567" spans="1:15" ht="15" customHeight="1" thickBot="1"/>
    <row r="568" spans="1:15" ht="30" customHeight="1" thickTop="1" thickBot="1">
      <c r="A568" s="10"/>
      <c r="B568" s="99">
        <v>0</v>
      </c>
      <c r="C568" s="100" t="s">
        <v>624</v>
      </c>
      <c r="D568" s="10" t="s">
        <v>625</v>
      </c>
      <c r="E568" s="10" t="s">
        <v>626</v>
      </c>
      <c r="F568" s="10" t="s">
        <v>627</v>
      </c>
      <c r="G568" s="10" t="s">
        <v>628</v>
      </c>
      <c r="I568" s="10"/>
      <c r="J568" s="99">
        <v>0</v>
      </c>
      <c r="K568" s="100" t="s">
        <v>624</v>
      </c>
      <c r="L568" s="10" t="s">
        <v>625</v>
      </c>
      <c r="M568" s="10" t="s">
        <v>626</v>
      </c>
      <c r="N568" s="10" t="s">
        <v>627</v>
      </c>
      <c r="O568" s="10" t="s">
        <v>628</v>
      </c>
    </row>
    <row r="569" spans="1:15" ht="4.5" customHeight="1" thickTop="1">
      <c r="B569" s="42"/>
      <c r="C569" s="1"/>
      <c r="D569" s="11"/>
      <c r="E569" s="13"/>
      <c r="F569" s="258"/>
      <c r="G569" s="15"/>
      <c r="J569" s="42"/>
      <c r="K569" s="1"/>
      <c r="L569" s="11"/>
      <c r="M569" s="13"/>
      <c r="N569" s="258"/>
      <c r="O569" s="15"/>
    </row>
    <row r="570" spans="1:15" ht="25.15" customHeight="1">
      <c r="A570" s="16"/>
      <c r="B570" s="837" t="s">
        <v>565</v>
      </c>
      <c r="C570" s="837"/>
      <c r="D570" s="16"/>
      <c r="E570" s="16"/>
      <c r="F570" s="44"/>
      <c r="G570" s="18">
        <f>SUM(G571:G571)</f>
        <v>98.54</v>
      </c>
      <c r="I570" s="16"/>
      <c r="J570" s="837" t="s">
        <v>565</v>
      </c>
      <c r="K570" s="837"/>
      <c r="L570" s="16"/>
      <c r="M570" s="16"/>
      <c r="N570" s="44"/>
      <c r="O570" s="18">
        <f>SUM(O571:O571)</f>
        <v>98.54</v>
      </c>
    </row>
    <row r="571" spans="1:15" ht="25.15" customHeight="1">
      <c r="A571" s="19"/>
      <c r="B571" s="838" t="s">
        <v>53</v>
      </c>
      <c r="C571" s="838"/>
      <c r="D571" s="33" t="s">
        <v>51</v>
      </c>
      <c r="E571" s="34">
        <v>1</v>
      </c>
      <c r="F571" s="238">
        <f>SUMIF('Cjenik RS'!$C$11:$C$26,$B571,'Cjenik RS'!$D$11:$D$90)</f>
        <v>98.54</v>
      </c>
      <c r="G571" s="35">
        <f>E571*F571</f>
        <v>98.54</v>
      </c>
      <c r="I571" s="19"/>
      <c r="J571" s="838" t="s">
        <v>53</v>
      </c>
      <c r="K571" s="838"/>
      <c r="L571" s="33" t="s">
        <v>51</v>
      </c>
      <c r="M571" s="34">
        <v>1</v>
      </c>
      <c r="N571" s="238">
        <f>SUMIF('Cjenik RS'!$C$11:$C$26,J571,'Cjenik RS'!$D$11:$D$90)</f>
        <v>98.54</v>
      </c>
      <c r="O571" s="35">
        <f>M571*N571</f>
        <v>98.54</v>
      </c>
    </row>
    <row r="572" spans="1:15" ht="25.15" customHeight="1" thickTop="1" thickBot="1">
      <c r="B572" s="47"/>
      <c r="C572" s="24"/>
      <c r="D572" s="25"/>
      <c r="E572" s="850" t="str">
        <f>'Obrazac kalkulacije'!$E$18</f>
        <v>Ukupno (kn):</v>
      </c>
      <c r="F572" s="850"/>
      <c r="G572" s="26">
        <f>ROUND(SUM(G570),2)</f>
        <v>98.54</v>
      </c>
      <c r="H572" s="269" t="e">
        <f>SUMIF(#REF!,$B566,#REF!)</f>
        <v>#REF!</v>
      </c>
      <c r="J572" s="47"/>
      <c r="K572" s="24"/>
      <c r="L572" s="25"/>
      <c r="M572" s="850" t="str">
        <f>'Obrazac kalkulacije'!$E$18</f>
        <v>Ukupno (kn):</v>
      </c>
      <c r="N572" s="850"/>
      <c r="O572" s="26">
        <f>ROUND(SUM(O570),2)</f>
        <v>98.54</v>
      </c>
    </row>
    <row r="573" spans="1:15" ht="25.15" customHeight="1" thickTop="1" thickBot="1">
      <c r="E573" s="27" t="str">
        <f>'Obrazac kalkulacije'!$E$19</f>
        <v>PDV:</v>
      </c>
      <c r="F573" s="259">
        <f>'Obrazac kalkulacije'!$F$19</f>
        <v>0.25</v>
      </c>
      <c r="G573" s="29">
        <f>G572*F573</f>
        <v>24.635000000000002</v>
      </c>
      <c r="H573" s="270" t="e">
        <f>H572-G572</f>
        <v>#REF!</v>
      </c>
      <c r="M573" s="27" t="str">
        <f>'Obrazac kalkulacije'!$E$19</f>
        <v>PDV:</v>
      </c>
      <c r="N573" s="259">
        <f>'Obrazac kalkulacije'!$F$19</f>
        <v>0.25</v>
      </c>
      <c r="O573" s="29">
        <f>O572*N573</f>
        <v>24.635000000000002</v>
      </c>
    </row>
    <row r="574" spans="1:15" ht="25.15" customHeight="1" thickTop="1" thickBot="1">
      <c r="E574" s="840" t="str">
        <f>'Obrazac kalkulacije'!$E$20</f>
        <v>Sveukupno (kn):</v>
      </c>
      <c r="F574" s="840"/>
      <c r="G574" s="29">
        <f>ROUND(SUM(G572:G573),2)</f>
        <v>123.18</v>
      </c>
      <c r="H574" s="271" t="e">
        <f>G567+H573</f>
        <v>#REF!</v>
      </c>
      <c r="M574" s="840" t="str">
        <f>'Obrazac kalkulacije'!$E$20</f>
        <v>Sveukupno (kn):</v>
      </c>
      <c r="N574" s="840"/>
      <c r="O574" s="29">
        <f>ROUND(SUM(O572:O573),2)</f>
        <v>123.18</v>
      </c>
    </row>
    <row r="575" spans="1:15" ht="15" customHeight="1" thickTop="1"/>
    <row r="576" spans="1:15" ht="15" customHeight="1"/>
    <row r="577" spans="1:15" ht="15" customHeight="1"/>
    <row r="578" spans="1:15" ht="15" customHeight="1">
      <c r="C578" s="3" t="str">
        <f>'Obrazac kalkulacije'!$C$24</f>
        <v>IZVODITELJ:</v>
      </c>
      <c r="F578" s="841" t="str">
        <f>'Obrazac kalkulacije'!$F$24</f>
        <v>NARUČITELJ:</v>
      </c>
      <c r="G578" s="841"/>
      <c r="K578" s="3" t="str">
        <f>'Obrazac kalkulacije'!$C$24</f>
        <v>IZVODITELJ:</v>
      </c>
      <c r="N578" s="841" t="str">
        <f>'Obrazac kalkulacije'!$F$24</f>
        <v>NARUČITELJ:</v>
      </c>
      <c r="O578" s="841"/>
    </row>
    <row r="579" spans="1:15" ht="25.15" customHeight="1">
      <c r="C579" s="3" t="str">
        <f>'Obrazac kalkulacije'!$C$25</f>
        <v>__________________</v>
      </c>
      <c r="F579" s="841" t="str">
        <f>'Obrazac kalkulacije'!$F$25</f>
        <v>___________________</v>
      </c>
      <c r="G579" s="841"/>
      <c r="K579" s="3" t="str">
        <f>'Obrazac kalkulacije'!$C$25</f>
        <v>__________________</v>
      </c>
      <c r="N579" s="841" t="str">
        <f>'Obrazac kalkulacije'!$F$25</f>
        <v>___________________</v>
      </c>
      <c r="O579" s="841"/>
    </row>
    <row r="580" spans="1:15" ht="15" customHeight="1">
      <c r="F580" s="841"/>
      <c r="G580" s="841"/>
      <c r="N580" s="841"/>
      <c r="O580" s="841"/>
    </row>
    <row r="581" spans="1:15" ht="15" customHeight="1"/>
    <row r="582" spans="1:15" ht="15" customHeight="1">
      <c r="A582" s="144"/>
      <c r="B582" s="145" t="s">
        <v>615</v>
      </c>
      <c r="C582" s="836" t="s">
        <v>616</v>
      </c>
      <c r="D582" s="836"/>
      <c r="E582" s="836"/>
      <c r="F582" s="836"/>
      <c r="G582" s="836"/>
      <c r="I582" s="144"/>
      <c r="J582" s="145" t="s">
        <v>615</v>
      </c>
      <c r="K582" s="836" t="s">
        <v>616</v>
      </c>
      <c r="L582" s="836"/>
      <c r="M582" s="836"/>
      <c r="N582" s="836"/>
      <c r="O582" s="836"/>
    </row>
    <row r="583" spans="1:15" ht="15" customHeight="1">
      <c r="A583" s="38"/>
      <c r="B583" s="39" t="s">
        <v>701</v>
      </c>
      <c r="C583" s="860" t="s">
        <v>702</v>
      </c>
      <c r="D583" s="860"/>
      <c r="E583" s="860"/>
      <c r="F583" s="860"/>
      <c r="G583" s="860"/>
      <c r="I583" s="38"/>
      <c r="J583" s="39" t="s">
        <v>701</v>
      </c>
      <c r="K583" s="860" t="s">
        <v>702</v>
      </c>
      <c r="L583" s="860"/>
      <c r="M583" s="860"/>
      <c r="N583" s="860"/>
      <c r="O583" s="860"/>
    </row>
    <row r="584" spans="1:15" ht="150" customHeight="1">
      <c r="A584" s="40"/>
      <c r="B584" s="556" t="s">
        <v>703</v>
      </c>
      <c r="C584" s="852" t="s">
        <v>704</v>
      </c>
      <c r="D584" s="852"/>
      <c r="E584" s="852"/>
      <c r="F584" s="852"/>
      <c r="G584" s="852"/>
      <c r="I584" s="40"/>
      <c r="J584" s="41" t="s">
        <v>703</v>
      </c>
      <c r="K584" s="869" t="s">
        <v>705</v>
      </c>
      <c r="L584" s="869"/>
      <c r="M584" s="869"/>
      <c r="N584" s="869"/>
      <c r="O584" s="869"/>
    </row>
    <row r="585" spans="1:15" ht="15" customHeight="1" thickBot="1"/>
    <row r="586" spans="1:15" ht="30" customHeight="1" thickTop="1" thickBot="1">
      <c r="A586" s="10"/>
      <c r="B586" s="99">
        <v>0</v>
      </c>
      <c r="C586" s="100" t="s">
        <v>624</v>
      </c>
      <c r="D586" s="10" t="s">
        <v>625</v>
      </c>
      <c r="E586" s="10" t="s">
        <v>626</v>
      </c>
      <c r="F586" s="10" t="s">
        <v>627</v>
      </c>
      <c r="G586" s="10" t="s">
        <v>628</v>
      </c>
      <c r="I586" s="10"/>
      <c r="J586" s="99">
        <v>0</v>
      </c>
      <c r="K586" s="100" t="s">
        <v>624</v>
      </c>
      <c r="L586" s="10" t="s">
        <v>625</v>
      </c>
      <c r="M586" s="10" t="s">
        <v>626</v>
      </c>
      <c r="N586" s="10" t="s">
        <v>627</v>
      </c>
      <c r="O586" s="10" t="s">
        <v>628</v>
      </c>
    </row>
    <row r="587" spans="1:15" ht="4.5" customHeight="1" thickTop="1">
      <c r="B587" s="42"/>
      <c r="C587" s="1"/>
      <c r="D587" s="11"/>
      <c r="E587" s="13"/>
      <c r="F587" s="258"/>
      <c r="G587" s="15"/>
      <c r="J587" s="42"/>
      <c r="K587" s="1"/>
      <c r="L587" s="11"/>
      <c r="M587" s="13"/>
      <c r="N587" s="258"/>
      <c r="O587" s="15"/>
    </row>
    <row r="588" spans="1:15" ht="25.15" customHeight="1">
      <c r="A588" s="16"/>
      <c r="B588" s="837" t="s">
        <v>565</v>
      </c>
      <c r="C588" s="837"/>
      <c r="D588" s="16"/>
      <c r="E588" s="16"/>
      <c r="F588" s="44"/>
      <c r="G588" s="18">
        <f>SUM(G589:G589)</f>
        <v>1379.5600000000002</v>
      </c>
      <c r="I588" s="16"/>
      <c r="J588" s="837" t="s">
        <v>565</v>
      </c>
      <c r="K588" s="837"/>
      <c r="L588" s="16"/>
      <c r="M588" s="16"/>
      <c r="N588" s="44"/>
      <c r="O588" s="18">
        <f>SUM(O589:O589)</f>
        <v>1083.94</v>
      </c>
    </row>
    <row r="589" spans="1:15" ht="25.15" customHeight="1">
      <c r="A589" s="32"/>
      <c r="B589" s="838" t="s">
        <v>53</v>
      </c>
      <c r="C589" s="838"/>
      <c r="D589" s="33" t="s">
        <v>51</v>
      </c>
      <c r="E589" s="34">
        <v>14</v>
      </c>
      <c r="F589" s="238">
        <f>SUMIF('Cjenik RS'!$C$11:$C$26,$B589,'Cjenik RS'!$D$11:$D$90)</f>
        <v>98.54</v>
      </c>
      <c r="G589" s="35">
        <f>E589*F589</f>
        <v>1379.5600000000002</v>
      </c>
      <c r="I589" s="32"/>
      <c r="J589" s="838" t="s">
        <v>53</v>
      </c>
      <c r="K589" s="838"/>
      <c r="L589" s="33" t="s">
        <v>51</v>
      </c>
      <c r="M589" s="34">
        <v>11</v>
      </c>
      <c r="N589" s="238">
        <f>SUMIF('Cjenik RS'!$C$11:$C$26,J589,'Cjenik RS'!$D$11:$D$90)</f>
        <v>98.54</v>
      </c>
      <c r="O589" s="35">
        <f>M589*N589</f>
        <v>1083.94</v>
      </c>
    </row>
    <row r="590" spans="1:15" ht="25.15" customHeight="1">
      <c r="A590" s="16"/>
      <c r="B590" s="837" t="s">
        <v>566</v>
      </c>
      <c r="C590" s="837"/>
      <c r="D590" s="16"/>
      <c r="E590" s="16"/>
      <c r="F590" s="238"/>
      <c r="G590" s="18">
        <f>SUM(G591:G593)</f>
        <v>131.75987950628769</v>
      </c>
      <c r="I590" s="16"/>
      <c r="J590" s="837" t="s">
        <v>566</v>
      </c>
      <c r="K590" s="837"/>
      <c r="L590" s="16"/>
      <c r="M590" s="16"/>
      <c r="N590" s="238"/>
      <c r="O590" s="18">
        <f>SUM(O591:O593)</f>
        <v>145.41011080999999</v>
      </c>
    </row>
    <row r="591" spans="1:15" ht="25.15" customHeight="1">
      <c r="A591" s="51"/>
      <c r="B591" s="849" t="s">
        <v>69</v>
      </c>
      <c r="C591" s="849"/>
      <c r="D591" s="52" t="s">
        <v>51</v>
      </c>
      <c r="E591" s="86">
        <v>0.69652148494592259</v>
      </c>
      <c r="F591" s="260">
        <f>SUMIF('Cjenik VSO'!$B$9:$B$85,$B591,'Cjenik VSO'!$C$9:$C$85)</f>
        <v>179.6</v>
      </c>
      <c r="G591" s="54">
        <f>E591*F591</f>
        <v>125.09525869628769</v>
      </c>
      <c r="I591" s="51"/>
      <c r="J591" s="849" t="s">
        <v>69</v>
      </c>
      <c r="K591" s="849"/>
      <c r="L591" s="52" t="s">
        <v>51</v>
      </c>
      <c r="M591" s="86">
        <v>0.77252500000000002</v>
      </c>
      <c r="N591" s="260">
        <f>SUMIF('Cjenik VSO'!$B$9:$B$85,$B591,'Cjenik VSO'!$C$9:$C$85)</f>
        <v>179.6</v>
      </c>
      <c r="O591" s="54">
        <f>M591*N591</f>
        <v>138.74548999999999</v>
      </c>
    </row>
    <row r="592" spans="1:15" ht="25.15" customHeight="1">
      <c r="A592" s="56"/>
      <c r="B592" s="839" t="s">
        <v>97</v>
      </c>
      <c r="C592" s="839"/>
      <c r="D592" s="57" t="s">
        <v>51</v>
      </c>
      <c r="E592" s="92">
        <v>1.4713E-2</v>
      </c>
      <c r="F592" s="263">
        <f>SUMIF('Cjenik VSO'!$B$9:$B$85,$B592,'Cjenik VSO'!$C$9:$C$85)</f>
        <v>279.37</v>
      </c>
      <c r="G592" s="59">
        <f>E592*F592</f>
        <v>4.11037081</v>
      </c>
      <c r="I592" s="56"/>
      <c r="J592" s="839" t="s">
        <v>97</v>
      </c>
      <c r="K592" s="839"/>
      <c r="L592" s="57" t="s">
        <v>51</v>
      </c>
      <c r="M592" s="92">
        <v>1.4713E-2</v>
      </c>
      <c r="N592" s="263">
        <f>SUMIF('Cjenik VSO'!$B$9:$B$85,$B592,'Cjenik VSO'!$C$9:$C$85)</f>
        <v>279.37</v>
      </c>
      <c r="O592" s="59">
        <f>M592*N592</f>
        <v>4.11037081</v>
      </c>
    </row>
    <row r="593" spans="1:15" ht="25.15" customHeight="1">
      <c r="A593" s="61"/>
      <c r="B593" s="855" t="s">
        <v>71</v>
      </c>
      <c r="C593" s="855"/>
      <c r="D593" s="62" t="s">
        <v>51</v>
      </c>
      <c r="E593" s="87">
        <v>2.5000000000000001E-2</v>
      </c>
      <c r="F593" s="261">
        <f>SUMIF('Cjenik VSO'!$B$9:$B$85,$B593,'Cjenik VSO'!$C$9:$C$85)</f>
        <v>102.17</v>
      </c>
      <c r="G593" s="64">
        <f>E593*F593</f>
        <v>2.5542500000000001</v>
      </c>
      <c r="I593" s="61"/>
      <c r="J593" s="855" t="s">
        <v>71</v>
      </c>
      <c r="K593" s="855"/>
      <c r="L593" s="62" t="s">
        <v>51</v>
      </c>
      <c r="M593" s="87">
        <v>2.5000000000000001E-2</v>
      </c>
      <c r="N593" s="261">
        <f>SUMIF('Cjenik VSO'!$B$9:$B$85,$B593,'Cjenik VSO'!$C$9:$C$85)</f>
        <v>102.17</v>
      </c>
      <c r="O593" s="64">
        <f>M593*N593</f>
        <v>2.5542500000000001</v>
      </c>
    </row>
    <row r="594" spans="1:15" ht="25.15" customHeight="1">
      <c r="A594" s="16"/>
      <c r="B594" s="837" t="s">
        <v>630</v>
      </c>
      <c r="C594" s="837"/>
      <c r="D594" s="16"/>
      <c r="E594" s="16"/>
      <c r="F594" s="238"/>
      <c r="G594" s="18" t="e">
        <f>SUM(G595:G599)</f>
        <v>#VALUE!</v>
      </c>
      <c r="I594" s="16"/>
      <c r="J594" s="837" t="s">
        <v>630</v>
      </c>
      <c r="K594" s="837"/>
      <c r="L594" s="16"/>
      <c r="M594" s="16"/>
      <c r="N594" s="238"/>
      <c r="O594" s="18" t="e">
        <f>SUM(O595:O599)</f>
        <v>#VALUE!</v>
      </c>
    </row>
    <row r="595" spans="1:15" ht="25.15" customHeight="1">
      <c r="A595" s="51"/>
      <c r="B595" s="863" t="str">
        <f>'Cjenik M'!$B$27</f>
        <v>____________</v>
      </c>
      <c r="C595" s="863"/>
      <c r="D595" s="52">
        <f>'Cjenik M'!$C$27</f>
        <v>0</v>
      </c>
      <c r="E595" s="53">
        <v>0.125</v>
      </c>
      <c r="F595" s="260" t="str">
        <f>'Cjenik M'!$D$27</f>
        <v>___________</v>
      </c>
      <c r="G595" s="55" t="e">
        <f>E595*F595</f>
        <v>#VALUE!</v>
      </c>
      <c r="I595" s="51"/>
      <c r="J595" s="863" t="str">
        <f>'Cjenik M'!$B$27</f>
        <v>____________</v>
      </c>
      <c r="K595" s="863"/>
      <c r="L595" s="52">
        <f>'Cjenik M'!$C$27</f>
        <v>0</v>
      </c>
      <c r="M595" s="53">
        <v>0.125</v>
      </c>
      <c r="N595" s="260" t="str">
        <f>'Cjenik M'!$D$27</f>
        <v>___________</v>
      </c>
      <c r="O595" s="55" t="e">
        <f>M595*N595</f>
        <v>#VALUE!</v>
      </c>
    </row>
    <row r="596" spans="1:15" ht="25.15" customHeight="1">
      <c r="A596" s="56"/>
      <c r="B596" s="834">
        <f>'Cjenik M'!$B$31</f>
        <v>0</v>
      </c>
      <c r="C596" s="834"/>
      <c r="D596" s="57">
        <f>'Cjenik M'!$C$31</f>
        <v>0</v>
      </c>
      <c r="E596" s="58">
        <v>5.4399999999999997E-2</v>
      </c>
      <c r="F596" s="263">
        <f>'Cjenik M'!$D$31</f>
        <v>0</v>
      </c>
      <c r="G596" s="60">
        <f>E596*F596</f>
        <v>0</v>
      </c>
      <c r="I596" s="56"/>
      <c r="J596" s="834">
        <f>'Cjenik M'!$B$31</f>
        <v>0</v>
      </c>
      <c r="K596" s="834"/>
      <c r="L596" s="57">
        <f>'Cjenik M'!$C$31</f>
        <v>0</v>
      </c>
      <c r="M596" s="58">
        <v>5.4399999999999997E-2</v>
      </c>
      <c r="N596" s="263">
        <f>'Cjenik M'!$D$31</f>
        <v>0</v>
      </c>
      <c r="O596" s="60">
        <f>M596*N596</f>
        <v>0</v>
      </c>
    </row>
    <row r="597" spans="1:15" ht="25.15" customHeight="1">
      <c r="A597" s="56"/>
      <c r="B597" s="834">
        <f>'Cjenik M'!$B$105</f>
        <v>0</v>
      </c>
      <c r="C597" s="834"/>
      <c r="D597" s="57">
        <f>'Cjenik M'!$C$105</f>
        <v>0</v>
      </c>
      <c r="E597" s="58">
        <v>0.5</v>
      </c>
      <c r="F597" s="263">
        <f>'Cjenik M'!$D$105</f>
        <v>0</v>
      </c>
      <c r="G597" s="60">
        <f>E597*F597</f>
        <v>0</v>
      </c>
      <c r="I597" s="56"/>
      <c r="J597" s="834">
        <f>'Cjenik M'!$B$105</f>
        <v>0</v>
      </c>
      <c r="K597" s="834"/>
      <c r="L597" s="57">
        <f>'Cjenik M'!$C$105</f>
        <v>0</v>
      </c>
      <c r="M597" s="58">
        <v>0.5</v>
      </c>
      <c r="N597" s="263">
        <f>'Cjenik M'!$D$105</f>
        <v>0</v>
      </c>
      <c r="O597" s="60">
        <f>M597*N597</f>
        <v>0</v>
      </c>
    </row>
    <row r="598" spans="1:15" ht="25.15" customHeight="1">
      <c r="A598" s="84"/>
      <c r="B598" s="834">
        <f>'Cjenik M'!$B$30</f>
        <v>0</v>
      </c>
      <c r="C598" s="834"/>
      <c r="D598" s="57">
        <f>'Cjenik M'!$C$30</f>
        <v>0</v>
      </c>
      <c r="E598" s="58">
        <v>0.625</v>
      </c>
      <c r="F598" s="263">
        <f>'Cjenik M'!$D$30</f>
        <v>0</v>
      </c>
      <c r="G598" s="60">
        <f>E598*F598</f>
        <v>0</v>
      </c>
      <c r="I598" s="84"/>
      <c r="J598" s="834">
        <f>'Cjenik M'!$B$30</f>
        <v>0</v>
      </c>
      <c r="K598" s="834"/>
      <c r="L598" s="57">
        <f>'Cjenik M'!$C$30</f>
        <v>0</v>
      </c>
      <c r="M598" s="58">
        <v>0.625</v>
      </c>
      <c r="N598" s="263">
        <f>'Cjenik M'!$D$30</f>
        <v>0</v>
      </c>
      <c r="O598" s="60">
        <f>M598*N598</f>
        <v>0</v>
      </c>
    </row>
    <row r="599" spans="1:15" ht="25.15" customHeight="1" thickBot="1">
      <c r="A599" s="66"/>
      <c r="B599" s="859">
        <f>'Cjenik M'!$B$82</f>
        <v>0</v>
      </c>
      <c r="C599" s="859"/>
      <c r="D599" s="67">
        <f>'Cjenik M'!$C$82</f>
        <v>0</v>
      </c>
      <c r="E599" s="68">
        <v>1.6E-2</v>
      </c>
      <c r="F599" s="262">
        <f>'Cjenik M'!$D$82</f>
        <v>0</v>
      </c>
      <c r="G599" s="70">
        <f>E599*F599</f>
        <v>0</v>
      </c>
      <c r="I599" s="66"/>
      <c r="J599" s="859">
        <f>'Cjenik M'!$B$82</f>
        <v>0</v>
      </c>
      <c r="K599" s="859"/>
      <c r="L599" s="67">
        <f>'Cjenik M'!$C$82</f>
        <v>0</v>
      </c>
      <c r="M599" s="68">
        <v>1.6E-2</v>
      </c>
      <c r="N599" s="262">
        <f>'Cjenik M'!$D$82</f>
        <v>0</v>
      </c>
      <c r="O599" s="70">
        <f>M599*N599</f>
        <v>0</v>
      </c>
    </row>
    <row r="600" spans="1:15" ht="25.15" customHeight="1" thickTop="1" thickBot="1">
      <c r="B600" s="47"/>
      <c r="C600" s="24"/>
      <c r="D600" s="25"/>
      <c r="E600" s="850" t="str">
        <f>'Obrazac kalkulacije'!$E$18</f>
        <v>Ukupno (kn):</v>
      </c>
      <c r="F600" s="850"/>
      <c r="G600" s="26" t="e">
        <f>ROUND(SUM(G588+G590+G594),2)</f>
        <v>#VALUE!</v>
      </c>
      <c r="H600" s="269" t="e">
        <f>SUMIF(#REF!,$B584,#REF!)</f>
        <v>#REF!</v>
      </c>
      <c r="J600" s="47"/>
      <c r="K600" s="24"/>
      <c r="L600" s="25"/>
      <c r="M600" s="850" t="str">
        <f>'Obrazac kalkulacije'!$E$18</f>
        <v>Ukupno (kn):</v>
      </c>
      <c r="N600" s="850"/>
      <c r="O600" s="26" t="e">
        <f>ROUND(SUM(O588+O590+O594),2)</f>
        <v>#VALUE!</v>
      </c>
    </row>
    <row r="601" spans="1:15" ht="25.15" customHeight="1" thickTop="1" thickBot="1">
      <c r="E601" s="27" t="str">
        <f>'Obrazac kalkulacije'!$E$19</f>
        <v>PDV:</v>
      </c>
      <c r="F601" s="259">
        <f>'Obrazac kalkulacije'!$F$19</f>
        <v>0.25</v>
      </c>
      <c r="G601" s="29" t="e">
        <f>G600*F601</f>
        <v>#VALUE!</v>
      </c>
      <c r="H601" s="270" t="e">
        <f>H600-G600</f>
        <v>#REF!</v>
      </c>
      <c r="M601" s="27" t="str">
        <f>'Obrazac kalkulacije'!$E$19</f>
        <v>PDV:</v>
      </c>
      <c r="N601" s="259">
        <f>'Obrazac kalkulacije'!$F$19</f>
        <v>0.25</v>
      </c>
      <c r="O601" s="29" t="e">
        <f>O600*N601</f>
        <v>#VALUE!</v>
      </c>
    </row>
    <row r="602" spans="1:15" ht="25.15" customHeight="1" thickTop="1" thickBot="1">
      <c r="E602" s="840" t="str">
        <f>'Obrazac kalkulacije'!$E$20</f>
        <v>Sveukupno (kn):</v>
      </c>
      <c r="F602" s="840"/>
      <c r="G602" s="29" t="e">
        <f>ROUND(SUM(G600:G601),2)</f>
        <v>#VALUE!</v>
      </c>
      <c r="H602" s="271" t="e">
        <f>G591+H601</f>
        <v>#REF!</v>
      </c>
      <c r="M602" s="840" t="str">
        <f>'Obrazac kalkulacije'!$E$20</f>
        <v>Sveukupno (kn):</v>
      </c>
      <c r="N602" s="840"/>
      <c r="O602" s="29" t="e">
        <f>ROUND(SUM(O600:O601),2)</f>
        <v>#VALUE!</v>
      </c>
    </row>
    <row r="603" spans="1:15" ht="15" customHeight="1" thickTop="1"/>
    <row r="604" spans="1:15" ht="15" customHeight="1"/>
    <row r="605" spans="1:15" ht="15" customHeight="1"/>
    <row r="606" spans="1:15" ht="15" customHeight="1">
      <c r="C606" s="3" t="str">
        <f>'Obrazac kalkulacije'!$C$24</f>
        <v>IZVODITELJ:</v>
      </c>
      <c r="F606" s="841" t="str">
        <f>'Obrazac kalkulacije'!$F$24</f>
        <v>NARUČITELJ:</v>
      </c>
      <c r="G606" s="841"/>
      <c r="K606" s="3" t="str">
        <f>'Obrazac kalkulacije'!$C$24</f>
        <v>IZVODITELJ:</v>
      </c>
      <c r="N606" s="841" t="str">
        <f>'Obrazac kalkulacije'!$F$24</f>
        <v>NARUČITELJ:</v>
      </c>
      <c r="O606" s="841"/>
    </row>
    <row r="607" spans="1:15" ht="25.15" customHeight="1">
      <c r="C607" s="3" t="str">
        <f>'Obrazac kalkulacije'!$C$25</f>
        <v>__________________</v>
      </c>
      <c r="F607" s="841" t="str">
        <f>'Obrazac kalkulacije'!$F$25</f>
        <v>___________________</v>
      </c>
      <c r="G607" s="841"/>
      <c r="K607" s="3" t="str">
        <f>'Obrazac kalkulacije'!$C$25</f>
        <v>__________________</v>
      </c>
      <c r="N607" s="841" t="str">
        <f>'Obrazac kalkulacije'!$F$25</f>
        <v>___________________</v>
      </c>
      <c r="O607" s="841"/>
    </row>
    <row r="608" spans="1:15" ht="15" customHeight="1">
      <c r="F608" s="841"/>
      <c r="G608" s="841"/>
      <c r="N608" s="841"/>
      <c r="O608" s="841"/>
    </row>
    <row r="609" spans="1:15" ht="15" customHeight="1"/>
    <row r="610" spans="1:15" ht="15" customHeight="1">
      <c r="A610" s="144"/>
      <c r="B610" s="145" t="s">
        <v>615</v>
      </c>
      <c r="C610" s="836" t="s">
        <v>616</v>
      </c>
      <c r="D610" s="836"/>
      <c r="E610" s="836"/>
      <c r="F610" s="836"/>
      <c r="G610" s="836"/>
      <c r="I610" s="144"/>
      <c r="J610" s="145" t="s">
        <v>615</v>
      </c>
      <c r="K610" s="836" t="s">
        <v>616</v>
      </c>
      <c r="L610" s="836"/>
      <c r="M610" s="836"/>
      <c r="N610" s="836"/>
      <c r="O610" s="836"/>
    </row>
    <row r="611" spans="1:15" ht="15" customHeight="1">
      <c r="A611" s="38"/>
      <c r="B611" s="39" t="s">
        <v>701</v>
      </c>
      <c r="C611" s="860" t="s">
        <v>702</v>
      </c>
      <c r="D611" s="860"/>
      <c r="E611" s="860"/>
      <c r="F611" s="860"/>
      <c r="G611" s="860"/>
      <c r="I611" s="38"/>
      <c r="J611" s="39" t="s">
        <v>701</v>
      </c>
      <c r="K611" s="860" t="s">
        <v>702</v>
      </c>
      <c r="L611" s="860"/>
      <c r="M611" s="860"/>
      <c r="N611" s="860"/>
      <c r="O611" s="860"/>
    </row>
    <row r="612" spans="1:15" ht="150" customHeight="1">
      <c r="A612" s="40"/>
      <c r="B612" s="556" t="s">
        <v>706</v>
      </c>
      <c r="C612" s="852" t="s">
        <v>707</v>
      </c>
      <c r="D612" s="852"/>
      <c r="E612" s="852"/>
      <c r="F612" s="852"/>
      <c r="G612" s="852"/>
      <c r="I612" s="40"/>
      <c r="J612" s="41" t="s">
        <v>706</v>
      </c>
      <c r="K612" s="869" t="s">
        <v>708</v>
      </c>
      <c r="L612" s="869"/>
      <c r="M612" s="869"/>
      <c r="N612" s="869"/>
      <c r="O612" s="869"/>
    </row>
    <row r="613" spans="1:15" ht="15" customHeight="1" thickBot="1"/>
    <row r="614" spans="1:15" ht="30" customHeight="1" thickTop="1" thickBot="1">
      <c r="A614" s="10"/>
      <c r="B614" s="99">
        <v>0</v>
      </c>
      <c r="C614" s="100" t="s">
        <v>624</v>
      </c>
      <c r="D614" s="10" t="s">
        <v>625</v>
      </c>
      <c r="E614" s="10" t="s">
        <v>626</v>
      </c>
      <c r="F614" s="10" t="s">
        <v>627</v>
      </c>
      <c r="G614" s="10" t="s">
        <v>628</v>
      </c>
      <c r="I614" s="10"/>
      <c r="J614" s="99">
        <v>0</v>
      </c>
      <c r="K614" s="100" t="s">
        <v>624</v>
      </c>
      <c r="L614" s="10" t="s">
        <v>625</v>
      </c>
      <c r="M614" s="10" t="s">
        <v>626</v>
      </c>
      <c r="N614" s="10" t="s">
        <v>627</v>
      </c>
      <c r="O614" s="10" t="s">
        <v>628</v>
      </c>
    </row>
    <row r="615" spans="1:15" ht="4.5" customHeight="1" thickTop="1">
      <c r="B615" s="42"/>
      <c r="C615" s="1"/>
      <c r="D615" s="11"/>
      <c r="E615" s="13"/>
      <c r="F615" s="258"/>
      <c r="G615" s="15"/>
      <c r="J615" s="42"/>
      <c r="K615" s="1"/>
      <c r="L615" s="11"/>
      <c r="M615" s="13"/>
      <c r="N615" s="258"/>
      <c r="O615" s="15"/>
    </row>
    <row r="616" spans="1:15" ht="25.15" customHeight="1">
      <c r="A616" s="16"/>
      <c r="B616" s="837" t="s">
        <v>565</v>
      </c>
      <c r="C616" s="837"/>
      <c r="D616" s="16"/>
      <c r="E616" s="16"/>
      <c r="F616" s="44"/>
      <c r="G616" s="18">
        <f>SUM(G617:G617)</f>
        <v>861.17387382000004</v>
      </c>
      <c r="I616" s="16"/>
      <c r="J616" s="837" t="s">
        <v>565</v>
      </c>
      <c r="K616" s="837"/>
      <c r="L616" s="16"/>
      <c r="M616" s="16"/>
      <c r="N616" s="44"/>
      <c r="O616" s="18">
        <f>SUM(O617:O617)</f>
        <v>861.17387382000004</v>
      </c>
    </row>
    <row r="617" spans="1:15" ht="25.15" customHeight="1">
      <c r="A617" s="32"/>
      <c r="B617" s="838" t="s">
        <v>53</v>
      </c>
      <c r="C617" s="838"/>
      <c r="D617" s="33" t="s">
        <v>51</v>
      </c>
      <c r="E617" s="34">
        <v>8.7393330000000002</v>
      </c>
      <c r="F617" s="238">
        <f>SUMIF('Cjenik RS'!$C$11:$C$26,$B617,'Cjenik RS'!$D$11:$D$90)</f>
        <v>98.54</v>
      </c>
      <c r="G617" s="35">
        <f>E617*F617</f>
        <v>861.17387382000004</v>
      </c>
      <c r="I617" s="32"/>
      <c r="J617" s="838" t="s">
        <v>53</v>
      </c>
      <c r="K617" s="838"/>
      <c r="L617" s="33" t="s">
        <v>51</v>
      </c>
      <c r="M617" s="34">
        <v>8.7393330000000002</v>
      </c>
      <c r="N617" s="238">
        <f>SUMIF('Cjenik RS'!$C$11:$C$26,J617,'Cjenik RS'!$D$11:$D$90)</f>
        <v>98.54</v>
      </c>
      <c r="O617" s="35">
        <f>M617*N617</f>
        <v>861.17387382000004</v>
      </c>
    </row>
    <row r="618" spans="1:15" ht="25.15" customHeight="1">
      <c r="A618" s="16"/>
      <c r="B618" s="837" t="s">
        <v>566</v>
      </c>
      <c r="C618" s="837"/>
      <c r="D618" s="16"/>
      <c r="E618" s="16"/>
      <c r="F618" s="238"/>
      <c r="G618" s="18">
        <f>SUM(G619:G622)</f>
        <v>31.145106048234432</v>
      </c>
      <c r="I618" s="16"/>
      <c r="J618" s="837" t="s">
        <v>566</v>
      </c>
      <c r="K618" s="837"/>
      <c r="L618" s="16"/>
      <c r="M618" s="16"/>
      <c r="N618" s="238"/>
      <c r="O618" s="18">
        <f>SUM(O619:O622)</f>
        <v>35.817273209999996</v>
      </c>
    </row>
    <row r="619" spans="1:15" ht="25.15" customHeight="1">
      <c r="A619" s="51"/>
      <c r="B619" s="849" t="s">
        <v>69</v>
      </c>
      <c r="C619" s="849"/>
      <c r="D619" s="52" t="s">
        <v>51</v>
      </c>
      <c r="E619" s="86">
        <v>0.10590470622624963</v>
      </c>
      <c r="F619" s="260">
        <f>SUMIF('Cjenik VSO'!$B$9:$B$85,$B619,'Cjenik VSO'!$C$9:$C$85)</f>
        <v>179.6</v>
      </c>
      <c r="G619" s="54">
        <f>E619*F619</f>
        <v>19.020485238234432</v>
      </c>
      <c r="I619" s="51"/>
      <c r="J619" s="849" t="s">
        <v>69</v>
      </c>
      <c r="K619" s="849"/>
      <c r="L619" s="52" t="s">
        <v>51</v>
      </c>
      <c r="M619" s="86">
        <v>0.13191900000000001</v>
      </c>
      <c r="N619" s="260">
        <f>SUMIF('Cjenik VSO'!$B$9:$B$85,$B619,'Cjenik VSO'!$C$9:$C$85)</f>
        <v>179.6</v>
      </c>
      <c r="O619" s="54">
        <f>M619*N619</f>
        <v>23.6926524</v>
      </c>
    </row>
    <row r="620" spans="1:15" ht="25.15" customHeight="1">
      <c r="A620" s="56"/>
      <c r="B620" s="839" t="s">
        <v>97</v>
      </c>
      <c r="C620" s="839"/>
      <c r="D620" s="57" t="s">
        <v>51</v>
      </c>
      <c r="E620" s="92">
        <v>1.4713E-2</v>
      </c>
      <c r="F620" s="263">
        <f>SUMIF('Cjenik VSO'!$B$9:$B$85,$B620,'Cjenik VSO'!$C$9:$C$85)</f>
        <v>279.37</v>
      </c>
      <c r="G620" s="59">
        <f>E620*F620</f>
        <v>4.11037081</v>
      </c>
      <c r="I620" s="56"/>
      <c r="J620" s="839" t="s">
        <v>97</v>
      </c>
      <c r="K620" s="839"/>
      <c r="L620" s="57" t="s">
        <v>51</v>
      </c>
      <c r="M620" s="92">
        <v>1.4713E-2</v>
      </c>
      <c r="N620" s="263">
        <f>SUMIF('Cjenik VSO'!$B$9:$B$85,$B620,'Cjenik VSO'!$C$9:$C$85)</f>
        <v>279.37</v>
      </c>
      <c r="O620" s="59">
        <f>M620*N620</f>
        <v>4.11037081</v>
      </c>
    </row>
    <row r="621" spans="1:15" ht="25.15" customHeight="1">
      <c r="A621" s="56"/>
      <c r="B621" s="839" t="s">
        <v>71</v>
      </c>
      <c r="C621" s="839"/>
      <c r="D621" s="57" t="s">
        <v>51</v>
      </c>
      <c r="E621" s="92">
        <v>2.5000000000000001E-2</v>
      </c>
      <c r="F621" s="263">
        <f>SUMIF('Cjenik VSO'!$B$9:$B$85,$B621,'Cjenik VSO'!$C$9:$C$85)</f>
        <v>102.17</v>
      </c>
      <c r="G621" s="59">
        <f>E621*F621</f>
        <v>2.5542500000000001</v>
      </c>
      <c r="I621" s="56"/>
      <c r="J621" s="839" t="s">
        <v>71</v>
      </c>
      <c r="K621" s="839"/>
      <c r="L621" s="57" t="s">
        <v>51</v>
      </c>
      <c r="M621" s="92">
        <v>2.5000000000000001E-2</v>
      </c>
      <c r="N621" s="263">
        <f>SUMIF('Cjenik VSO'!$B$9:$B$85,$B621,'Cjenik VSO'!$C$9:$C$85)</f>
        <v>102.17</v>
      </c>
      <c r="O621" s="59">
        <f>M621*N621</f>
        <v>2.5542500000000001</v>
      </c>
    </row>
    <row r="622" spans="1:15" ht="25.15" customHeight="1">
      <c r="A622" s="56"/>
      <c r="B622" s="839" t="s">
        <v>200</v>
      </c>
      <c r="C622" s="839"/>
      <c r="D622" s="57" t="s">
        <v>51</v>
      </c>
      <c r="E622" s="92">
        <v>0.25</v>
      </c>
      <c r="F622" s="263">
        <f>SUMIF('Cjenik VSO'!$B$9:$B$85,$B622,'Cjenik VSO'!$C$9:$C$85)</f>
        <v>21.84</v>
      </c>
      <c r="G622" s="59">
        <f>E622*F622</f>
        <v>5.46</v>
      </c>
      <c r="I622" s="56"/>
      <c r="J622" s="839" t="s">
        <v>200</v>
      </c>
      <c r="K622" s="839"/>
      <c r="L622" s="57" t="s">
        <v>51</v>
      </c>
      <c r="M622" s="92">
        <v>0.25</v>
      </c>
      <c r="N622" s="263">
        <f>SUMIF('Cjenik VSO'!$B$9:$B$85,$B622,'Cjenik VSO'!$C$9:$C$85)</f>
        <v>21.84</v>
      </c>
      <c r="O622" s="59">
        <f>M622*N622</f>
        <v>5.46</v>
      </c>
    </row>
    <row r="623" spans="1:15" ht="25.15" customHeight="1">
      <c r="A623" s="16"/>
      <c r="B623" s="837" t="s">
        <v>630</v>
      </c>
      <c r="C623" s="837"/>
      <c r="D623" s="16"/>
      <c r="E623" s="16"/>
      <c r="F623" s="238"/>
      <c r="G623" s="18" t="e">
        <f>SUM(G624:G627)</f>
        <v>#VALUE!</v>
      </c>
      <c r="I623" s="16"/>
      <c r="J623" s="837" t="s">
        <v>630</v>
      </c>
      <c r="K623" s="837"/>
      <c r="L623" s="16"/>
      <c r="M623" s="16"/>
      <c r="N623" s="238"/>
      <c r="O623" s="18" t="e">
        <f>SUM(O624:O627)</f>
        <v>#VALUE!</v>
      </c>
    </row>
    <row r="624" spans="1:15" ht="25.15" customHeight="1">
      <c r="A624" s="51"/>
      <c r="B624" s="863" t="str">
        <f>'Cjenik M'!$B$27</f>
        <v>____________</v>
      </c>
      <c r="C624" s="863"/>
      <c r="D624" s="52">
        <f>'Cjenik M'!$C$27</f>
        <v>0</v>
      </c>
      <c r="E624" s="53">
        <v>0.125</v>
      </c>
      <c r="F624" s="260" t="str">
        <f>'Cjenik M'!$D$27</f>
        <v>___________</v>
      </c>
      <c r="G624" s="55" t="e">
        <f>E624*F624</f>
        <v>#VALUE!</v>
      </c>
      <c r="I624" s="51"/>
      <c r="J624" s="863" t="str">
        <f>'Cjenik M'!$B$27</f>
        <v>____________</v>
      </c>
      <c r="K624" s="863"/>
      <c r="L624" s="52">
        <f>'Cjenik M'!$C$27</f>
        <v>0</v>
      </c>
      <c r="M624" s="53">
        <v>0.125</v>
      </c>
      <c r="N624" s="260" t="str">
        <f>'Cjenik M'!$D$27</f>
        <v>___________</v>
      </c>
      <c r="O624" s="55" t="e">
        <f>M624*N624</f>
        <v>#VALUE!</v>
      </c>
    </row>
    <row r="625" spans="1:15" ht="25.15" customHeight="1">
      <c r="A625" s="56"/>
      <c r="B625" s="834">
        <f>'Cjenik M'!$B$65</f>
        <v>0</v>
      </c>
      <c r="C625" s="834"/>
      <c r="D625" s="57">
        <f>'Cjenik M'!$C$65</f>
        <v>0</v>
      </c>
      <c r="E625" s="58">
        <v>20</v>
      </c>
      <c r="F625" s="263">
        <f>'Cjenik M'!$D$65</f>
        <v>0</v>
      </c>
      <c r="G625" s="60">
        <f>E625*F625</f>
        <v>0</v>
      </c>
      <c r="I625" s="56"/>
      <c r="J625" s="834">
        <f>'Cjenik M'!$B$65</f>
        <v>0</v>
      </c>
      <c r="K625" s="834"/>
      <c r="L625" s="57">
        <f>'Cjenik M'!$C$65</f>
        <v>0</v>
      </c>
      <c r="M625" s="58">
        <v>20</v>
      </c>
      <c r="N625" s="263">
        <f>'Cjenik M'!$D$65</f>
        <v>0</v>
      </c>
      <c r="O625" s="60">
        <f>M625*N625</f>
        <v>0</v>
      </c>
    </row>
    <row r="626" spans="1:15" ht="25.15" customHeight="1">
      <c r="A626" s="56"/>
      <c r="B626" s="834">
        <f>'Cjenik M'!$B$31</f>
        <v>0</v>
      </c>
      <c r="C626" s="834"/>
      <c r="D626" s="57">
        <f>'Cjenik M'!$C$31</f>
        <v>0</v>
      </c>
      <c r="E626" s="58">
        <v>6.7000000000000004E-2</v>
      </c>
      <c r="F626" s="263">
        <f>'Cjenik M'!$D$31</f>
        <v>0</v>
      </c>
      <c r="G626" s="60">
        <f>E626*F626</f>
        <v>0</v>
      </c>
      <c r="I626" s="56"/>
      <c r="J626" s="834">
        <f>'Cjenik M'!$B$31</f>
        <v>0</v>
      </c>
      <c r="K626" s="834"/>
      <c r="L626" s="57">
        <f>'Cjenik M'!$C$31</f>
        <v>0</v>
      </c>
      <c r="M626" s="58">
        <v>6.7000000000000004E-2</v>
      </c>
      <c r="N626" s="263">
        <f>'Cjenik M'!$D$31</f>
        <v>0</v>
      </c>
      <c r="O626" s="60">
        <f>M626*N626</f>
        <v>0</v>
      </c>
    </row>
    <row r="627" spans="1:15" ht="25.15" customHeight="1" thickBot="1">
      <c r="A627" s="66"/>
      <c r="B627" s="859">
        <f>'Cjenik M'!$B$34</f>
        <v>0</v>
      </c>
      <c r="C627" s="859"/>
      <c r="D627" s="57">
        <f>'Cjenik M'!$C$34</f>
        <v>0</v>
      </c>
      <c r="E627" s="58">
        <v>1</v>
      </c>
      <c r="F627" s="263">
        <f>'Cjenik M'!$D$34</f>
        <v>0</v>
      </c>
      <c r="G627" s="60">
        <f>E627*F627</f>
        <v>0</v>
      </c>
      <c r="I627" s="66"/>
      <c r="J627" s="859">
        <f>'Cjenik M'!$B$34</f>
        <v>0</v>
      </c>
      <c r="K627" s="859"/>
      <c r="L627" s="57">
        <f>'Cjenik M'!$C$34</f>
        <v>0</v>
      </c>
      <c r="M627" s="58">
        <v>1</v>
      </c>
      <c r="N627" s="263">
        <f>'Cjenik M'!$D$34</f>
        <v>0</v>
      </c>
      <c r="O627" s="60">
        <f>M627*N627</f>
        <v>0</v>
      </c>
    </row>
    <row r="628" spans="1:15" ht="25.15" customHeight="1" thickTop="1" thickBot="1">
      <c r="B628" s="47"/>
      <c r="C628" s="24"/>
      <c r="D628" s="25"/>
      <c r="E628" s="850" t="str">
        <f>'Obrazac kalkulacije'!$E$18</f>
        <v>Ukupno (kn):</v>
      </c>
      <c r="F628" s="850"/>
      <c r="G628" s="26" t="e">
        <f>ROUND(SUM(G616+G618+G623),2)</f>
        <v>#VALUE!</v>
      </c>
      <c r="H628" s="269" t="e">
        <f>SUMIF(#REF!,$B612,#REF!)</f>
        <v>#REF!</v>
      </c>
      <c r="J628" s="47"/>
      <c r="K628" s="24"/>
      <c r="L628" s="25"/>
      <c r="M628" s="850" t="str">
        <f>'Obrazac kalkulacije'!$E$18</f>
        <v>Ukupno (kn):</v>
      </c>
      <c r="N628" s="850"/>
      <c r="O628" s="26" t="e">
        <f>ROUND(SUM(O616+O618+O623),2)</f>
        <v>#VALUE!</v>
      </c>
    </row>
    <row r="629" spans="1:15" ht="25.15" customHeight="1" thickTop="1" thickBot="1">
      <c r="E629" s="27" t="str">
        <f>'Obrazac kalkulacije'!$E$19</f>
        <v>PDV:</v>
      </c>
      <c r="F629" s="259">
        <f>'Obrazac kalkulacije'!$F$19</f>
        <v>0.25</v>
      </c>
      <c r="G629" s="29" t="e">
        <f>G628*F629</f>
        <v>#VALUE!</v>
      </c>
      <c r="H629" s="270" t="e">
        <f>H628-G628</f>
        <v>#REF!</v>
      </c>
      <c r="M629" s="27" t="str">
        <f>'Obrazac kalkulacije'!$E$19</f>
        <v>PDV:</v>
      </c>
      <c r="N629" s="259">
        <f>'Obrazac kalkulacije'!$F$19</f>
        <v>0.25</v>
      </c>
      <c r="O629" s="29" t="e">
        <f>O628*N629</f>
        <v>#VALUE!</v>
      </c>
    </row>
    <row r="630" spans="1:15" ht="25.15" customHeight="1" thickTop="1" thickBot="1">
      <c r="E630" s="840" t="str">
        <f>'Obrazac kalkulacije'!$E$20</f>
        <v>Sveukupno (kn):</v>
      </c>
      <c r="F630" s="840"/>
      <c r="G630" s="29" t="e">
        <f>ROUND(SUM(G628:G629),2)</f>
        <v>#VALUE!</v>
      </c>
      <c r="H630" s="271" t="e">
        <f>G619+H629</f>
        <v>#REF!</v>
      </c>
      <c r="M630" s="840" t="str">
        <f>'Obrazac kalkulacije'!$E$20</f>
        <v>Sveukupno (kn):</v>
      </c>
      <c r="N630" s="840"/>
      <c r="O630" s="29" t="e">
        <f>ROUND(SUM(O628:O629),2)</f>
        <v>#VALUE!</v>
      </c>
    </row>
    <row r="631" spans="1:15" ht="15" customHeight="1" thickTop="1"/>
    <row r="632" spans="1:15" ht="15" customHeight="1"/>
    <row r="633" spans="1:15" ht="15" customHeight="1"/>
    <row r="634" spans="1:15" ht="15" customHeight="1">
      <c r="C634" s="3" t="str">
        <f>'Obrazac kalkulacije'!$C$24</f>
        <v>IZVODITELJ:</v>
      </c>
      <c r="F634" s="841" t="str">
        <f>'Obrazac kalkulacije'!$F$24</f>
        <v>NARUČITELJ:</v>
      </c>
      <c r="G634" s="841"/>
      <c r="K634" s="3" t="str">
        <f>'Obrazac kalkulacije'!$C$24</f>
        <v>IZVODITELJ:</v>
      </c>
      <c r="N634" s="841" t="str">
        <f>'Obrazac kalkulacije'!$F$24</f>
        <v>NARUČITELJ:</v>
      </c>
      <c r="O634" s="841"/>
    </row>
    <row r="635" spans="1:15" ht="25.15" customHeight="1">
      <c r="C635" s="3" t="str">
        <f>'Obrazac kalkulacije'!$C$25</f>
        <v>__________________</v>
      </c>
      <c r="F635" s="841" t="str">
        <f>'Obrazac kalkulacije'!$F$25</f>
        <v>___________________</v>
      </c>
      <c r="G635" s="841"/>
      <c r="K635" s="3" t="str">
        <f>'Obrazac kalkulacije'!$C$25</f>
        <v>__________________</v>
      </c>
      <c r="N635" s="841" t="str">
        <f>'Obrazac kalkulacije'!$F$25</f>
        <v>___________________</v>
      </c>
      <c r="O635" s="841"/>
    </row>
    <row r="636" spans="1:15" ht="15" customHeight="1">
      <c r="F636" s="841"/>
      <c r="G636" s="841"/>
      <c r="N636" s="841"/>
      <c r="O636" s="841"/>
    </row>
    <row r="637" spans="1:15" ht="15" customHeight="1"/>
    <row r="638" spans="1:15" ht="15" customHeight="1">
      <c r="A638" s="144"/>
      <c r="B638" s="145" t="s">
        <v>615</v>
      </c>
      <c r="C638" s="836" t="s">
        <v>616</v>
      </c>
      <c r="D638" s="836"/>
      <c r="E638" s="836"/>
      <c r="F638" s="836"/>
      <c r="G638" s="836"/>
      <c r="I638" s="144"/>
      <c r="J638" s="145" t="s">
        <v>615</v>
      </c>
      <c r="K638" s="836" t="s">
        <v>616</v>
      </c>
      <c r="L638" s="836"/>
      <c r="M638" s="836"/>
      <c r="N638" s="836"/>
      <c r="O638" s="836"/>
    </row>
    <row r="639" spans="1:15" ht="15" customHeight="1">
      <c r="A639" s="38"/>
      <c r="B639" s="39" t="s">
        <v>701</v>
      </c>
      <c r="C639" s="860" t="s">
        <v>702</v>
      </c>
      <c r="D639" s="860"/>
      <c r="E639" s="860"/>
      <c r="F639" s="860"/>
      <c r="G639" s="860"/>
      <c r="I639" s="38"/>
      <c r="J639" s="39" t="s">
        <v>701</v>
      </c>
      <c r="K639" s="860" t="s">
        <v>702</v>
      </c>
      <c r="L639" s="860"/>
      <c r="M639" s="860"/>
      <c r="N639" s="860"/>
      <c r="O639" s="860"/>
    </row>
    <row r="640" spans="1:15" ht="150" customHeight="1">
      <c r="A640" s="40"/>
      <c r="B640" s="556" t="s">
        <v>709</v>
      </c>
      <c r="C640" s="852" t="s">
        <v>710</v>
      </c>
      <c r="D640" s="852"/>
      <c r="E640" s="852"/>
      <c r="F640" s="852"/>
      <c r="G640" s="852"/>
      <c r="I640" s="40"/>
      <c r="J640" s="41" t="s">
        <v>709</v>
      </c>
      <c r="K640" s="869" t="s">
        <v>711</v>
      </c>
      <c r="L640" s="869"/>
      <c r="M640" s="869"/>
      <c r="N640" s="869"/>
      <c r="O640" s="869"/>
    </row>
    <row r="641" spans="1:15" ht="15" customHeight="1" thickBot="1"/>
    <row r="642" spans="1:15" ht="30" customHeight="1" thickTop="1" thickBot="1">
      <c r="A642" s="10"/>
      <c r="B642" s="99">
        <v>0</v>
      </c>
      <c r="C642" s="100" t="s">
        <v>624</v>
      </c>
      <c r="D642" s="10" t="s">
        <v>625</v>
      </c>
      <c r="E642" s="10" t="s">
        <v>626</v>
      </c>
      <c r="F642" s="10" t="s">
        <v>627</v>
      </c>
      <c r="G642" s="10" t="s">
        <v>628</v>
      </c>
      <c r="I642" s="10"/>
      <c r="J642" s="99">
        <v>0</v>
      </c>
      <c r="K642" s="100" t="s">
        <v>624</v>
      </c>
      <c r="L642" s="10" t="s">
        <v>625</v>
      </c>
      <c r="M642" s="10" t="s">
        <v>626</v>
      </c>
      <c r="N642" s="10" t="s">
        <v>627</v>
      </c>
      <c r="O642" s="10" t="s">
        <v>628</v>
      </c>
    </row>
    <row r="643" spans="1:15" ht="4.5" customHeight="1" thickTop="1">
      <c r="B643" s="42"/>
      <c r="C643" s="1"/>
      <c r="D643" s="11"/>
      <c r="E643" s="13"/>
      <c r="F643" s="258"/>
      <c r="G643" s="15"/>
      <c r="J643" s="42"/>
      <c r="K643" s="1"/>
      <c r="L643" s="11"/>
      <c r="M643" s="13"/>
      <c r="N643" s="258"/>
      <c r="O643" s="15"/>
    </row>
    <row r="644" spans="1:15" ht="25.15" customHeight="1">
      <c r="A644" s="16"/>
      <c r="B644" s="837" t="s">
        <v>565</v>
      </c>
      <c r="C644" s="837"/>
      <c r="D644" s="16"/>
      <c r="E644" s="16"/>
      <c r="F644" s="44"/>
      <c r="G644" s="18">
        <f>SUM(G645:G645)</f>
        <v>548.90061381999999</v>
      </c>
      <c r="I644" s="16"/>
      <c r="J644" s="837" t="s">
        <v>565</v>
      </c>
      <c r="K644" s="837"/>
      <c r="L644" s="16"/>
      <c r="M644" s="16"/>
      <c r="N644" s="44"/>
      <c r="O644" s="18">
        <f>SUM(O645:O645)</f>
        <v>548.90061381999999</v>
      </c>
    </row>
    <row r="645" spans="1:15" ht="25.15" customHeight="1">
      <c r="A645" s="32"/>
      <c r="B645" s="838" t="s">
        <v>53</v>
      </c>
      <c r="C645" s="838"/>
      <c r="D645" s="33" t="s">
        <v>51</v>
      </c>
      <c r="E645" s="34">
        <v>5.5703329999999998</v>
      </c>
      <c r="F645" s="238">
        <f>SUMIF('Cjenik RS'!$C$11:$C$26,$B645,'Cjenik RS'!$D$11:$D$90)</f>
        <v>98.54</v>
      </c>
      <c r="G645" s="35">
        <f>E645*F645</f>
        <v>548.90061381999999</v>
      </c>
      <c r="I645" s="32"/>
      <c r="J645" s="838" t="s">
        <v>53</v>
      </c>
      <c r="K645" s="838"/>
      <c r="L645" s="33" t="s">
        <v>51</v>
      </c>
      <c r="M645" s="34">
        <v>5.5703329999999998</v>
      </c>
      <c r="N645" s="238">
        <f>SUMIF('Cjenik RS'!$C$11:$C$26,J645,'Cjenik RS'!$D$11:$D$90)</f>
        <v>98.54</v>
      </c>
      <c r="O645" s="35">
        <f>M645*N645</f>
        <v>548.90061381999999</v>
      </c>
    </row>
    <row r="646" spans="1:15" ht="25.15" customHeight="1">
      <c r="A646" s="16"/>
      <c r="B646" s="837" t="s">
        <v>566</v>
      </c>
      <c r="C646" s="837"/>
      <c r="D646" s="16"/>
      <c r="E646" s="16"/>
      <c r="F646" s="238"/>
      <c r="G646" s="18">
        <f>SUM(G647:G650)</f>
        <v>17.206331930000001</v>
      </c>
      <c r="I646" s="16"/>
      <c r="J646" s="837" t="s">
        <v>566</v>
      </c>
      <c r="K646" s="837"/>
      <c r="L646" s="16"/>
      <c r="M646" s="16"/>
      <c r="N646" s="238"/>
      <c r="O646" s="18">
        <f>SUM(O647:O650)</f>
        <v>17.206331930000001</v>
      </c>
    </row>
    <row r="647" spans="1:15" ht="25.15" customHeight="1">
      <c r="A647" s="51"/>
      <c r="B647" s="849" t="s">
        <v>73</v>
      </c>
      <c r="C647" s="849"/>
      <c r="D647" s="52" t="s">
        <v>51</v>
      </c>
      <c r="E647" s="86">
        <v>3.6770999999999998E-2</v>
      </c>
      <c r="F647" s="260">
        <f>SUMIF('Cjenik VSO'!$B$9:$B$85,$B647,'Cjenik VSO'!$C$9:$C$85)</f>
        <v>291.72000000000003</v>
      </c>
      <c r="G647" s="54">
        <f>E647*F647</f>
        <v>10.72683612</v>
      </c>
      <c r="I647" s="51"/>
      <c r="J647" s="849" t="s">
        <v>73</v>
      </c>
      <c r="K647" s="849"/>
      <c r="L647" s="52" t="s">
        <v>51</v>
      </c>
      <c r="M647" s="86">
        <v>3.6770999999999998E-2</v>
      </c>
      <c r="N647" s="260">
        <f>SUMIF('Cjenik VSO'!$B$9:$B$85,$B647,'Cjenik VSO'!$C$9:$C$85)</f>
        <v>291.72000000000003</v>
      </c>
      <c r="O647" s="54">
        <f>M647*N647</f>
        <v>10.72683612</v>
      </c>
    </row>
    <row r="648" spans="1:15" ht="25.15" customHeight="1">
      <c r="A648" s="56"/>
      <c r="B648" s="839" t="s">
        <v>97</v>
      </c>
      <c r="C648" s="839"/>
      <c r="D648" s="57" t="s">
        <v>51</v>
      </c>
      <c r="E648" s="92">
        <v>1.4713E-2</v>
      </c>
      <c r="F648" s="263">
        <f>SUMIF('Cjenik VSO'!$B$9:$B$85,$B648,'Cjenik VSO'!$C$9:$C$85)</f>
        <v>279.37</v>
      </c>
      <c r="G648" s="59">
        <f>E648*F648</f>
        <v>4.11037081</v>
      </c>
      <c r="I648" s="56"/>
      <c r="J648" s="839" t="s">
        <v>97</v>
      </c>
      <c r="K648" s="839"/>
      <c r="L648" s="57" t="s">
        <v>51</v>
      </c>
      <c r="M648" s="92">
        <v>1.4713E-2</v>
      </c>
      <c r="N648" s="263">
        <f>SUMIF('Cjenik VSO'!$B$9:$B$85,$B648,'Cjenik VSO'!$C$9:$C$85)</f>
        <v>279.37</v>
      </c>
      <c r="O648" s="59">
        <f>M648*N648</f>
        <v>4.11037081</v>
      </c>
    </row>
    <row r="649" spans="1:15" ht="25.15" customHeight="1">
      <c r="A649" s="56"/>
      <c r="B649" s="839" t="s">
        <v>71</v>
      </c>
      <c r="C649" s="839"/>
      <c r="D649" s="57" t="s">
        <v>51</v>
      </c>
      <c r="E649" s="92">
        <v>1.2500000000000001E-2</v>
      </c>
      <c r="F649" s="263">
        <f>SUMIF('Cjenik VSO'!$B$9:$B$85,$B649,'Cjenik VSO'!$C$9:$C$85)</f>
        <v>102.17</v>
      </c>
      <c r="G649" s="59">
        <f>E649*F649</f>
        <v>1.2771250000000001</v>
      </c>
      <c r="I649" s="56"/>
      <c r="J649" s="839" t="s">
        <v>71</v>
      </c>
      <c r="K649" s="839"/>
      <c r="L649" s="57" t="s">
        <v>51</v>
      </c>
      <c r="M649" s="92">
        <v>1.2500000000000001E-2</v>
      </c>
      <c r="N649" s="263">
        <f>SUMIF('Cjenik VSO'!$B$9:$B$85,$B649,'Cjenik VSO'!$C$9:$C$85)</f>
        <v>102.17</v>
      </c>
      <c r="O649" s="59">
        <f>M649*N649</f>
        <v>1.2771250000000001</v>
      </c>
    </row>
    <row r="650" spans="1:15" ht="25.15" customHeight="1">
      <c r="A650" s="56"/>
      <c r="B650" s="839" t="s">
        <v>200</v>
      </c>
      <c r="C650" s="839"/>
      <c r="D650" s="57" t="s">
        <v>51</v>
      </c>
      <c r="E650" s="92">
        <v>0.05</v>
      </c>
      <c r="F650" s="263">
        <f>SUMIF('Cjenik VSO'!$B$9:$B$85,$B650,'Cjenik VSO'!$C$9:$C$85)</f>
        <v>21.84</v>
      </c>
      <c r="G650" s="59">
        <f>E650*F650</f>
        <v>1.0920000000000001</v>
      </c>
      <c r="I650" s="56"/>
      <c r="J650" s="839" t="s">
        <v>200</v>
      </c>
      <c r="K650" s="839"/>
      <c r="L650" s="57" t="s">
        <v>51</v>
      </c>
      <c r="M650" s="92">
        <v>0.05</v>
      </c>
      <c r="N650" s="263">
        <f>SUMIF('Cjenik VSO'!$B$9:$B$85,$B650,'Cjenik VSO'!$C$9:$C$85)</f>
        <v>21.84</v>
      </c>
      <c r="O650" s="59">
        <f>M650*N650</f>
        <v>1.0920000000000001</v>
      </c>
    </row>
    <row r="651" spans="1:15" ht="25.15" customHeight="1">
      <c r="A651" s="16"/>
      <c r="B651" s="837" t="s">
        <v>630</v>
      </c>
      <c r="C651" s="837"/>
      <c r="D651" s="16"/>
      <c r="E651" s="16"/>
      <c r="F651" s="238"/>
      <c r="G651" s="18" t="e">
        <f>SUM(G652:G656)</f>
        <v>#VALUE!</v>
      </c>
      <c r="I651" s="16"/>
      <c r="J651" s="837" t="s">
        <v>630</v>
      </c>
      <c r="K651" s="837"/>
      <c r="L651" s="16"/>
      <c r="M651" s="16"/>
      <c r="N651" s="238"/>
      <c r="O651" s="18" t="e">
        <f>SUM(O652:O656)</f>
        <v>#VALUE!</v>
      </c>
    </row>
    <row r="652" spans="1:15" ht="25.15" customHeight="1">
      <c r="A652" s="51"/>
      <c r="B652" s="863" t="str">
        <f>'Cjenik M'!$B$27</f>
        <v>____________</v>
      </c>
      <c r="C652" s="863"/>
      <c r="D652" s="52">
        <f>'Cjenik M'!$C$27</f>
        <v>0</v>
      </c>
      <c r="E652" s="53">
        <v>6.25E-2</v>
      </c>
      <c r="F652" s="260" t="str">
        <f>'Cjenik M'!$D$27</f>
        <v>___________</v>
      </c>
      <c r="G652" s="55" t="e">
        <f>E652*F652</f>
        <v>#VALUE!</v>
      </c>
      <c r="I652" s="51"/>
      <c r="J652" s="863" t="str">
        <f>'Cjenik M'!$B$27</f>
        <v>____________</v>
      </c>
      <c r="K652" s="863"/>
      <c r="L652" s="52">
        <f>'Cjenik M'!$C$27</f>
        <v>0</v>
      </c>
      <c r="M652" s="53">
        <v>6.25E-2</v>
      </c>
      <c r="N652" s="260" t="str">
        <f>'Cjenik M'!$D$27</f>
        <v>___________</v>
      </c>
      <c r="O652" s="55" t="e">
        <f>M652*N652</f>
        <v>#VALUE!</v>
      </c>
    </row>
    <row r="653" spans="1:15" ht="25.15" customHeight="1">
      <c r="A653" s="56"/>
      <c r="B653" s="834">
        <f>'Cjenik M'!$B$31</f>
        <v>0</v>
      </c>
      <c r="C653" s="834"/>
      <c r="D653" s="57">
        <f>'Cjenik M'!$C$31</f>
        <v>0</v>
      </c>
      <c r="E653" s="58">
        <v>3.4000000000000002E-2</v>
      </c>
      <c r="F653" s="263">
        <f>'Cjenik M'!$D$31</f>
        <v>0</v>
      </c>
      <c r="G653" s="60">
        <f>E653*F653</f>
        <v>0</v>
      </c>
      <c r="I653" s="56"/>
      <c r="J653" s="834">
        <f>'Cjenik M'!$B$31</f>
        <v>0</v>
      </c>
      <c r="K653" s="834"/>
      <c r="L653" s="57">
        <f>'Cjenik M'!$C$31</f>
        <v>0</v>
      </c>
      <c r="M653" s="58">
        <v>3.4000000000000002E-2</v>
      </c>
      <c r="N653" s="263">
        <f>'Cjenik M'!$D$31</f>
        <v>0</v>
      </c>
      <c r="O653" s="60">
        <f>M653*N653</f>
        <v>0</v>
      </c>
    </row>
    <row r="654" spans="1:15" ht="25.15" customHeight="1">
      <c r="A654" s="84"/>
      <c r="B654" s="873">
        <f>'Cjenik M'!$B$105</f>
        <v>0</v>
      </c>
      <c r="C654" s="873"/>
      <c r="D654" s="78">
        <f>'Cjenik M'!$C$105</f>
        <v>0</v>
      </c>
      <c r="E654" s="85">
        <v>0.2</v>
      </c>
      <c r="F654" s="265">
        <f>'Cjenik M'!$D$105</f>
        <v>0</v>
      </c>
      <c r="G654" s="80">
        <f>E654*F654</f>
        <v>0</v>
      </c>
      <c r="I654" s="84"/>
      <c r="J654" s="873">
        <f>'Cjenik M'!$B$105</f>
        <v>0</v>
      </c>
      <c r="K654" s="873"/>
      <c r="L654" s="78">
        <f>'Cjenik M'!$C$105</f>
        <v>0</v>
      </c>
      <c r="M654" s="85">
        <v>0.2</v>
      </c>
      <c r="N654" s="265">
        <f>'Cjenik M'!$D$105</f>
        <v>0</v>
      </c>
      <c r="O654" s="80">
        <f>M654*N654</f>
        <v>0</v>
      </c>
    </row>
    <row r="655" spans="1:15" ht="25.15" customHeight="1">
      <c r="A655" s="84"/>
      <c r="B655" s="873">
        <f>'Cjenik M'!$B$110</f>
        <v>0</v>
      </c>
      <c r="C655" s="873"/>
      <c r="D655" s="78">
        <f>'Cjenik M'!$C$110</f>
        <v>0</v>
      </c>
      <c r="E655" s="85">
        <v>1</v>
      </c>
      <c r="F655" s="265">
        <f>'Cjenik M'!$D$110</f>
        <v>0</v>
      </c>
      <c r="G655" s="80">
        <f>E655*F655</f>
        <v>0</v>
      </c>
      <c r="I655" s="84"/>
      <c r="J655" s="873">
        <f>'Cjenik M'!$B$110</f>
        <v>0</v>
      </c>
      <c r="K655" s="873"/>
      <c r="L655" s="78">
        <f>'Cjenik M'!$C$110</f>
        <v>0</v>
      </c>
      <c r="M655" s="85">
        <v>1</v>
      </c>
      <c r="N655" s="265">
        <f>'Cjenik M'!$D$110</f>
        <v>0</v>
      </c>
      <c r="O655" s="80">
        <f>M655*N655</f>
        <v>0</v>
      </c>
    </row>
    <row r="656" spans="1:15" ht="25.15" customHeight="1" thickBot="1">
      <c r="A656" s="66"/>
      <c r="B656" s="859">
        <f>'Cjenik M'!$B$30</f>
        <v>0</v>
      </c>
      <c r="C656" s="859"/>
      <c r="D656" s="67">
        <f>'Cjenik M'!$C$30</f>
        <v>0</v>
      </c>
      <c r="E656" s="68">
        <v>1.05</v>
      </c>
      <c r="F656" s="262">
        <f>'Cjenik M'!$D$30</f>
        <v>0</v>
      </c>
      <c r="G656" s="70">
        <f>E656*F656</f>
        <v>0</v>
      </c>
      <c r="I656" s="66"/>
      <c r="J656" s="859">
        <f>'Cjenik M'!$B$30</f>
        <v>0</v>
      </c>
      <c r="K656" s="859"/>
      <c r="L656" s="67">
        <f>'Cjenik M'!$C$30</f>
        <v>0</v>
      </c>
      <c r="M656" s="68">
        <v>1.05</v>
      </c>
      <c r="N656" s="262">
        <f>'Cjenik M'!$D$30</f>
        <v>0</v>
      </c>
      <c r="O656" s="70">
        <f>M656*N656</f>
        <v>0</v>
      </c>
    </row>
    <row r="657" spans="1:15" ht="25.15" customHeight="1" thickTop="1" thickBot="1">
      <c r="E657" s="868" t="str">
        <f>'Obrazac kalkulacije'!$E$18</f>
        <v>Ukupno (kn):</v>
      </c>
      <c r="F657" s="868"/>
      <c r="G657" s="71" t="e">
        <f>ROUND(SUM(G644+G646+G651),2)</f>
        <v>#VALUE!</v>
      </c>
      <c r="H657" s="269" t="e">
        <f>SUMIF(#REF!,$B640,#REF!)</f>
        <v>#REF!</v>
      </c>
      <c r="M657" s="868" t="str">
        <f>'Obrazac kalkulacije'!$E$18</f>
        <v>Ukupno (kn):</v>
      </c>
      <c r="N657" s="868"/>
      <c r="O657" s="71" t="e">
        <f>ROUND(SUM(O644+O646+O651),2)</f>
        <v>#VALUE!</v>
      </c>
    </row>
    <row r="658" spans="1:15" ht="25.15" customHeight="1" thickTop="1" thickBot="1">
      <c r="E658" s="27" t="str">
        <f>'Obrazac kalkulacije'!$E$19</f>
        <v>PDV:</v>
      </c>
      <c r="F658" s="259">
        <f>'Obrazac kalkulacije'!$F$19</f>
        <v>0.25</v>
      </c>
      <c r="G658" s="29" t="e">
        <f>G657*F658</f>
        <v>#VALUE!</v>
      </c>
      <c r="H658" s="270" t="e">
        <f>H657-G657</f>
        <v>#REF!</v>
      </c>
      <c r="M658" s="27" t="str">
        <f>'Obrazac kalkulacije'!$E$19</f>
        <v>PDV:</v>
      </c>
      <c r="N658" s="259">
        <f>'Obrazac kalkulacije'!$F$19</f>
        <v>0.25</v>
      </c>
      <c r="O658" s="29" t="e">
        <f>O657*N658</f>
        <v>#VALUE!</v>
      </c>
    </row>
    <row r="659" spans="1:15" ht="25.15" customHeight="1" thickTop="1" thickBot="1">
      <c r="E659" s="840" t="str">
        <f>'Obrazac kalkulacije'!$E$20</f>
        <v>Sveukupno (kn):</v>
      </c>
      <c r="F659" s="840"/>
      <c r="G659" s="29" t="e">
        <f>ROUND(SUM(G657:G658),2)</f>
        <v>#VALUE!</v>
      </c>
      <c r="H659" s="271" t="e">
        <f>G647+H658</f>
        <v>#REF!</v>
      </c>
      <c r="M659" s="840" t="str">
        <f>'Obrazac kalkulacije'!$E$20</f>
        <v>Sveukupno (kn):</v>
      </c>
      <c r="N659" s="840"/>
      <c r="O659" s="29" t="e">
        <f>ROUND(SUM(O657:O658),2)</f>
        <v>#VALUE!</v>
      </c>
    </row>
    <row r="660" spans="1:15" ht="15" customHeight="1" thickTop="1"/>
    <row r="661" spans="1:15" ht="15" customHeight="1"/>
    <row r="662" spans="1:15" ht="15" customHeight="1"/>
    <row r="663" spans="1:15" ht="15" customHeight="1">
      <c r="C663" s="3" t="str">
        <f>'Obrazac kalkulacije'!$C$24</f>
        <v>IZVODITELJ:</v>
      </c>
      <c r="F663" s="841" t="str">
        <f>'Obrazac kalkulacije'!$F$24</f>
        <v>NARUČITELJ:</v>
      </c>
      <c r="G663" s="841"/>
      <c r="K663" s="3" t="str">
        <f>'Obrazac kalkulacije'!$C$24</f>
        <v>IZVODITELJ:</v>
      </c>
      <c r="N663" s="841" t="str">
        <f>'Obrazac kalkulacije'!$F$24</f>
        <v>NARUČITELJ:</v>
      </c>
      <c r="O663" s="841"/>
    </row>
    <row r="664" spans="1:15" ht="25.15" customHeight="1">
      <c r="C664" s="3" t="str">
        <f>'Obrazac kalkulacije'!$C$25</f>
        <v>__________________</v>
      </c>
      <c r="F664" s="841" t="str">
        <f>'Obrazac kalkulacije'!$F$25</f>
        <v>___________________</v>
      </c>
      <c r="G664" s="841"/>
      <c r="K664" s="3" t="str">
        <f>'Obrazac kalkulacije'!$C$25</f>
        <v>__________________</v>
      </c>
      <c r="N664" s="841" t="str">
        <f>'Obrazac kalkulacije'!$F$25</f>
        <v>___________________</v>
      </c>
      <c r="O664" s="841"/>
    </row>
    <row r="665" spans="1:15" ht="15" customHeight="1">
      <c r="F665" s="841"/>
      <c r="G665" s="841"/>
      <c r="N665" s="841"/>
      <c r="O665" s="841"/>
    </row>
    <row r="666" spans="1:15" ht="15" customHeight="1"/>
    <row r="667" spans="1:15" ht="15" customHeight="1">
      <c r="A667" s="144"/>
      <c r="B667" s="145" t="s">
        <v>615</v>
      </c>
      <c r="C667" s="836" t="s">
        <v>616</v>
      </c>
      <c r="D667" s="836"/>
      <c r="E667" s="836"/>
      <c r="F667" s="836"/>
      <c r="G667" s="836"/>
      <c r="I667" s="144"/>
      <c r="J667" s="145" t="s">
        <v>615</v>
      </c>
      <c r="K667" s="836" t="s">
        <v>616</v>
      </c>
      <c r="L667" s="836"/>
      <c r="M667" s="836"/>
      <c r="N667" s="836"/>
      <c r="O667" s="836"/>
    </row>
    <row r="668" spans="1:15" ht="15" customHeight="1">
      <c r="A668" s="38"/>
      <c r="B668" s="39" t="s">
        <v>701</v>
      </c>
      <c r="C668" s="860" t="s">
        <v>702</v>
      </c>
      <c r="D668" s="860"/>
      <c r="E668" s="860"/>
      <c r="F668" s="860"/>
      <c r="G668" s="860"/>
      <c r="I668" s="38"/>
      <c r="J668" s="39" t="s">
        <v>701</v>
      </c>
      <c r="K668" s="860" t="s">
        <v>702</v>
      </c>
      <c r="L668" s="860"/>
      <c r="M668" s="860"/>
      <c r="N668" s="860"/>
      <c r="O668" s="860"/>
    </row>
    <row r="669" spans="1:15" ht="150" customHeight="1">
      <c r="A669" s="40"/>
      <c r="B669" s="556" t="s">
        <v>712</v>
      </c>
      <c r="C669" s="852" t="s">
        <v>713</v>
      </c>
      <c r="D669" s="852"/>
      <c r="E669" s="852"/>
      <c r="F669" s="852"/>
      <c r="G669" s="852"/>
      <c r="I669" s="40"/>
      <c r="J669" s="41" t="s">
        <v>712</v>
      </c>
      <c r="K669" s="869" t="s">
        <v>714</v>
      </c>
      <c r="L669" s="869"/>
      <c r="M669" s="869"/>
      <c r="N669" s="869"/>
      <c r="O669" s="869"/>
    </row>
    <row r="670" spans="1:15" ht="15" customHeight="1" thickBot="1"/>
    <row r="671" spans="1:15" ht="30" customHeight="1" thickTop="1" thickBot="1">
      <c r="A671" s="10"/>
      <c r="B671" s="99">
        <v>0</v>
      </c>
      <c r="C671" s="100" t="s">
        <v>624</v>
      </c>
      <c r="D671" s="10" t="s">
        <v>625</v>
      </c>
      <c r="E671" s="10" t="s">
        <v>626</v>
      </c>
      <c r="F671" s="10" t="s">
        <v>627</v>
      </c>
      <c r="G671" s="10" t="s">
        <v>628</v>
      </c>
      <c r="I671" s="10"/>
      <c r="J671" s="99">
        <v>0</v>
      </c>
      <c r="K671" s="100" t="s">
        <v>624</v>
      </c>
      <c r="L671" s="10" t="s">
        <v>625</v>
      </c>
      <c r="M671" s="10" t="s">
        <v>626</v>
      </c>
      <c r="N671" s="10" t="s">
        <v>627</v>
      </c>
      <c r="O671" s="10" t="s">
        <v>628</v>
      </c>
    </row>
    <row r="672" spans="1:15" ht="4.5" customHeight="1" thickTop="1">
      <c r="B672" s="42"/>
      <c r="C672" s="1"/>
      <c r="D672" s="11"/>
      <c r="E672" s="13"/>
      <c r="F672" s="258"/>
      <c r="G672" s="15"/>
      <c r="J672" s="42"/>
      <c r="K672" s="1"/>
      <c r="L672" s="11"/>
      <c r="M672" s="13"/>
      <c r="N672" s="258"/>
      <c r="O672" s="15"/>
    </row>
    <row r="673" spans="1:15" ht="25.15" customHeight="1">
      <c r="A673" s="16"/>
      <c r="B673" s="837" t="s">
        <v>565</v>
      </c>
      <c r="C673" s="837"/>
      <c r="D673" s="16"/>
      <c r="E673" s="16"/>
      <c r="F673" s="44"/>
      <c r="G673" s="18">
        <f>SUM(G674:G674)</f>
        <v>458.71742287572459</v>
      </c>
      <c r="I673" s="16"/>
      <c r="J673" s="837" t="s">
        <v>565</v>
      </c>
      <c r="K673" s="837"/>
      <c r="L673" s="16"/>
      <c r="M673" s="16"/>
      <c r="N673" s="44"/>
      <c r="O673" s="18">
        <f>SUM(O674:O674)</f>
        <v>458.70370000000003</v>
      </c>
    </row>
    <row r="674" spans="1:15" ht="25.15" customHeight="1">
      <c r="A674" s="32"/>
      <c r="B674" s="838" t="s">
        <v>53</v>
      </c>
      <c r="C674" s="838"/>
      <c r="D674" s="33" t="s">
        <v>51</v>
      </c>
      <c r="E674" s="34">
        <v>4.6551392619821854</v>
      </c>
      <c r="F674" s="238">
        <f>SUMIF('Cjenik RS'!$C$11:$C$26,$B674,'Cjenik RS'!$D$11:$D$90)</f>
        <v>98.54</v>
      </c>
      <c r="G674" s="35">
        <f>E674*F674</f>
        <v>458.71742287572459</v>
      </c>
      <c r="I674" s="32"/>
      <c r="J674" s="838" t="s">
        <v>53</v>
      </c>
      <c r="K674" s="838"/>
      <c r="L674" s="33" t="s">
        <v>51</v>
      </c>
      <c r="M674" s="34">
        <v>4.6550000000000002</v>
      </c>
      <c r="N674" s="238">
        <f>SUMIF('Cjenik RS'!$C$11:$C$26,J674,'Cjenik RS'!$D$11:$D$90)</f>
        <v>98.54</v>
      </c>
      <c r="O674" s="35">
        <f>M674*N674</f>
        <v>458.70370000000003</v>
      </c>
    </row>
    <row r="675" spans="1:15" ht="25.15" customHeight="1">
      <c r="A675" s="16"/>
      <c r="B675" s="837" t="s">
        <v>630</v>
      </c>
      <c r="C675" s="837"/>
      <c r="D675" s="16"/>
      <c r="E675" s="16"/>
      <c r="F675" s="238"/>
      <c r="G675" s="18" t="e">
        <f>SUM(G676:G678)</f>
        <v>#VALUE!</v>
      </c>
      <c r="I675" s="16"/>
      <c r="J675" s="837" t="s">
        <v>630</v>
      </c>
      <c r="K675" s="837"/>
      <c r="L675" s="16"/>
      <c r="M675" s="16"/>
      <c r="N675" s="238"/>
      <c r="O675" s="18" t="e">
        <f>SUM(O676:O678)</f>
        <v>#VALUE!</v>
      </c>
    </row>
    <row r="676" spans="1:15" ht="25.15" customHeight="1">
      <c r="A676" s="51"/>
      <c r="B676" s="863" t="str">
        <f>'Cjenik M'!$B$27</f>
        <v>____________</v>
      </c>
      <c r="C676" s="863"/>
      <c r="D676" s="52">
        <f>'Cjenik M'!$C$27</f>
        <v>0</v>
      </c>
      <c r="E676" s="53">
        <v>6.25E-2</v>
      </c>
      <c r="F676" s="260" t="str">
        <f>'Cjenik M'!$D$27</f>
        <v>___________</v>
      </c>
      <c r="G676" s="55" t="e">
        <f>E676*F676</f>
        <v>#VALUE!</v>
      </c>
      <c r="I676" s="51"/>
      <c r="J676" s="863" t="str">
        <f>'Cjenik M'!$B$27</f>
        <v>____________</v>
      </c>
      <c r="K676" s="863"/>
      <c r="L676" s="52">
        <f>'Cjenik M'!$C$27</f>
        <v>0</v>
      </c>
      <c r="M676" s="53">
        <v>6.25E-2</v>
      </c>
      <c r="N676" s="260" t="str">
        <f>'Cjenik M'!$D$27</f>
        <v>___________</v>
      </c>
      <c r="O676" s="55" t="e">
        <f>M676*N676</f>
        <v>#VALUE!</v>
      </c>
    </row>
    <row r="677" spans="1:15" ht="25.15" customHeight="1">
      <c r="A677" s="84"/>
      <c r="B677" s="873">
        <f>'Cjenik M'!$B$110</f>
        <v>0</v>
      </c>
      <c r="C677" s="873"/>
      <c r="D677" s="78">
        <f>'Cjenik M'!$C$110</f>
        <v>0</v>
      </c>
      <c r="E677" s="85">
        <v>1</v>
      </c>
      <c r="F677" s="265">
        <f>'Cjenik M'!$D$110</f>
        <v>0</v>
      </c>
      <c r="G677" s="80">
        <f>E677*F677</f>
        <v>0</v>
      </c>
      <c r="I677" s="84"/>
      <c r="J677" s="873">
        <f>'Cjenik M'!$B$110</f>
        <v>0</v>
      </c>
      <c r="K677" s="873"/>
      <c r="L677" s="78">
        <f>'Cjenik M'!$C$110</f>
        <v>0</v>
      </c>
      <c r="M677" s="85">
        <v>1</v>
      </c>
      <c r="N677" s="265">
        <f>'Cjenik M'!$D$110</f>
        <v>0</v>
      </c>
      <c r="O677" s="80">
        <f>M677*N677</f>
        <v>0</v>
      </c>
    </row>
    <row r="678" spans="1:15" ht="25.15" customHeight="1" thickBot="1">
      <c r="A678" s="66"/>
      <c r="B678" s="859">
        <f>'Cjenik M'!$B$30</f>
        <v>0</v>
      </c>
      <c r="C678" s="859"/>
      <c r="D678" s="67">
        <f>'Cjenik M'!$C$30</f>
        <v>0</v>
      </c>
      <c r="E678" s="68">
        <v>1.05</v>
      </c>
      <c r="F678" s="262">
        <f>'Cjenik M'!$D$30</f>
        <v>0</v>
      </c>
      <c r="G678" s="70">
        <f>E678*F678</f>
        <v>0</v>
      </c>
      <c r="I678" s="66"/>
      <c r="J678" s="859">
        <f>'Cjenik M'!$B$30</f>
        <v>0</v>
      </c>
      <c r="K678" s="859"/>
      <c r="L678" s="67">
        <f>'Cjenik M'!$C$30</f>
        <v>0</v>
      </c>
      <c r="M678" s="68">
        <v>1.05</v>
      </c>
      <c r="N678" s="262">
        <f>'Cjenik M'!$D$30</f>
        <v>0</v>
      </c>
      <c r="O678" s="70">
        <f>M678*N678</f>
        <v>0</v>
      </c>
    </row>
    <row r="679" spans="1:15" ht="25.15" customHeight="1" thickTop="1" thickBot="1">
      <c r="B679" s="47"/>
      <c r="C679" s="24"/>
      <c r="D679" s="25"/>
      <c r="E679" s="850" t="str">
        <f>'Obrazac kalkulacije'!$E$18</f>
        <v>Ukupno (kn):</v>
      </c>
      <c r="F679" s="850"/>
      <c r="G679" s="26" t="e">
        <f>ROUND(SUM(G673+G675),2)</f>
        <v>#VALUE!</v>
      </c>
      <c r="H679" s="269" t="e">
        <f>SUMIF(#REF!,$B669,#REF!)</f>
        <v>#REF!</v>
      </c>
      <c r="J679" s="47"/>
      <c r="K679" s="24"/>
      <c r="L679" s="25"/>
      <c r="M679" s="850" t="str">
        <f>'Obrazac kalkulacije'!$E$18</f>
        <v>Ukupno (kn):</v>
      </c>
      <c r="N679" s="850"/>
      <c r="O679" s="26" t="e">
        <f>ROUND(SUM(O673+O675),2)</f>
        <v>#VALUE!</v>
      </c>
    </row>
    <row r="680" spans="1:15" ht="25.15" customHeight="1" thickTop="1" thickBot="1">
      <c r="E680" s="27" t="str">
        <f>'Obrazac kalkulacije'!$E$19</f>
        <v>PDV:</v>
      </c>
      <c r="F680" s="259">
        <f>'Obrazac kalkulacije'!$F$19</f>
        <v>0.25</v>
      </c>
      <c r="G680" s="29" t="e">
        <f>G679*F680</f>
        <v>#VALUE!</v>
      </c>
      <c r="H680" s="270" t="e">
        <f>H679-G679</f>
        <v>#REF!</v>
      </c>
      <c r="M680" s="27" t="str">
        <f>'Obrazac kalkulacije'!$E$19</f>
        <v>PDV:</v>
      </c>
      <c r="N680" s="259">
        <f>'Obrazac kalkulacije'!$F$19</f>
        <v>0.25</v>
      </c>
      <c r="O680" s="29" t="e">
        <f>O679*N680</f>
        <v>#VALUE!</v>
      </c>
    </row>
    <row r="681" spans="1:15" ht="25.15" customHeight="1" thickTop="1" thickBot="1">
      <c r="E681" s="840" t="str">
        <f>'Obrazac kalkulacije'!$E$20</f>
        <v>Sveukupno (kn):</v>
      </c>
      <c r="F681" s="840"/>
      <c r="G681" s="29" t="e">
        <f>ROUND(SUM(G679:G680),2)</f>
        <v>#VALUE!</v>
      </c>
      <c r="H681" s="271" t="e">
        <f>G674+H680</f>
        <v>#REF!</v>
      </c>
      <c r="M681" s="840" t="str">
        <f>'Obrazac kalkulacije'!$E$20</f>
        <v>Sveukupno (kn):</v>
      </c>
      <c r="N681" s="840"/>
      <c r="O681" s="29" t="e">
        <f>ROUND(SUM(O679:O680),2)</f>
        <v>#VALUE!</v>
      </c>
    </row>
    <row r="682" spans="1:15" ht="15" customHeight="1" thickTop="1"/>
    <row r="683" spans="1:15" ht="15" customHeight="1"/>
    <row r="684" spans="1:15" ht="15" customHeight="1"/>
    <row r="685" spans="1:15" ht="15" customHeight="1">
      <c r="C685" s="3" t="str">
        <f>'Obrazac kalkulacije'!$C$24</f>
        <v>IZVODITELJ:</v>
      </c>
      <c r="F685" s="841" t="str">
        <f>'Obrazac kalkulacije'!$F$24</f>
        <v>NARUČITELJ:</v>
      </c>
      <c r="G685" s="841"/>
      <c r="K685" s="3" t="str">
        <f>'Obrazac kalkulacije'!$C$24</f>
        <v>IZVODITELJ:</v>
      </c>
      <c r="N685" s="841" t="str">
        <f>'Obrazac kalkulacije'!$F$24</f>
        <v>NARUČITELJ:</v>
      </c>
      <c r="O685" s="841"/>
    </row>
    <row r="686" spans="1:15" ht="25.15" customHeight="1">
      <c r="C686" s="3" t="str">
        <f>'Obrazac kalkulacije'!$C$25</f>
        <v>__________________</v>
      </c>
      <c r="F686" s="841" t="str">
        <f>'Obrazac kalkulacije'!$F$25</f>
        <v>___________________</v>
      </c>
      <c r="G686" s="841"/>
      <c r="K686" s="3" t="str">
        <f>'Obrazac kalkulacije'!$C$25</f>
        <v>__________________</v>
      </c>
      <c r="N686" s="841" t="str">
        <f>'Obrazac kalkulacije'!$F$25</f>
        <v>___________________</v>
      </c>
      <c r="O686" s="841"/>
    </row>
    <row r="687" spans="1:15" ht="15" customHeight="1">
      <c r="F687" s="841"/>
      <c r="G687" s="841"/>
      <c r="N687" s="841"/>
      <c r="O687" s="841"/>
    </row>
    <row r="688" spans="1:15" ht="15" customHeight="1"/>
    <row r="689" spans="1:15" ht="15" customHeight="1">
      <c r="A689" s="144"/>
      <c r="B689" s="145" t="s">
        <v>615</v>
      </c>
      <c r="C689" s="836" t="s">
        <v>616</v>
      </c>
      <c r="D689" s="836"/>
      <c r="E689" s="836"/>
      <c r="F689" s="836"/>
      <c r="G689" s="836"/>
      <c r="I689" s="144"/>
      <c r="J689" s="145" t="s">
        <v>615</v>
      </c>
      <c r="K689" s="836" t="s">
        <v>616</v>
      </c>
      <c r="L689" s="836"/>
      <c r="M689" s="836"/>
      <c r="N689" s="836"/>
      <c r="O689" s="836"/>
    </row>
    <row r="690" spans="1:15" ht="15" customHeight="1">
      <c r="A690" s="38"/>
      <c r="B690" s="39" t="s">
        <v>701</v>
      </c>
      <c r="C690" s="860" t="s">
        <v>702</v>
      </c>
      <c r="D690" s="860"/>
      <c r="E690" s="860"/>
      <c r="F690" s="860"/>
      <c r="G690" s="860"/>
      <c r="I690" s="38"/>
      <c r="J690" s="39" t="s">
        <v>701</v>
      </c>
      <c r="K690" s="860" t="s">
        <v>702</v>
      </c>
      <c r="L690" s="860"/>
      <c r="M690" s="860"/>
      <c r="N690" s="860"/>
      <c r="O690" s="860"/>
    </row>
    <row r="691" spans="1:15" ht="150" customHeight="1">
      <c r="A691" s="40"/>
      <c r="B691" s="556" t="s">
        <v>715</v>
      </c>
      <c r="C691" s="852" t="s">
        <v>716</v>
      </c>
      <c r="D691" s="852"/>
      <c r="E691" s="852"/>
      <c r="F691" s="852"/>
      <c r="G691" s="852"/>
      <c r="I691" s="40"/>
      <c r="J691" s="41" t="s">
        <v>715</v>
      </c>
      <c r="K691" s="869" t="s">
        <v>717</v>
      </c>
      <c r="L691" s="869"/>
      <c r="M691" s="869"/>
      <c r="N691" s="869"/>
      <c r="O691" s="869"/>
    </row>
    <row r="692" spans="1:15" ht="15" customHeight="1" thickBot="1"/>
    <row r="693" spans="1:15" ht="30" customHeight="1" thickTop="1" thickBot="1">
      <c r="A693" s="10"/>
      <c r="B693" s="99">
        <v>0</v>
      </c>
      <c r="C693" s="100" t="s">
        <v>624</v>
      </c>
      <c r="D693" s="10" t="s">
        <v>625</v>
      </c>
      <c r="E693" s="10" t="s">
        <v>626</v>
      </c>
      <c r="F693" s="10" t="s">
        <v>627</v>
      </c>
      <c r="G693" s="10" t="s">
        <v>628</v>
      </c>
      <c r="I693" s="10"/>
      <c r="J693" s="99">
        <v>0</v>
      </c>
      <c r="K693" s="100" t="s">
        <v>624</v>
      </c>
      <c r="L693" s="10" t="s">
        <v>625</v>
      </c>
      <c r="M693" s="10" t="s">
        <v>626</v>
      </c>
      <c r="N693" s="10" t="s">
        <v>627</v>
      </c>
      <c r="O693" s="10" t="s">
        <v>628</v>
      </c>
    </row>
    <row r="694" spans="1:15" ht="4.5" customHeight="1" thickTop="1">
      <c r="B694" s="42"/>
      <c r="C694" s="1"/>
      <c r="D694" s="11"/>
      <c r="E694" s="13"/>
      <c r="F694" s="258"/>
      <c r="G694" s="15"/>
      <c r="J694" s="42"/>
      <c r="K694" s="1"/>
      <c r="L694" s="11"/>
      <c r="M694" s="13"/>
      <c r="N694" s="258"/>
      <c r="O694" s="15"/>
    </row>
    <row r="695" spans="1:15" ht="25.15" customHeight="1">
      <c r="A695" s="16"/>
      <c r="B695" s="837" t="s">
        <v>565</v>
      </c>
      <c r="C695" s="837"/>
      <c r="D695" s="16"/>
      <c r="E695" s="16"/>
      <c r="F695" s="44"/>
      <c r="G695" s="18">
        <f>SUM(G696:G696)</f>
        <v>76.696933820000012</v>
      </c>
      <c r="I695" s="16"/>
      <c r="J695" s="837" t="s">
        <v>565</v>
      </c>
      <c r="K695" s="837"/>
      <c r="L695" s="16"/>
      <c r="M695" s="16"/>
      <c r="N695" s="44"/>
      <c r="O695" s="18">
        <f>SUM(O696:O696)</f>
        <v>76.696933820000012</v>
      </c>
    </row>
    <row r="696" spans="1:15" ht="25.15" customHeight="1">
      <c r="A696" s="32"/>
      <c r="B696" s="838" t="s">
        <v>53</v>
      </c>
      <c r="C696" s="838"/>
      <c r="D696" s="33" t="s">
        <v>51</v>
      </c>
      <c r="E696" s="34">
        <v>0.77833300000000005</v>
      </c>
      <c r="F696" s="238">
        <f>SUMIF('Cjenik RS'!$C$11:$C$26,$B696,'Cjenik RS'!$D$11:$D$90)</f>
        <v>98.54</v>
      </c>
      <c r="G696" s="35">
        <f>E696*F696</f>
        <v>76.696933820000012</v>
      </c>
      <c r="I696" s="32"/>
      <c r="J696" s="838" t="s">
        <v>53</v>
      </c>
      <c r="K696" s="838"/>
      <c r="L696" s="33" t="s">
        <v>51</v>
      </c>
      <c r="M696" s="34">
        <v>0.77833300000000005</v>
      </c>
      <c r="N696" s="238">
        <f>SUMIF('Cjenik RS'!$C$11:$C$26,J696,'Cjenik RS'!$D$11:$D$90)</f>
        <v>98.54</v>
      </c>
      <c r="O696" s="35">
        <f>M696*N696</f>
        <v>76.696933820000012</v>
      </c>
    </row>
    <row r="697" spans="1:15" ht="25.15" customHeight="1">
      <c r="A697" s="16"/>
      <c r="B697" s="837" t="s">
        <v>566</v>
      </c>
      <c r="C697" s="837"/>
      <c r="D697" s="16"/>
      <c r="E697" s="16"/>
      <c r="F697" s="238"/>
      <c r="G697" s="18">
        <f>SUM(G698:G702)</f>
        <v>164.17472576626824</v>
      </c>
      <c r="I697" s="16"/>
      <c r="J697" s="837" t="s">
        <v>566</v>
      </c>
      <c r="K697" s="837"/>
      <c r="L697" s="16"/>
      <c r="M697" s="16"/>
      <c r="N697" s="238"/>
      <c r="O697" s="18">
        <f>SUM(O698:O702)</f>
        <v>176.80527957000001</v>
      </c>
    </row>
    <row r="698" spans="1:15" ht="25.15" customHeight="1">
      <c r="A698" s="51"/>
      <c r="B698" s="849" t="s">
        <v>73</v>
      </c>
      <c r="C698" s="849"/>
      <c r="D698" s="52" t="s">
        <v>51</v>
      </c>
      <c r="E698" s="86">
        <v>0.26336248785228378</v>
      </c>
      <c r="F698" s="260">
        <f>SUMIF('Cjenik VSO'!$B$9:$B$85,$B698,'Cjenik VSO'!$C$9:$C$85)</f>
        <v>291.72000000000003</v>
      </c>
      <c r="G698" s="54">
        <f>E698*F698</f>
        <v>76.828104956268234</v>
      </c>
      <c r="I698" s="51"/>
      <c r="J698" s="849" t="s">
        <v>73</v>
      </c>
      <c r="K698" s="849"/>
      <c r="L698" s="52" t="s">
        <v>51</v>
      </c>
      <c r="M698" s="86">
        <v>0.27563300000000002</v>
      </c>
      <c r="N698" s="260">
        <f>SUMIF('Cjenik VSO'!$B$9:$B$85,$B698,'Cjenik VSO'!$C$9:$C$85)</f>
        <v>291.72000000000003</v>
      </c>
      <c r="O698" s="54">
        <f>M698*N698</f>
        <v>80.407658760000018</v>
      </c>
    </row>
    <row r="699" spans="1:15" ht="25.15" customHeight="1">
      <c r="A699" s="56"/>
      <c r="B699" s="839" t="s">
        <v>97</v>
      </c>
      <c r="C699" s="839"/>
      <c r="D699" s="57" t="s">
        <v>51</v>
      </c>
      <c r="E699" s="92">
        <v>1.4713E-2</v>
      </c>
      <c r="F699" s="263">
        <f>SUMIF('Cjenik VSO'!$B$9:$B$85,$B699,'Cjenik VSO'!$C$9:$C$85)</f>
        <v>279.37</v>
      </c>
      <c r="G699" s="59">
        <f>E699*F699</f>
        <v>4.11037081</v>
      </c>
      <c r="I699" s="56"/>
      <c r="J699" s="839" t="s">
        <v>97</v>
      </c>
      <c r="K699" s="839"/>
      <c r="L699" s="57" t="s">
        <v>51</v>
      </c>
      <c r="M699" s="92">
        <v>1.4713E-2</v>
      </c>
      <c r="N699" s="263">
        <f>SUMIF('Cjenik VSO'!$B$9:$B$85,$B699,'Cjenik VSO'!$C$9:$C$85)</f>
        <v>279.37</v>
      </c>
      <c r="O699" s="59">
        <f>M699*N699</f>
        <v>4.11037081</v>
      </c>
    </row>
    <row r="700" spans="1:15" ht="25.15" customHeight="1">
      <c r="A700" s="56"/>
      <c r="B700" s="839" t="s">
        <v>71</v>
      </c>
      <c r="C700" s="839"/>
      <c r="D700" s="57" t="s">
        <v>51</v>
      </c>
      <c r="E700" s="92">
        <v>2.5000000000000001E-2</v>
      </c>
      <c r="F700" s="263">
        <f>SUMIF('Cjenik VSO'!$B$9:$B$85,$B700,'Cjenik VSO'!$C$9:$C$85)</f>
        <v>102.17</v>
      </c>
      <c r="G700" s="59">
        <f>E700*F700</f>
        <v>2.5542500000000001</v>
      </c>
      <c r="I700" s="56"/>
      <c r="J700" s="839" t="s">
        <v>71</v>
      </c>
      <c r="K700" s="839"/>
      <c r="L700" s="57" t="s">
        <v>51</v>
      </c>
      <c r="M700" s="92">
        <v>2.5000000000000001E-2</v>
      </c>
      <c r="N700" s="263">
        <f>SUMIF('Cjenik VSO'!$B$9:$B$85,$B700,'Cjenik VSO'!$C$9:$C$85)</f>
        <v>102.17</v>
      </c>
      <c r="O700" s="59">
        <f>M700*N700</f>
        <v>2.5542500000000001</v>
      </c>
    </row>
    <row r="701" spans="1:15" ht="25.15" customHeight="1">
      <c r="A701" s="56"/>
      <c r="B701" s="839" t="s">
        <v>200</v>
      </c>
      <c r="C701" s="839"/>
      <c r="D701" s="57" t="s">
        <v>51</v>
      </c>
      <c r="E701" s="92">
        <v>1.2500000000000001E-2</v>
      </c>
      <c r="F701" s="263">
        <f>SUMIF('Cjenik VSO'!$B$9:$B$85,$B701,'Cjenik VSO'!$C$9:$C$85)</f>
        <v>21.84</v>
      </c>
      <c r="G701" s="59">
        <f>E701*F701</f>
        <v>0.27300000000000002</v>
      </c>
      <c r="I701" s="56"/>
      <c r="J701" s="839" t="s">
        <v>200</v>
      </c>
      <c r="K701" s="839"/>
      <c r="L701" s="57" t="s">
        <v>51</v>
      </c>
      <c r="M701" s="92">
        <v>1.2500000000000001E-2</v>
      </c>
      <c r="N701" s="263">
        <f>SUMIF('Cjenik VSO'!$B$9:$B$85,$B701,'Cjenik VSO'!$C$9:$C$85)</f>
        <v>21.84</v>
      </c>
      <c r="O701" s="59">
        <f>M701*N701</f>
        <v>0.27300000000000002</v>
      </c>
    </row>
    <row r="702" spans="1:15" ht="25.15" customHeight="1">
      <c r="A702" s="56"/>
      <c r="B702" s="839" t="s">
        <v>417</v>
      </c>
      <c r="C702" s="839"/>
      <c r="D702" s="57" t="s">
        <v>51</v>
      </c>
      <c r="E702" s="92">
        <v>0.22470657276995312</v>
      </c>
      <c r="F702" s="263">
        <f>SUMIF('Cjenik VSO'!$B$9:$B$85,$B702,'Cjenik VSO'!$C$9:$C$85)</f>
        <v>357.84</v>
      </c>
      <c r="G702" s="59">
        <f>E702*F702</f>
        <v>80.40900000000002</v>
      </c>
      <c r="I702" s="56"/>
      <c r="J702" s="839" t="s">
        <v>417</v>
      </c>
      <c r="K702" s="839"/>
      <c r="L702" s="57" t="s">
        <v>51</v>
      </c>
      <c r="M702" s="92">
        <v>0.25</v>
      </c>
      <c r="N702" s="263">
        <f>SUMIF('Cjenik VSO'!$B$9:$B$85,$B702,'Cjenik VSO'!$C$9:$C$85)</f>
        <v>357.84</v>
      </c>
      <c r="O702" s="59">
        <f>M702*N702</f>
        <v>89.46</v>
      </c>
    </row>
    <row r="703" spans="1:15" ht="25.15" customHeight="1">
      <c r="A703" s="16"/>
      <c r="B703" s="837" t="s">
        <v>630</v>
      </c>
      <c r="C703" s="837"/>
      <c r="D703" s="16"/>
      <c r="E703" s="16"/>
      <c r="F703" s="238"/>
      <c r="G703" s="18" t="e">
        <f>SUM(G704:G706)</f>
        <v>#VALUE!</v>
      </c>
      <c r="I703" s="16"/>
      <c r="J703" s="837" t="s">
        <v>630</v>
      </c>
      <c r="K703" s="837"/>
      <c r="L703" s="16"/>
      <c r="M703" s="16"/>
      <c r="N703" s="238"/>
      <c r="O703" s="18" t="e">
        <f>SUM(O704:O706)</f>
        <v>#VALUE!</v>
      </c>
    </row>
    <row r="704" spans="1:15" ht="25.15" customHeight="1">
      <c r="A704" s="51"/>
      <c r="B704" s="863" t="str">
        <f>'Cjenik M'!$B$27</f>
        <v>____________</v>
      </c>
      <c r="C704" s="863"/>
      <c r="D704" s="52">
        <f>'Cjenik M'!$C$27</f>
        <v>0</v>
      </c>
      <c r="E704" s="53">
        <v>0.125</v>
      </c>
      <c r="F704" s="260" t="str">
        <f>'Cjenik M'!$D$27</f>
        <v>___________</v>
      </c>
      <c r="G704" s="55" t="e">
        <f>E704*F704</f>
        <v>#VALUE!</v>
      </c>
      <c r="I704" s="51"/>
      <c r="J704" s="863" t="str">
        <f>'Cjenik M'!$B$27</f>
        <v>____________</v>
      </c>
      <c r="K704" s="863"/>
      <c r="L704" s="52">
        <f>'Cjenik M'!$C$27</f>
        <v>0</v>
      </c>
      <c r="M704" s="53">
        <v>0.125</v>
      </c>
      <c r="N704" s="260" t="str">
        <f>'Cjenik M'!$D$27</f>
        <v>___________</v>
      </c>
      <c r="O704" s="55" t="e">
        <f>M704*N704</f>
        <v>#VALUE!</v>
      </c>
    </row>
    <row r="705" spans="1:15" ht="25.15" customHeight="1">
      <c r="A705" s="84"/>
      <c r="B705" s="873">
        <f>'Cjenik M'!$B$105</f>
        <v>0</v>
      </c>
      <c r="C705" s="873"/>
      <c r="D705" s="78">
        <f>'Cjenik M'!$C$105</f>
        <v>0</v>
      </c>
      <c r="E705" s="85">
        <v>0.05</v>
      </c>
      <c r="F705" s="265">
        <f>'Cjenik M'!$D$105</f>
        <v>0</v>
      </c>
      <c r="G705" s="80">
        <f>E705*F705</f>
        <v>0</v>
      </c>
      <c r="I705" s="84"/>
      <c r="J705" s="873">
        <f>'Cjenik M'!$B$105</f>
        <v>0</v>
      </c>
      <c r="K705" s="873"/>
      <c r="L705" s="78">
        <f>'Cjenik M'!$C$105</f>
        <v>0</v>
      </c>
      <c r="M705" s="85">
        <v>0.05</v>
      </c>
      <c r="N705" s="265">
        <f>'Cjenik M'!$D$105</f>
        <v>0</v>
      </c>
      <c r="O705" s="80">
        <f>M705*N705</f>
        <v>0</v>
      </c>
    </row>
    <row r="706" spans="1:15" ht="25.15" customHeight="1" thickBot="1">
      <c r="A706" s="66"/>
      <c r="B706" s="873">
        <f>'Cjenik M'!$B$59</f>
        <v>0</v>
      </c>
      <c r="C706" s="873"/>
      <c r="D706" s="78">
        <f>'Cjenik M'!$C$59</f>
        <v>0</v>
      </c>
      <c r="E706" s="85">
        <v>1</v>
      </c>
      <c r="F706" s="265">
        <f>'Cjenik M'!$D$59</f>
        <v>0</v>
      </c>
      <c r="G706" s="80">
        <f>E706*F706</f>
        <v>0</v>
      </c>
      <c r="I706" s="66"/>
      <c r="J706" s="873">
        <f>'Cjenik M'!$B$59</f>
        <v>0</v>
      </c>
      <c r="K706" s="873"/>
      <c r="L706" s="78">
        <f>'Cjenik M'!$C$59</f>
        <v>0</v>
      </c>
      <c r="M706" s="85">
        <v>1</v>
      </c>
      <c r="N706" s="265">
        <f>'Cjenik M'!$D$59</f>
        <v>0</v>
      </c>
      <c r="O706" s="80">
        <f>M706*N706</f>
        <v>0</v>
      </c>
    </row>
    <row r="707" spans="1:15" ht="25.15" customHeight="1" thickTop="1" thickBot="1">
      <c r="B707" s="47"/>
      <c r="C707" s="24"/>
      <c r="D707" s="25"/>
      <c r="E707" s="850" t="str">
        <f>'Obrazac kalkulacije'!$E$18</f>
        <v>Ukupno (kn):</v>
      </c>
      <c r="F707" s="850"/>
      <c r="G707" s="26" t="e">
        <f>ROUND(SUM(G695+G697+G703),2)</f>
        <v>#VALUE!</v>
      </c>
      <c r="H707" s="269" t="e">
        <f>SUMIF(#REF!,$B691,#REF!)</f>
        <v>#REF!</v>
      </c>
      <c r="J707" s="47"/>
      <c r="K707" s="24"/>
      <c r="L707" s="25"/>
      <c r="M707" s="850" t="str">
        <f>'Obrazac kalkulacije'!$E$18</f>
        <v>Ukupno (kn):</v>
      </c>
      <c r="N707" s="850"/>
      <c r="O707" s="26" t="e">
        <f>ROUND(SUM(O695+O697+O703),2)</f>
        <v>#VALUE!</v>
      </c>
    </row>
    <row r="708" spans="1:15" ht="25.15" customHeight="1" thickTop="1" thickBot="1">
      <c r="E708" s="27" t="str">
        <f>'Obrazac kalkulacije'!$E$19</f>
        <v>PDV:</v>
      </c>
      <c r="F708" s="259">
        <f>'Obrazac kalkulacije'!$F$19</f>
        <v>0.25</v>
      </c>
      <c r="G708" s="29" t="e">
        <f>G707*F708</f>
        <v>#VALUE!</v>
      </c>
      <c r="H708" s="270" t="e">
        <f>H707-G707</f>
        <v>#REF!</v>
      </c>
      <c r="M708" s="27" t="str">
        <f>'Obrazac kalkulacije'!$E$19</f>
        <v>PDV:</v>
      </c>
      <c r="N708" s="259">
        <f>'Obrazac kalkulacije'!$F$19</f>
        <v>0.25</v>
      </c>
      <c r="O708" s="29" t="e">
        <f>O707*N708</f>
        <v>#VALUE!</v>
      </c>
    </row>
    <row r="709" spans="1:15" ht="25.15" customHeight="1" thickTop="1" thickBot="1">
      <c r="E709" s="840" t="str">
        <f>'Obrazac kalkulacije'!$E$20</f>
        <v>Sveukupno (kn):</v>
      </c>
      <c r="F709" s="840"/>
      <c r="G709" s="29" t="e">
        <f>ROUND(SUM(G707:G708),2)</f>
        <v>#VALUE!</v>
      </c>
      <c r="H709" s="271" t="e">
        <f>G702+H708</f>
        <v>#REF!</v>
      </c>
      <c r="M709" s="840" t="str">
        <f>'Obrazac kalkulacije'!$E$20</f>
        <v>Sveukupno (kn):</v>
      </c>
      <c r="N709" s="840"/>
      <c r="O709" s="29" t="e">
        <f>ROUND(SUM(O707:O708),2)</f>
        <v>#VALUE!</v>
      </c>
    </row>
    <row r="710" spans="1:15" ht="15" customHeight="1" thickTop="1"/>
    <row r="711" spans="1:15" ht="15" customHeight="1"/>
    <row r="712" spans="1:15" ht="15" customHeight="1"/>
    <row r="713" spans="1:15" ht="15" customHeight="1">
      <c r="C713" s="3" t="str">
        <f>'Obrazac kalkulacije'!$C$24</f>
        <v>IZVODITELJ:</v>
      </c>
      <c r="F713" s="841" t="str">
        <f>'Obrazac kalkulacije'!$F$24</f>
        <v>NARUČITELJ:</v>
      </c>
      <c r="G713" s="841"/>
      <c r="K713" s="3" t="str">
        <f>'Obrazac kalkulacije'!$C$24</f>
        <v>IZVODITELJ:</v>
      </c>
      <c r="N713" s="841" t="str">
        <f>'Obrazac kalkulacije'!$F$24</f>
        <v>NARUČITELJ:</v>
      </c>
      <c r="O713" s="841"/>
    </row>
    <row r="714" spans="1:15" ht="25.15" customHeight="1">
      <c r="C714" s="3" t="str">
        <f>'Obrazac kalkulacije'!$C$25</f>
        <v>__________________</v>
      </c>
      <c r="F714" s="841" t="str">
        <f>'Obrazac kalkulacije'!$F$25</f>
        <v>___________________</v>
      </c>
      <c r="G714" s="841"/>
      <c r="K714" s="3" t="str">
        <f>'Obrazac kalkulacije'!$C$25</f>
        <v>__________________</v>
      </c>
      <c r="N714" s="841" t="str">
        <f>'Obrazac kalkulacije'!$F$25</f>
        <v>___________________</v>
      </c>
      <c r="O714" s="841"/>
    </row>
    <row r="715" spans="1:15" ht="15" customHeight="1">
      <c r="F715" s="841"/>
      <c r="G715" s="841"/>
      <c r="N715" s="841"/>
      <c r="O715" s="841"/>
    </row>
    <row r="716" spans="1:15" ht="15" customHeight="1"/>
    <row r="717" spans="1:15" ht="15" customHeight="1">
      <c r="A717" s="144"/>
      <c r="B717" s="145" t="s">
        <v>615</v>
      </c>
      <c r="C717" s="836" t="s">
        <v>616</v>
      </c>
      <c r="D717" s="836"/>
      <c r="E717" s="836"/>
      <c r="F717" s="836"/>
      <c r="G717" s="836"/>
      <c r="I717" s="144"/>
      <c r="J717" s="145" t="s">
        <v>615</v>
      </c>
      <c r="K717" s="836" t="s">
        <v>616</v>
      </c>
      <c r="L717" s="836"/>
      <c r="M717" s="836"/>
      <c r="N717" s="836"/>
      <c r="O717" s="836"/>
    </row>
    <row r="718" spans="1:15" ht="15" customHeight="1">
      <c r="A718" s="38"/>
      <c r="B718" s="39" t="s">
        <v>701</v>
      </c>
      <c r="C718" s="860" t="s">
        <v>702</v>
      </c>
      <c r="D718" s="860"/>
      <c r="E718" s="860"/>
      <c r="F718" s="860"/>
      <c r="G718" s="860"/>
      <c r="I718" s="38"/>
      <c r="J718" s="39" t="s">
        <v>701</v>
      </c>
      <c r="K718" s="860" t="s">
        <v>702</v>
      </c>
      <c r="L718" s="860"/>
      <c r="M718" s="860"/>
      <c r="N718" s="860"/>
      <c r="O718" s="860"/>
    </row>
    <row r="719" spans="1:15" ht="150" customHeight="1">
      <c r="A719" s="40"/>
      <c r="B719" s="556" t="s">
        <v>718</v>
      </c>
      <c r="C719" s="852" t="s">
        <v>719</v>
      </c>
      <c r="D719" s="852"/>
      <c r="E719" s="852"/>
      <c r="F719" s="852"/>
      <c r="G719" s="852"/>
      <c r="I719" s="40"/>
      <c r="J719" s="41" t="s">
        <v>718</v>
      </c>
      <c r="K719" s="869" t="s">
        <v>720</v>
      </c>
      <c r="L719" s="869"/>
      <c r="M719" s="869"/>
      <c r="N719" s="869"/>
      <c r="O719" s="869"/>
    </row>
    <row r="720" spans="1:15" ht="15" customHeight="1" thickBot="1"/>
    <row r="721" spans="1:15" ht="30" customHeight="1" thickTop="1" thickBot="1">
      <c r="A721" s="10"/>
      <c r="B721" s="99">
        <v>0</v>
      </c>
      <c r="C721" s="100" t="s">
        <v>624</v>
      </c>
      <c r="D721" s="10" t="s">
        <v>625</v>
      </c>
      <c r="E721" s="10" t="s">
        <v>626</v>
      </c>
      <c r="F721" s="10" t="s">
        <v>627</v>
      </c>
      <c r="G721" s="10" t="s">
        <v>628</v>
      </c>
      <c r="I721" s="10"/>
      <c r="J721" s="99">
        <v>0</v>
      </c>
      <c r="K721" s="100" t="s">
        <v>624</v>
      </c>
      <c r="L721" s="10" t="s">
        <v>625</v>
      </c>
      <c r="M721" s="10" t="s">
        <v>626</v>
      </c>
      <c r="N721" s="10" t="s">
        <v>627</v>
      </c>
      <c r="O721" s="10" t="s">
        <v>628</v>
      </c>
    </row>
    <row r="722" spans="1:15" ht="4.5" customHeight="1" thickTop="1">
      <c r="B722" s="42"/>
      <c r="C722" s="1"/>
      <c r="D722" s="11"/>
      <c r="E722" s="13"/>
      <c r="F722" s="258"/>
      <c r="G722" s="15"/>
      <c r="J722" s="42"/>
      <c r="K722" s="1"/>
      <c r="L722" s="11"/>
      <c r="M722" s="13"/>
      <c r="N722" s="258"/>
      <c r="O722" s="15"/>
    </row>
    <row r="723" spans="1:15" ht="25.15" customHeight="1">
      <c r="A723" s="16"/>
      <c r="B723" s="837" t="s">
        <v>565</v>
      </c>
      <c r="C723" s="837"/>
      <c r="D723" s="16"/>
      <c r="E723" s="16"/>
      <c r="F723" s="44"/>
      <c r="G723" s="18">
        <f>SUM(G724:G724)</f>
        <v>105.34763590000001</v>
      </c>
      <c r="I723" s="16"/>
      <c r="J723" s="837" t="s">
        <v>565</v>
      </c>
      <c r="K723" s="837"/>
      <c r="L723" s="16"/>
      <c r="M723" s="16"/>
      <c r="N723" s="44"/>
      <c r="O723" s="18">
        <f>SUM(O724:O724)</f>
        <v>105.34763590000001</v>
      </c>
    </row>
    <row r="724" spans="1:15" ht="25.15" customHeight="1">
      <c r="A724" s="32"/>
      <c r="B724" s="838" t="s">
        <v>53</v>
      </c>
      <c r="C724" s="838"/>
      <c r="D724" s="33" t="s">
        <v>51</v>
      </c>
      <c r="E724" s="34">
        <v>1.0690850000000001</v>
      </c>
      <c r="F724" s="238">
        <f>SUMIF('Cjenik RS'!$C$11:$C$26,$B724,'Cjenik RS'!$D$11:$D$90)</f>
        <v>98.54</v>
      </c>
      <c r="G724" s="35">
        <f>E724*F724</f>
        <v>105.34763590000001</v>
      </c>
      <c r="I724" s="32"/>
      <c r="J724" s="838" t="s">
        <v>53</v>
      </c>
      <c r="K724" s="838"/>
      <c r="L724" s="33" t="s">
        <v>51</v>
      </c>
      <c r="M724" s="34">
        <v>1.0690850000000001</v>
      </c>
      <c r="N724" s="238">
        <f>SUMIF('Cjenik RS'!$C$11:$C$26,J724,'Cjenik RS'!$D$11:$D$90)</f>
        <v>98.54</v>
      </c>
      <c r="O724" s="35">
        <f>M724*N724</f>
        <v>105.34763590000001</v>
      </c>
    </row>
    <row r="725" spans="1:15" ht="25.15" customHeight="1">
      <c r="A725" s="16"/>
      <c r="B725" s="837" t="s">
        <v>566</v>
      </c>
      <c r="C725" s="837"/>
      <c r="D725" s="16"/>
      <c r="E725" s="16"/>
      <c r="F725" s="238"/>
      <c r="G725" s="18">
        <f>SUM(G726:G727)</f>
        <v>56.031705353980456</v>
      </c>
      <c r="I725" s="16"/>
      <c r="J725" s="837" t="s">
        <v>566</v>
      </c>
      <c r="K725" s="837"/>
      <c r="L725" s="16"/>
      <c r="M725" s="16"/>
      <c r="N725" s="238"/>
      <c r="O725" s="18">
        <f>SUM(O726:O727)</f>
        <v>77.293425200000001</v>
      </c>
    </row>
    <row r="726" spans="1:15" ht="25.15" customHeight="1">
      <c r="A726" s="51"/>
      <c r="B726" s="849" t="s">
        <v>69</v>
      </c>
      <c r="C726" s="849"/>
      <c r="D726" s="52" t="s">
        <v>51</v>
      </c>
      <c r="E726" s="86">
        <v>0.25920100000000001</v>
      </c>
      <c r="F726" s="260">
        <f>SUMIF('Cjenik VSO'!$B$9:$B$85,$B726,'Cjenik VSO'!$C$9:$C$85)</f>
        <v>179.6</v>
      </c>
      <c r="G726" s="54">
        <f>E726*F726</f>
        <v>46.552499600000004</v>
      </c>
      <c r="I726" s="51"/>
      <c r="J726" s="849" t="s">
        <v>69</v>
      </c>
      <c r="K726" s="849"/>
      <c r="L726" s="52" t="s">
        <v>51</v>
      </c>
      <c r="M726" s="86">
        <v>0.25920100000000001</v>
      </c>
      <c r="N726" s="260">
        <f>SUMIF('Cjenik VSO'!$B$9:$B$85,$B726,'Cjenik VSO'!$C$9:$C$85)</f>
        <v>179.6</v>
      </c>
      <c r="O726" s="54">
        <f>M726*N726</f>
        <v>46.552499600000004</v>
      </c>
    </row>
    <row r="727" spans="1:15" ht="25.15" customHeight="1">
      <c r="A727" s="61"/>
      <c r="B727" s="855" t="s">
        <v>288</v>
      </c>
      <c r="C727" s="855"/>
      <c r="D727" s="62" t="s">
        <v>51</v>
      </c>
      <c r="E727" s="87">
        <v>5.5498862728222798E-2</v>
      </c>
      <c r="F727" s="261">
        <f>SUMIF('Cjenik VSO'!$B$9:$B$85,$B727,'Cjenik VSO'!$C$9:$C$85)</f>
        <v>170.8</v>
      </c>
      <c r="G727" s="64">
        <f>E727*F727</f>
        <v>9.4792057539804553</v>
      </c>
      <c r="I727" s="61"/>
      <c r="J727" s="855" t="s">
        <v>288</v>
      </c>
      <c r="K727" s="855"/>
      <c r="L727" s="62" t="s">
        <v>51</v>
      </c>
      <c r="M727" s="87">
        <v>0.179982</v>
      </c>
      <c r="N727" s="261">
        <f>SUMIF('Cjenik VSO'!$B$9:$B$85,$B727,'Cjenik VSO'!$C$9:$C$85)</f>
        <v>170.8</v>
      </c>
      <c r="O727" s="64">
        <f>M727*N727</f>
        <v>30.740925600000004</v>
      </c>
    </row>
    <row r="728" spans="1:15" ht="25.15" customHeight="1">
      <c r="A728" s="16"/>
      <c r="B728" s="837" t="s">
        <v>630</v>
      </c>
      <c r="C728" s="837"/>
      <c r="D728" s="16"/>
      <c r="E728" s="16"/>
      <c r="F728" s="238"/>
      <c r="G728" s="18">
        <f>SUM(G729:G731)</f>
        <v>0</v>
      </c>
      <c r="I728" s="16"/>
      <c r="J728" s="837" t="s">
        <v>630</v>
      </c>
      <c r="K728" s="837"/>
      <c r="L728" s="16"/>
      <c r="M728" s="16"/>
      <c r="N728" s="238"/>
      <c r="O728" s="18">
        <f>SUM(O729:O731)</f>
        <v>0</v>
      </c>
    </row>
    <row r="729" spans="1:15" ht="25.15" customHeight="1">
      <c r="A729" s="51"/>
      <c r="B729" s="863">
        <f>'Cjenik M'!$B$105</f>
        <v>0</v>
      </c>
      <c r="C729" s="863"/>
      <c r="D729" s="52">
        <f>'Cjenik M'!$C$105</f>
        <v>0</v>
      </c>
      <c r="E729" s="53">
        <v>7.0000000000000007E-2</v>
      </c>
      <c r="F729" s="260">
        <f>'Cjenik M'!$D$105</f>
        <v>0</v>
      </c>
      <c r="G729" s="55">
        <f>E729*F729</f>
        <v>0</v>
      </c>
      <c r="I729" s="51"/>
      <c r="J729" s="863">
        <f>'Cjenik M'!$B$105</f>
        <v>0</v>
      </c>
      <c r="K729" s="863"/>
      <c r="L729" s="52">
        <f>'Cjenik M'!$C$105</f>
        <v>0</v>
      </c>
      <c r="M729" s="53">
        <v>7.0000000000000007E-2</v>
      </c>
      <c r="N729" s="260">
        <f>'Cjenik M'!$D$105</f>
        <v>0</v>
      </c>
      <c r="O729" s="55">
        <f>M729*N729</f>
        <v>0</v>
      </c>
    </row>
    <row r="730" spans="1:15" ht="25.15" customHeight="1">
      <c r="A730" s="84"/>
      <c r="B730" s="873">
        <f>'Cjenik M'!$B$36</f>
        <v>0</v>
      </c>
      <c r="C730" s="873"/>
      <c r="D730" s="78">
        <f>'Cjenik M'!$C$36</f>
        <v>0</v>
      </c>
      <c r="E730" s="85">
        <v>1.05</v>
      </c>
      <c r="F730" s="265">
        <f>'Cjenik M'!$D$36</f>
        <v>0</v>
      </c>
      <c r="G730" s="80">
        <f>E730*F730</f>
        <v>0</v>
      </c>
      <c r="I730" s="84"/>
      <c r="J730" s="873">
        <f>'Cjenik M'!$B$36</f>
        <v>0</v>
      </c>
      <c r="K730" s="873"/>
      <c r="L730" s="78">
        <f>'Cjenik M'!$C$36</f>
        <v>0</v>
      </c>
      <c r="M730" s="85">
        <v>1.05</v>
      </c>
      <c r="N730" s="265">
        <f>'Cjenik M'!$D$36</f>
        <v>0</v>
      </c>
      <c r="O730" s="80">
        <f>M730*N730</f>
        <v>0</v>
      </c>
    </row>
    <row r="731" spans="1:15" ht="25.15" customHeight="1" thickBot="1">
      <c r="A731" s="66"/>
      <c r="B731" s="873">
        <f>'Cjenik M'!$B$82</f>
        <v>0</v>
      </c>
      <c r="C731" s="873"/>
      <c r="D731" s="78">
        <f>'Cjenik M'!$C$82</f>
        <v>0</v>
      </c>
      <c r="E731" s="85">
        <v>1E-3</v>
      </c>
      <c r="F731" s="265">
        <f>'Cjenik M'!$D$82</f>
        <v>0</v>
      </c>
      <c r="G731" s="80">
        <f>E731*F731</f>
        <v>0</v>
      </c>
      <c r="I731" s="66"/>
      <c r="J731" s="873">
        <f>'Cjenik M'!$B$82</f>
        <v>0</v>
      </c>
      <c r="K731" s="873"/>
      <c r="L731" s="78">
        <f>'Cjenik M'!$C$82</f>
        <v>0</v>
      </c>
      <c r="M731" s="85">
        <v>1E-3</v>
      </c>
      <c r="N731" s="265">
        <f>'Cjenik M'!$D$82</f>
        <v>0</v>
      </c>
      <c r="O731" s="80">
        <f>M731*N731</f>
        <v>0</v>
      </c>
    </row>
    <row r="732" spans="1:15" ht="25.15" customHeight="1" thickTop="1" thickBot="1">
      <c r="B732" s="47"/>
      <c r="C732" s="24"/>
      <c r="D732" s="25"/>
      <c r="E732" s="850" t="str">
        <f>'Obrazac kalkulacije'!$E$18</f>
        <v>Ukupno (kn):</v>
      </c>
      <c r="F732" s="850"/>
      <c r="G732" s="26">
        <f>ROUND(SUM(G723+G725+G728),2)</f>
        <v>161.38</v>
      </c>
      <c r="H732" s="269" t="e">
        <f>SUMIF(#REF!,$B719,#REF!)</f>
        <v>#REF!</v>
      </c>
      <c r="J732" s="47"/>
      <c r="K732" s="24"/>
      <c r="L732" s="25"/>
      <c r="M732" s="850" t="str">
        <f>'Obrazac kalkulacije'!$E$18</f>
        <v>Ukupno (kn):</v>
      </c>
      <c r="N732" s="850"/>
      <c r="O732" s="26">
        <f>ROUND(SUM(O723+O725+O728),2)</f>
        <v>182.64</v>
      </c>
    </row>
    <row r="733" spans="1:15" ht="25.15" customHeight="1" thickTop="1" thickBot="1">
      <c r="E733" s="27" t="str">
        <f>'Obrazac kalkulacije'!$E$19</f>
        <v>PDV:</v>
      </c>
      <c r="F733" s="259">
        <f>'Obrazac kalkulacije'!$F$19</f>
        <v>0.25</v>
      </c>
      <c r="G733" s="29">
        <f>G732*F733</f>
        <v>40.344999999999999</v>
      </c>
      <c r="H733" s="270" t="e">
        <f>H732-G732</f>
        <v>#REF!</v>
      </c>
      <c r="M733" s="27" t="str">
        <f>'Obrazac kalkulacije'!$E$19</f>
        <v>PDV:</v>
      </c>
      <c r="N733" s="259">
        <f>'Obrazac kalkulacije'!$F$19</f>
        <v>0.25</v>
      </c>
      <c r="O733" s="29">
        <f>O732*N733</f>
        <v>45.66</v>
      </c>
    </row>
    <row r="734" spans="1:15" ht="25.15" customHeight="1" thickTop="1" thickBot="1">
      <c r="E734" s="840" t="str">
        <f>'Obrazac kalkulacije'!$E$20</f>
        <v>Sveukupno (kn):</v>
      </c>
      <c r="F734" s="840"/>
      <c r="G734" s="29">
        <f>ROUND(SUM(G732:G733),2)</f>
        <v>201.73</v>
      </c>
      <c r="H734" s="271" t="e">
        <f>G727+H733</f>
        <v>#REF!</v>
      </c>
      <c r="M734" s="840" t="str">
        <f>'Obrazac kalkulacije'!$E$20</f>
        <v>Sveukupno (kn):</v>
      </c>
      <c r="N734" s="840"/>
      <c r="O734" s="29">
        <f>ROUND(SUM(O732:O733),2)</f>
        <v>228.3</v>
      </c>
    </row>
    <row r="735" spans="1:15" ht="15" customHeight="1" thickTop="1"/>
    <row r="736" spans="1:15" ht="15" customHeight="1"/>
    <row r="737" spans="1:15" ht="15" customHeight="1"/>
    <row r="738" spans="1:15" ht="15" customHeight="1">
      <c r="C738" s="3" t="str">
        <f>'Obrazac kalkulacije'!$C$24</f>
        <v>IZVODITELJ:</v>
      </c>
      <c r="F738" s="841" t="str">
        <f>'Obrazac kalkulacije'!$F$24</f>
        <v>NARUČITELJ:</v>
      </c>
      <c r="G738" s="841"/>
      <c r="K738" s="3" t="str">
        <f>'Obrazac kalkulacije'!$C$24</f>
        <v>IZVODITELJ:</v>
      </c>
      <c r="N738" s="841" t="str">
        <f>'Obrazac kalkulacije'!$F$24</f>
        <v>NARUČITELJ:</v>
      </c>
      <c r="O738" s="841"/>
    </row>
    <row r="739" spans="1:15" ht="25.15" customHeight="1">
      <c r="C739" s="3" t="str">
        <f>'Obrazac kalkulacije'!$C$25</f>
        <v>__________________</v>
      </c>
      <c r="F739" s="841" t="str">
        <f>'Obrazac kalkulacije'!$F$25</f>
        <v>___________________</v>
      </c>
      <c r="G739" s="841"/>
      <c r="K739" s="3" t="str">
        <f>'Obrazac kalkulacije'!$C$25</f>
        <v>__________________</v>
      </c>
      <c r="N739" s="841" t="str">
        <f>'Obrazac kalkulacije'!$F$25</f>
        <v>___________________</v>
      </c>
      <c r="O739" s="841"/>
    </row>
    <row r="740" spans="1:15" ht="15" customHeight="1">
      <c r="F740" s="841"/>
      <c r="G740" s="841"/>
      <c r="N740" s="841"/>
      <c r="O740" s="841"/>
    </row>
    <row r="741" spans="1:15" ht="15" customHeight="1"/>
    <row r="742" spans="1:15" ht="15" customHeight="1">
      <c r="A742" s="144"/>
      <c r="B742" s="145" t="s">
        <v>615</v>
      </c>
      <c r="C742" s="836" t="s">
        <v>616</v>
      </c>
      <c r="D742" s="836"/>
      <c r="E742" s="836"/>
      <c r="F742" s="836"/>
      <c r="G742" s="836"/>
      <c r="I742" s="144"/>
      <c r="J742" s="145" t="s">
        <v>615</v>
      </c>
      <c r="K742" s="836" t="s">
        <v>616</v>
      </c>
      <c r="L742" s="836"/>
      <c r="M742" s="836"/>
      <c r="N742" s="836"/>
      <c r="O742" s="836"/>
    </row>
    <row r="743" spans="1:15" ht="15" customHeight="1">
      <c r="A743" s="38"/>
      <c r="B743" s="39" t="s">
        <v>701</v>
      </c>
      <c r="C743" s="860" t="s">
        <v>702</v>
      </c>
      <c r="D743" s="860"/>
      <c r="E743" s="860"/>
      <c r="F743" s="860"/>
      <c r="G743" s="860"/>
      <c r="I743" s="38"/>
      <c r="J743" s="39" t="s">
        <v>701</v>
      </c>
      <c r="K743" s="860" t="s">
        <v>702</v>
      </c>
      <c r="L743" s="860"/>
      <c r="M743" s="860"/>
      <c r="N743" s="860"/>
      <c r="O743" s="860"/>
    </row>
    <row r="744" spans="1:15" ht="150" customHeight="1">
      <c r="A744" s="40"/>
      <c r="B744" s="556" t="s">
        <v>721</v>
      </c>
      <c r="C744" s="852" t="s">
        <v>722</v>
      </c>
      <c r="D744" s="852"/>
      <c r="E744" s="852"/>
      <c r="F744" s="852"/>
      <c r="G744" s="852"/>
      <c r="I744" s="40"/>
      <c r="J744" s="41" t="s">
        <v>721</v>
      </c>
      <c r="K744" s="869" t="s">
        <v>723</v>
      </c>
      <c r="L744" s="869"/>
      <c r="M744" s="869"/>
      <c r="N744" s="869"/>
      <c r="O744" s="869"/>
    </row>
    <row r="745" spans="1:15" ht="15" customHeight="1" thickBot="1"/>
    <row r="746" spans="1:15" ht="30" customHeight="1" thickTop="1" thickBot="1">
      <c r="A746" s="10"/>
      <c r="B746" s="99">
        <v>0</v>
      </c>
      <c r="C746" s="100" t="s">
        <v>624</v>
      </c>
      <c r="D746" s="10" t="s">
        <v>625</v>
      </c>
      <c r="E746" s="10" t="s">
        <v>626</v>
      </c>
      <c r="F746" s="10" t="s">
        <v>627</v>
      </c>
      <c r="G746" s="10" t="s">
        <v>628</v>
      </c>
      <c r="I746" s="10"/>
      <c r="J746" s="99">
        <v>0</v>
      </c>
      <c r="K746" s="100" t="s">
        <v>624</v>
      </c>
      <c r="L746" s="10" t="s">
        <v>625</v>
      </c>
      <c r="M746" s="10" t="s">
        <v>626</v>
      </c>
      <c r="N746" s="10" t="s">
        <v>627</v>
      </c>
      <c r="O746" s="10" t="s">
        <v>628</v>
      </c>
    </row>
    <row r="747" spans="1:15" ht="4.5" customHeight="1" thickTop="1">
      <c r="B747" s="42"/>
      <c r="C747" s="1"/>
      <c r="D747" s="11"/>
      <c r="E747" s="13"/>
      <c r="F747" s="258"/>
      <c r="G747" s="15"/>
      <c r="J747" s="42"/>
      <c r="K747" s="1"/>
      <c r="L747" s="11"/>
      <c r="M747" s="13"/>
      <c r="N747" s="258"/>
      <c r="O747" s="15"/>
    </row>
    <row r="748" spans="1:15" ht="25.15" customHeight="1">
      <c r="A748" s="16"/>
      <c r="B748" s="837" t="s">
        <v>565</v>
      </c>
      <c r="C748" s="837"/>
      <c r="D748" s="16"/>
      <c r="E748" s="16"/>
      <c r="F748" s="44"/>
      <c r="G748" s="18">
        <f>SUM(G749:G749)</f>
        <v>49.27</v>
      </c>
      <c r="I748" s="16"/>
      <c r="J748" s="837" t="s">
        <v>565</v>
      </c>
      <c r="K748" s="837"/>
      <c r="L748" s="16"/>
      <c r="M748" s="16"/>
      <c r="N748" s="44"/>
      <c r="O748" s="18">
        <f>SUM(O749:O749)</f>
        <v>50.56481560000001</v>
      </c>
    </row>
    <row r="749" spans="1:15" ht="25.15" customHeight="1">
      <c r="A749" s="32"/>
      <c r="B749" s="838" t="s">
        <v>53</v>
      </c>
      <c r="C749" s="838"/>
      <c r="D749" s="33" t="s">
        <v>51</v>
      </c>
      <c r="E749" s="34">
        <v>0.5</v>
      </c>
      <c r="F749" s="238">
        <f>SUMIF('Cjenik RS'!$C$11:$C$26,$B749,'Cjenik RS'!$D$11:$D$90)</f>
        <v>98.54</v>
      </c>
      <c r="G749" s="35">
        <f>E749*F749</f>
        <v>49.27</v>
      </c>
      <c r="I749" s="32"/>
      <c r="J749" s="838" t="s">
        <v>53</v>
      </c>
      <c r="K749" s="838"/>
      <c r="L749" s="33" t="s">
        <v>51</v>
      </c>
      <c r="M749" s="34">
        <v>0.51314000000000004</v>
      </c>
      <c r="N749" s="238">
        <f>SUMIF('Cjenik RS'!$C$11:$C$26,J749,'Cjenik RS'!$D$11:$D$90)</f>
        <v>98.54</v>
      </c>
      <c r="O749" s="35">
        <f>M749*N749</f>
        <v>50.56481560000001</v>
      </c>
    </row>
    <row r="750" spans="1:15" ht="25.15" customHeight="1">
      <c r="A750" s="16"/>
      <c r="B750" s="837" t="s">
        <v>566</v>
      </c>
      <c r="C750" s="837"/>
      <c r="D750" s="16"/>
      <c r="E750" s="16"/>
      <c r="F750" s="238"/>
      <c r="G750" s="18">
        <f>SUM(G751:G752)</f>
        <v>10.072000000000001</v>
      </c>
      <c r="I750" s="16"/>
      <c r="J750" s="837" t="s">
        <v>566</v>
      </c>
      <c r="K750" s="837"/>
      <c r="L750" s="16"/>
      <c r="M750" s="16"/>
      <c r="N750" s="238"/>
      <c r="O750" s="18">
        <f>SUM(O751:O752)</f>
        <v>2.1357396</v>
      </c>
    </row>
    <row r="751" spans="1:15" ht="25.15" customHeight="1">
      <c r="A751" s="51"/>
      <c r="B751" s="849" t="s">
        <v>69</v>
      </c>
      <c r="C751" s="849"/>
      <c r="D751" s="52" t="s">
        <v>51</v>
      </c>
      <c r="E751" s="86">
        <v>0.05</v>
      </c>
      <c r="F751" s="260">
        <f>SUMIF('Cjenik VSO'!$B$9:$B$85,$B751,'Cjenik VSO'!$C$9:$C$85)</f>
        <v>179.6</v>
      </c>
      <c r="G751" s="54">
        <f>E751*F751</f>
        <v>8.98</v>
      </c>
      <c r="I751" s="51"/>
      <c r="J751" s="849" t="s">
        <v>73</v>
      </c>
      <c r="K751" s="849"/>
      <c r="L751" s="52" t="s">
        <v>51</v>
      </c>
      <c r="M751" s="86">
        <v>3.5010000000000002E-3</v>
      </c>
      <c r="N751" s="260">
        <f>SUMIF('Cjenik VSO'!$B$9:$B$85,$B751,'Cjenik VSO'!$C$9:$C$85)</f>
        <v>179.6</v>
      </c>
      <c r="O751" s="54">
        <f>M751*N751</f>
        <v>0.62877959999999999</v>
      </c>
    </row>
    <row r="752" spans="1:15" ht="25.15" customHeight="1">
      <c r="A752" s="56"/>
      <c r="B752" s="839" t="s">
        <v>200</v>
      </c>
      <c r="C752" s="839"/>
      <c r="D752" s="57" t="s">
        <v>51</v>
      </c>
      <c r="E752" s="87">
        <v>0.05</v>
      </c>
      <c r="F752" s="263">
        <f>SUMIF('Cjenik VSO'!$B$9:$B$85,$B752,'Cjenik VSO'!$C$9:$C$85)</f>
        <v>21.84</v>
      </c>
      <c r="G752" s="59">
        <f>E752*F752</f>
        <v>1.0920000000000001</v>
      </c>
      <c r="I752" s="56"/>
      <c r="J752" s="839" t="s">
        <v>200</v>
      </c>
      <c r="K752" s="839"/>
      <c r="L752" s="57" t="s">
        <v>51</v>
      </c>
      <c r="M752" s="92">
        <v>6.9000000000000006E-2</v>
      </c>
      <c r="N752" s="263">
        <f>SUMIF('Cjenik VSO'!$B$9:$B$85,$B752,'Cjenik VSO'!$C$9:$C$85)</f>
        <v>21.84</v>
      </c>
      <c r="O752" s="59">
        <f>M752*N752</f>
        <v>1.5069600000000001</v>
      </c>
    </row>
    <row r="753" spans="1:15" ht="25.15" customHeight="1">
      <c r="A753" s="16"/>
      <c r="B753" s="837" t="s">
        <v>630</v>
      </c>
      <c r="C753" s="837"/>
      <c r="D753" s="16"/>
      <c r="E753" s="16"/>
      <c r="F753" s="238"/>
      <c r="G753" s="18">
        <f>SUM(G754:G758)</f>
        <v>0</v>
      </c>
      <c r="I753" s="16"/>
      <c r="J753" s="837" t="s">
        <v>630</v>
      </c>
      <c r="K753" s="837"/>
      <c r="L753" s="16"/>
      <c r="M753" s="16"/>
      <c r="N753" s="238"/>
      <c r="O753" s="18">
        <f>SUM(O754:O758)</f>
        <v>0</v>
      </c>
    </row>
    <row r="754" spans="1:15" ht="25.15" customHeight="1">
      <c r="A754" s="51"/>
      <c r="B754" s="863">
        <f>'Cjenik M'!$B$63</f>
        <v>0</v>
      </c>
      <c r="C754" s="863"/>
      <c r="D754" s="52">
        <f>'Cjenik M'!$C$63</f>
        <v>0</v>
      </c>
      <c r="E754" s="53">
        <v>1</v>
      </c>
      <c r="F754" s="260">
        <f>'Cjenik M'!$D$63</f>
        <v>0</v>
      </c>
      <c r="G754" s="55">
        <f>E754*F754</f>
        <v>0</v>
      </c>
      <c r="I754" s="51"/>
      <c r="J754" s="863">
        <f>'Cjenik M'!$B$63</f>
        <v>0</v>
      </c>
      <c r="K754" s="863"/>
      <c r="L754" s="52">
        <f>'Cjenik M'!$C$63</f>
        <v>0</v>
      </c>
      <c r="M754" s="53">
        <v>0.55000000000000004</v>
      </c>
      <c r="N754" s="260">
        <f>'Cjenik M'!$D$63</f>
        <v>0</v>
      </c>
      <c r="O754" s="55">
        <f>M754*N754</f>
        <v>0</v>
      </c>
    </row>
    <row r="755" spans="1:15" ht="25.15" customHeight="1">
      <c r="A755" s="56"/>
      <c r="B755" s="834">
        <f>'Cjenik M'!$B$107</f>
        <v>0</v>
      </c>
      <c r="C755" s="834"/>
      <c r="D755" s="57">
        <f>'Cjenik M'!$C$107</f>
        <v>0</v>
      </c>
      <c r="E755" s="58">
        <v>0.55000000000000004</v>
      </c>
      <c r="F755" s="263">
        <f>'Cjenik M'!$D$107</f>
        <v>0</v>
      </c>
      <c r="G755" s="60">
        <f>E755*F755</f>
        <v>0</v>
      </c>
      <c r="I755" s="56"/>
      <c r="J755" s="834">
        <f>'Cjenik M'!$B$107</f>
        <v>0</v>
      </c>
      <c r="K755" s="834"/>
      <c r="L755" s="57">
        <f>'Cjenik M'!$C$107</f>
        <v>0</v>
      </c>
      <c r="M755" s="58">
        <v>0.55000000000000004</v>
      </c>
      <c r="N755" s="263">
        <f>'Cjenik M'!$D$107</f>
        <v>0</v>
      </c>
      <c r="O755" s="60">
        <f>M755*N755</f>
        <v>0</v>
      </c>
    </row>
    <row r="756" spans="1:15" ht="25.15" customHeight="1">
      <c r="A756" s="56"/>
      <c r="B756" s="834">
        <f>'Cjenik M'!$B$75</f>
        <v>0</v>
      </c>
      <c r="C756" s="834"/>
      <c r="D756" s="57">
        <f>'Cjenik M'!$C$75</f>
        <v>0</v>
      </c>
      <c r="E756" s="58">
        <v>1.6799999999999999E-2</v>
      </c>
      <c r="F756" s="263">
        <f>'Cjenik M'!$D$75</f>
        <v>0</v>
      </c>
      <c r="G756" s="60">
        <f>E756*F756</f>
        <v>0</v>
      </c>
      <c r="I756" s="56"/>
      <c r="J756" s="834">
        <f>'Cjenik M'!$B$75</f>
        <v>0</v>
      </c>
      <c r="K756" s="834"/>
      <c r="L756" s="57">
        <f>'Cjenik M'!$C$75</f>
        <v>0</v>
      </c>
      <c r="M756" s="58">
        <v>0.01</v>
      </c>
      <c r="N756" s="263">
        <f>'Cjenik M'!$D$75</f>
        <v>0</v>
      </c>
      <c r="O756" s="60">
        <f>M756*N756</f>
        <v>0</v>
      </c>
    </row>
    <row r="757" spans="1:15" ht="25.15" customHeight="1">
      <c r="A757" s="56"/>
      <c r="B757" s="834">
        <f>'Cjenik M'!$B$77</f>
        <v>0</v>
      </c>
      <c r="C757" s="834"/>
      <c r="D757" s="57">
        <f>'Cjenik M'!$C$77</f>
        <v>0</v>
      </c>
      <c r="E757" s="58">
        <v>1.6800000000000001E-3</v>
      </c>
      <c r="F757" s="263">
        <f>'Cjenik M'!$D$77</f>
        <v>0</v>
      </c>
      <c r="G757" s="60">
        <f>E757*F757</f>
        <v>0</v>
      </c>
      <c r="I757" s="56"/>
      <c r="J757" s="834">
        <f>'Cjenik M'!$B$77</f>
        <v>0</v>
      </c>
      <c r="K757" s="834"/>
      <c r="L757" s="57">
        <f>'Cjenik M'!$C$77</f>
        <v>0</v>
      </c>
      <c r="M757" s="58">
        <v>1E-3</v>
      </c>
      <c r="N757" s="263">
        <f>'Cjenik M'!$D$77</f>
        <v>0</v>
      </c>
      <c r="O757" s="60">
        <f>M757*N757</f>
        <v>0</v>
      </c>
    </row>
    <row r="758" spans="1:15" ht="25.15" customHeight="1" thickBot="1">
      <c r="A758" s="66"/>
      <c r="B758" s="859">
        <f>'Cjenik M'!$B$82</f>
        <v>0</v>
      </c>
      <c r="C758" s="859"/>
      <c r="D758" s="67">
        <f>'Cjenik M'!$C$82</f>
        <v>0</v>
      </c>
      <c r="E758" s="68">
        <v>2E-3</v>
      </c>
      <c r="F758" s="262">
        <f>'Cjenik M'!$D$82</f>
        <v>0</v>
      </c>
      <c r="G758" s="70">
        <f>E758*F758</f>
        <v>0</v>
      </c>
      <c r="I758" s="66"/>
      <c r="J758" s="859">
        <f>'Cjenik M'!$B$82</f>
        <v>0</v>
      </c>
      <c r="K758" s="859"/>
      <c r="L758" s="67">
        <f>'Cjenik M'!$C$82</f>
        <v>0</v>
      </c>
      <c r="M758" s="68">
        <v>2E-3</v>
      </c>
      <c r="N758" s="262">
        <f>'Cjenik M'!$D$82</f>
        <v>0</v>
      </c>
      <c r="O758" s="70">
        <f>M758*N758</f>
        <v>0</v>
      </c>
    </row>
    <row r="759" spans="1:15" ht="25.15" customHeight="1" thickTop="1" thickBot="1">
      <c r="E759" s="868" t="str">
        <f>'Obrazac kalkulacije'!$E$18</f>
        <v>Ukupno (kn):</v>
      </c>
      <c r="F759" s="868"/>
      <c r="G759" s="71">
        <f>ROUND(SUM(G748+G750+G753),2)</f>
        <v>59.34</v>
      </c>
      <c r="H759" s="269" t="e">
        <f>SUMIF(#REF!,$B744,#REF!)</f>
        <v>#REF!</v>
      </c>
      <c r="M759" s="868" t="str">
        <f>'Obrazac kalkulacije'!$E$18</f>
        <v>Ukupno (kn):</v>
      </c>
      <c r="N759" s="868"/>
      <c r="O759" s="71">
        <f>ROUND(SUM(O748+O750+O753),2)</f>
        <v>52.7</v>
      </c>
    </row>
    <row r="760" spans="1:15" ht="25.15" customHeight="1" thickTop="1" thickBot="1">
      <c r="E760" s="27" t="str">
        <f>'Obrazac kalkulacije'!$E$19</f>
        <v>PDV:</v>
      </c>
      <c r="F760" s="259">
        <f>'Obrazac kalkulacije'!$F$19</f>
        <v>0.25</v>
      </c>
      <c r="G760" s="29">
        <f>G759*F760</f>
        <v>14.835000000000001</v>
      </c>
      <c r="H760" s="270" t="e">
        <f>H759-G759</f>
        <v>#REF!</v>
      </c>
      <c r="M760" s="27" t="str">
        <f>'Obrazac kalkulacije'!$E$19</f>
        <v>PDV:</v>
      </c>
      <c r="N760" s="259">
        <f>'Obrazac kalkulacije'!$F$19</f>
        <v>0.25</v>
      </c>
      <c r="O760" s="29">
        <f>O759*N760</f>
        <v>13.175000000000001</v>
      </c>
    </row>
    <row r="761" spans="1:15" ht="25.15" customHeight="1" thickTop="1" thickBot="1">
      <c r="E761" s="840" t="str">
        <f>'Obrazac kalkulacije'!$E$20</f>
        <v>Sveukupno (kn):</v>
      </c>
      <c r="F761" s="840"/>
      <c r="G761" s="29">
        <f>ROUND(SUM(G759:G760),2)</f>
        <v>74.180000000000007</v>
      </c>
      <c r="H761" s="271" t="e">
        <f>G752+H760</f>
        <v>#REF!</v>
      </c>
      <c r="M761" s="840" t="str">
        <f>'Obrazac kalkulacije'!$E$20</f>
        <v>Sveukupno (kn):</v>
      </c>
      <c r="N761" s="840"/>
      <c r="O761" s="29">
        <f>ROUND(SUM(O759:O760),2)</f>
        <v>65.88</v>
      </c>
    </row>
    <row r="762" spans="1:15" ht="15" customHeight="1" thickTop="1"/>
    <row r="763" spans="1:15" ht="15" customHeight="1"/>
    <row r="764" spans="1:15" ht="15" customHeight="1"/>
    <row r="765" spans="1:15" ht="15" customHeight="1">
      <c r="C765" s="3" t="str">
        <f>'Obrazac kalkulacije'!$C$24</f>
        <v>IZVODITELJ:</v>
      </c>
      <c r="F765" s="841" t="str">
        <f>'Obrazac kalkulacije'!$F$24</f>
        <v>NARUČITELJ:</v>
      </c>
      <c r="G765" s="841"/>
      <c r="K765" s="3" t="str">
        <f>'Obrazac kalkulacije'!$C$24</f>
        <v>IZVODITELJ:</v>
      </c>
      <c r="N765" s="841" t="str">
        <f>'Obrazac kalkulacije'!$F$24</f>
        <v>NARUČITELJ:</v>
      </c>
      <c r="O765" s="841"/>
    </row>
    <row r="766" spans="1:15" ht="25.15" customHeight="1">
      <c r="C766" s="3" t="str">
        <f>'Obrazac kalkulacije'!$C$25</f>
        <v>__________________</v>
      </c>
      <c r="F766" s="841" t="str">
        <f>'Obrazac kalkulacije'!$F$25</f>
        <v>___________________</v>
      </c>
      <c r="G766" s="841"/>
      <c r="K766" s="3" t="str">
        <f>'Obrazac kalkulacije'!$C$25</f>
        <v>__________________</v>
      </c>
      <c r="N766" s="841" t="str">
        <f>'Obrazac kalkulacije'!$F$25</f>
        <v>___________________</v>
      </c>
      <c r="O766" s="841"/>
    </row>
    <row r="767" spans="1:15" ht="15" customHeight="1">
      <c r="F767" s="841"/>
      <c r="G767" s="841"/>
      <c r="N767" s="841"/>
      <c r="O767" s="841"/>
    </row>
    <row r="768" spans="1:15" ht="15" customHeight="1"/>
    <row r="769" spans="1:15" ht="15" customHeight="1">
      <c r="A769" s="144"/>
      <c r="B769" s="145" t="s">
        <v>615</v>
      </c>
      <c r="C769" s="836" t="s">
        <v>616</v>
      </c>
      <c r="D769" s="836"/>
      <c r="E769" s="836"/>
      <c r="F769" s="836"/>
      <c r="G769" s="836"/>
      <c r="I769" s="144"/>
      <c r="J769" s="145" t="s">
        <v>615</v>
      </c>
      <c r="K769" s="836" t="s">
        <v>616</v>
      </c>
      <c r="L769" s="836"/>
      <c r="M769" s="836"/>
      <c r="N769" s="836"/>
      <c r="O769" s="836"/>
    </row>
    <row r="770" spans="1:15" ht="15" customHeight="1">
      <c r="A770" s="38"/>
      <c r="B770" s="39" t="s">
        <v>701</v>
      </c>
      <c r="C770" s="860" t="s">
        <v>702</v>
      </c>
      <c r="D770" s="860"/>
      <c r="E770" s="860"/>
      <c r="F770" s="860"/>
      <c r="G770" s="860"/>
      <c r="I770" s="38"/>
      <c r="J770" s="39" t="s">
        <v>701</v>
      </c>
      <c r="K770" s="860" t="s">
        <v>702</v>
      </c>
      <c r="L770" s="860"/>
      <c r="M770" s="860"/>
      <c r="N770" s="860"/>
      <c r="O770" s="860"/>
    </row>
    <row r="771" spans="1:15" ht="150" customHeight="1">
      <c r="A771" s="40"/>
      <c r="B771" s="556" t="s">
        <v>724</v>
      </c>
      <c r="C771" s="852" t="s">
        <v>725</v>
      </c>
      <c r="D771" s="852"/>
      <c r="E771" s="852"/>
      <c r="F771" s="852"/>
      <c r="G771" s="852"/>
      <c r="I771" s="40"/>
      <c r="J771" s="41" t="s">
        <v>726</v>
      </c>
      <c r="K771" s="869" t="s">
        <v>727</v>
      </c>
      <c r="L771" s="869"/>
      <c r="M771" s="869"/>
      <c r="N771" s="869"/>
      <c r="O771" s="869"/>
    </row>
    <row r="772" spans="1:15" ht="15" customHeight="1" thickBot="1"/>
    <row r="773" spans="1:15" ht="30" customHeight="1" thickTop="1" thickBot="1">
      <c r="A773" s="10"/>
      <c r="B773" s="99">
        <v>0</v>
      </c>
      <c r="C773" s="100" t="s">
        <v>624</v>
      </c>
      <c r="D773" s="10" t="s">
        <v>625</v>
      </c>
      <c r="E773" s="10" t="s">
        <v>626</v>
      </c>
      <c r="F773" s="10" t="s">
        <v>627</v>
      </c>
      <c r="G773" s="10" t="s">
        <v>628</v>
      </c>
      <c r="I773" s="10"/>
      <c r="J773" s="99">
        <v>0</v>
      </c>
      <c r="K773" s="100" t="s">
        <v>624</v>
      </c>
      <c r="L773" s="10" t="s">
        <v>625</v>
      </c>
      <c r="M773" s="10" t="s">
        <v>626</v>
      </c>
      <c r="N773" s="10" t="s">
        <v>627</v>
      </c>
      <c r="O773" s="10" t="s">
        <v>628</v>
      </c>
    </row>
    <row r="774" spans="1:15" ht="4.5" customHeight="1" thickTop="1">
      <c r="B774" s="42"/>
      <c r="C774" s="1"/>
      <c r="D774" s="11"/>
      <c r="E774" s="13"/>
      <c r="F774" s="258"/>
      <c r="G774" s="15"/>
      <c r="J774" s="42"/>
      <c r="K774" s="1"/>
      <c r="L774" s="11"/>
      <c r="M774" s="13"/>
      <c r="N774" s="258"/>
      <c r="O774" s="15"/>
    </row>
    <row r="775" spans="1:15" ht="25.15" customHeight="1">
      <c r="A775" s="16"/>
      <c r="B775" s="837" t="s">
        <v>565</v>
      </c>
      <c r="C775" s="837"/>
      <c r="D775" s="16"/>
      <c r="E775" s="16"/>
      <c r="F775" s="44"/>
      <c r="G775" s="18">
        <f>SUM(G776:G776)</f>
        <v>16.310045179999999</v>
      </c>
      <c r="I775" s="16"/>
      <c r="J775" s="837" t="s">
        <v>565</v>
      </c>
      <c r="K775" s="837"/>
      <c r="L775" s="16"/>
      <c r="M775" s="16"/>
      <c r="N775" s="44"/>
      <c r="O775" s="18">
        <f>SUM(O776:O776)</f>
        <v>16.310045179999999</v>
      </c>
    </row>
    <row r="776" spans="1:15" ht="25.15" customHeight="1">
      <c r="A776" s="32"/>
      <c r="B776" s="838" t="s">
        <v>53</v>
      </c>
      <c r="C776" s="838"/>
      <c r="D776" s="33" t="s">
        <v>51</v>
      </c>
      <c r="E776" s="34">
        <v>0.165517</v>
      </c>
      <c r="F776" s="268">
        <f>SUMIF('Cjenik RS'!$C$11:$C$26,$B776,'Cjenik RS'!$D$11:$D$90)</f>
        <v>98.54</v>
      </c>
      <c r="G776" s="35">
        <f>E776*F776</f>
        <v>16.310045179999999</v>
      </c>
      <c r="I776" s="32"/>
      <c r="J776" s="838" t="s">
        <v>53</v>
      </c>
      <c r="K776" s="838"/>
      <c r="L776" s="33" t="s">
        <v>51</v>
      </c>
      <c r="M776" s="34">
        <v>0.165517</v>
      </c>
      <c r="N776" s="238">
        <f>SUMIF('Cjenik RS'!$C$11:$C$26,J776,'Cjenik RS'!$D$11:$D$90)</f>
        <v>98.54</v>
      </c>
      <c r="O776" s="35">
        <f>M776*N776</f>
        <v>16.310045179999999</v>
      </c>
    </row>
    <row r="777" spans="1:15" ht="25.15" customHeight="1">
      <c r="A777" s="16"/>
      <c r="B777" s="837" t="s">
        <v>630</v>
      </c>
      <c r="C777" s="837"/>
      <c r="D777" s="16"/>
      <c r="E777" s="16"/>
      <c r="F777" s="238"/>
      <c r="G777" s="18">
        <f>SUM(G778:G778)</f>
        <v>0</v>
      </c>
      <c r="I777" s="16"/>
      <c r="J777" s="837" t="s">
        <v>630</v>
      </c>
      <c r="K777" s="837"/>
      <c r="L777" s="16"/>
      <c r="M777" s="16"/>
      <c r="N777" s="238"/>
      <c r="O777" s="18">
        <f>SUM(O778:O778)</f>
        <v>0</v>
      </c>
    </row>
    <row r="778" spans="1:15" ht="25.15" customHeight="1" thickBot="1">
      <c r="A778" s="66"/>
      <c r="B778" s="859">
        <f>'Cjenik M'!$B$56</f>
        <v>0</v>
      </c>
      <c r="C778" s="859"/>
      <c r="D778" s="67">
        <f>'Cjenik M'!$C$56</f>
        <v>0</v>
      </c>
      <c r="E778" s="68">
        <v>1</v>
      </c>
      <c r="F778" s="262">
        <f>'Cjenik M'!$D$56</f>
        <v>0</v>
      </c>
      <c r="G778" s="70">
        <f>E778*F778</f>
        <v>0</v>
      </c>
      <c r="I778" s="66"/>
      <c r="J778" s="859">
        <f>'Cjenik M'!$B$56</f>
        <v>0</v>
      </c>
      <c r="K778" s="859"/>
      <c r="L778" s="67">
        <f>'Cjenik M'!$C$56</f>
        <v>0</v>
      </c>
      <c r="M778" s="68">
        <v>1</v>
      </c>
      <c r="N778" s="262">
        <f>'Cjenik M'!$D$56</f>
        <v>0</v>
      </c>
      <c r="O778" s="70">
        <f>M778*N778</f>
        <v>0</v>
      </c>
    </row>
    <row r="779" spans="1:15" ht="25.15" customHeight="1" thickTop="1" thickBot="1">
      <c r="B779" s="47"/>
      <c r="C779" s="24"/>
      <c r="D779" s="25"/>
      <c r="E779" s="850" t="str">
        <f>'Obrazac kalkulacije'!$E$18</f>
        <v>Ukupno (kn):</v>
      </c>
      <c r="F779" s="850"/>
      <c r="G779" s="26">
        <f>ROUND(SUM(G775+G777),2)</f>
        <v>16.309999999999999</v>
      </c>
      <c r="H779" s="269" t="e">
        <f>SUMIF(#REF!,$B771,#REF!)</f>
        <v>#REF!</v>
      </c>
      <c r="J779" s="47"/>
      <c r="K779" s="24"/>
      <c r="L779" s="25"/>
      <c r="M779" s="850" t="str">
        <f>'Obrazac kalkulacije'!$E$18</f>
        <v>Ukupno (kn):</v>
      </c>
      <c r="N779" s="850"/>
      <c r="O779" s="26">
        <f>ROUND(SUM(O775+O777),2)</f>
        <v>16.309999999999999</v>
      </c>
    </row>
    <row r="780" spans="1:15" ht="25.15" customHeight="1" thickTop="1" thickBot="1">
      <c r="E780" s="27" t="str">
        <f>'Obrazac kalkulacije'!$E$19</f>
        <v>PDV:</v>
      </c>
      <c r="F780" s="259">
        <f>'Obrazac kalkulacije'!$F$19</f>
        <v>0.25</v>
      </c>
      <c r="G780" s="29">
        <f>G779*F780</f>
        <v>4.0774999999999997</v>
      </c>
      <c r="H780" s="270" t="e">
        <f>H779-G779</f>
        <v>#REF!</v>
      </c>
      <c r="M780" s="27" t="str">
        <f>'Obrazac kalkulacije'!$E$19</f>
        <v>PDV:</v>
      </c>
      <c r="N780" s="259">
        <f>'Obrazac kalkulacije'!$F$19</f>
        <v>0.25</v>
      </c>
      <c r="O780" s="29">
        <f>O779*N780</f>
        <v>4.0774999999999997</v>
      </c>
    </row>
    <row r="781" spans="1:15" ht="25.15" customHeight="1" thickTop="1" thickBot="1">
      <c r="E781" s="840" t="str">
        <f>'Obrazac kalkulacije'!$E$20</f>
        <v>Sveukupno (kn):</v>
      </c>
      <c r="F781" s="840"/>
      <c r="G781" s="29">
        <f>ROUND(SUM(G779:G780),2)</f>
        <v>20.39</v>
      </c>
      <c r="H781" s="271" t="e">
        <f>G772+H780</f>
        <v>#REF!</v>
      </c>
      <c r="M781" s="840" t="str">
        <f>'Obrazac kalkulacije'!$E$20</f>
        <v>Sveukupno (kn):</v>
      </c>
      <c r="N781" s="840"/>
      <c r="O781" s="29">
        <f>ROUND(SUM(O779:O780),2)</f>
        <v>20.39</v>
      </c>
    </row>
    <row r="782" spans="1:15" ht="15" customHeight="1" thickTop="1"/>
    <row r="783" spans="1:15" ht="15" customHeight="1"/>
    <row r="784" spans="1:15" ht="15" customHeight="1"/>
    <row r="785" spans="3:15" ht="15" customHeight="1">
      <c r="C785" s="3" t="str">
        <f>'Obrazac kalkulacije'!$C$24</f>
        <v>IZVODITELJ:</v>
      </c>
      <c r="F785" s="841" t="str">
        <f>'Obrazac kalkulacije'!$F$24</f>
        <v>NARUČITELJ:</v>
      </c>
      <c r="G785" s="841"/>
      <c r="K785" s="3" t="str">
        <f>'Obrazac kalkulacije'!$C$24</f>
        <v>IZVODITELJ:</v>
      </c>
      <c r="N785" s="841" t="str">
        <f>'Obrazac kalkulacije'!$F$24</f>
        <v>NARUČITELJ:</v>
      </c>
      <c r="O785" s="841"/>
    </row>
    <row r="786" spans="3:15" ht="25.15" customHeight="1">
      <c r="C786" s="3" t="str">
        <f>'Obrazac kalkulacije'!$C$25</f>
        <v>__________________</v>
      </c>
      <c r="F786" s="841" t="str">
        <f>'Obrazac kalkulacije'!$F$25</f>
        <v>___________________</v>
      </c>
      <c r="G786" s="841"/>
      <c r="K786" s="3" t="str">
        <f>'Obrazac kalkulacije'!$C$25</f>
        <v>__________________</v>
      </c>
      <c r="N786" s="841" t="str">
        <f>'Obrazac kalkulacije'!$F$25</f>
        <v>___________________</v>
      </c>
      <c r="O786" s="841"/>
    </row>
    <row r="787" spans="3:15" ht="15" customHeight="1">
      <c r="F787" s="841"/>
      <c r="G787" s="841"/>
      <c r="N787" s="841"/>
      <c r="O787" s="841"/>
    </row>
  </sheetData>
  <sheetProtection selectLockedCells="1"/>
  <mergeCells count="977">
    <mergeCell ref="K770:O770"/>
    <mergeCell ref="K769:O769"/>
    <mergeCell ref="B72:C72"/>
    <mergeCell ref="B69:C69"/>
    <mergeCell ref="F83:G83"/>
    <mergeCell ref="B74:C74"/>
    <mergeCell ref="B75:C75"/>
    <mergeCell ref="B133:C133"/>
    <mergeCell ref="B134:C134"/>
    <mergeCell ref="B130:C130"/>
    <mergeCell ref="B131:C131"/>
    <mergeCell ref="C126:G126"/>
    <mergeCell ref="J756:K756"/>
    <mergeCell ref="N767:O767"/>
    <mergeCell ref="M759:N759"/>
    <mergeCell ref="M761:N761"/>
    <mergeCell ref="N765:O765"/>
    <mergeCell ref="E141:F141"/>
    <mergeCell ref="B138:C138"/>
    <mergeCell ref="E139:F139"/>
    <mergeCell ref="N766:O766"/>
    <mergeCell ref="J757:K757"/>
    <mergeCell ref="J758:K758"/>
    <mergeCell ref="J749:K749"/>
    <mergeCell ref="J776:K776"/>
    <mergeCell ref="J777:K777"/>
    <mergeCell ref="N786:O786"/>
    <mergeCell ref="N787:O787"/>
    <mergeCell ref="J778:K778"/>
    <mergeCell ref="M779:N779"/>
    <mergeCell ref="M781:N781"/>
    <mergeCell ref="N785:O785"/>
    <mergeCell ref="K771:O771"/>
    <mergeCell ref="J775:K775"/>
    <mergeCell ref="N739:O739"/>
    <mergeCell ref="N740:O740"/>
    <mergeCell ref="K744:O744"/>
    <mergeCell ref="J748:K748"/>
    <mergeCell ref="K742:O742"/>
    <mergeCell ref="K743:O743"/>
    <mergeCell ref="J750:K750"/>
    <mergeCell ref="J703:K703"/>
    <mergeCell ref="J755:K755"/>
    <mergeCell ref="J751:K751"/>
    <mergeCell ref="J752:K752"/>
    <mergeCell ref="J753:K753"/>
    <mergeCell ref="J754:K754"/>
    <mergeCell ref="N738:O738"/>
    <mergeCell ref="J731:K731"/>
    <mergeCell ref="M732:N732"/>
    <mergeCell ref="J728:K728"/>
    <mergeCell ref="J726:K726"/>
    <mergeCell ref="J725:K725"/>
    <mergeCell ref="J723:K723"/>
    <mergeCell ref="J724:K724"/>
    <mergeCell ref="J729:K729"/>
    <mergeCell ref="J730:K730"/>
    <mergeCell ref="M734:N734"/>
    <mergeCell ref="J727:K727"/>
    <mergeCell ref="J704:K704"/>
    <mergeCell ref="J705:K705"/>
    <mergeCell ref="J697:K697"/>
    <mergeCell ref="J702:K702"/>
    <mergeCell ref="K690:O690"/>
    <mergeCell ref="K691:O691"/>
    <mergeCell ref="M679:N679"/>
    <mergeCell ref="M681:N681"/>
    <mergeCell ref="N685:O685"/>
    <mergeCell ref="N686:O686"/>
    <mergeCell ref="N687:O687"/>
    <mergeCell ref="K689:O689"/>
    <mergeCell ref="K718:O718"/>
    <mergeCell ref="K719:O719"/>
    <mergeCell ref="M707:N707"/>
    <mergeCell ref="M709:N709"/>
    <mergeCell ref="N713:O713"/>
    <mergeCell ref="J701:K701"/>
    <mergeCell ref="N714:O714"/>
    <mergeCell ref="N715:O715"/>
    <mergeCell ref="K717:O717"/>
    <mergeCell ref="J706:K706"/>
    <mergeCell ref="J698:K698"/>
    <mergeCell ref="J673:K673"/>
    <mergeCell ref="J699:K699"/>
    <mergeCell ref="J700:K700"/>
    <mergeCell ref="J677:K677"/>
    <mergeCell ref="J678:K678"/>
    <mergeCell ref="J695:K695"/>
    <mergeCell ref="J696:K696"/>
    <mergeCell ref="J653:K653"/>
    <mergeCell ref="J654:K654"/>
    <mergeCell ref="J655:K655"/>
    <mergeCell ref="J656:K656"/>
    <mergeCell ref="K668:O668"/>
    <mergeCell ref="K669:O669"/>
    <mergeCell ref="M657:N657"/>
    <mergeCell ref="M659:N659"/>
    <mergeCell ref="N664:O664"/>
    <mergeCell ref="N665:O665"/>
    <mergeCell ref="K667:O667"/>
    <mergeCell ref="J674:K674"/>
    <mergeCell ref="J675:K675"/>
    <mergeCell ref="J676:K676"/>
    <mergeCell ref="J646:K646"/>
    <mergeCell ref="K638:O638"/>
    <mergeCell ref="J649:K649"/>
    <mergeCell ref="J650:K650"/>
    <mergeCell ref="K640:O640"/>
    <mergeCell ref="N663:O663"/>
    <mergeCell ref="M630:N630"/>
    <mergeCell ref="N634:O634"/>
    <mergeCell ref="J647:K647"/>
    <mergeCell ref="J648:K648"/>
    <mergeCell ref="N635:O635"/>
    <mergeCell ref="N636:O636"/>
    <mergeCell ref="K639:O639"/>
    <mergeCell ref="J651:K651"/>
    <mergeCell ref="J652:K652"/>
    <mergeCell ref="J644:K644"/>
    <mergeCell ref="J616:K616"/>
    <mergeCell ref="J617:K617"/>
    <mergeCell ref="J618:K618"/>
    <mergeCell ref="J619:K619"/>
    <mergeCell ref="J620:K620"/>
    <mergeCell ref="J621:K621"/>
    <mergeCell ref="J622:K622"/>
    <mergeCell ref="J645:K645"/>
    <mergeCell ref="M602:N602"/>
    <mergeCell ref="N606:O606"/>
    <mergeCell ref="N607:O607"/>
    <mergeCell ref="N608:O608"/>
    <mergeCell ref="J627:K627"/>
    <mergeCell ref="M628:N628"/>
    <mergeCell ref="K610:O610"/>
    <mergeCell ref="K611:O611"/>
    <mergeCell ref="J623:K623"/>
    <mergeCell ref="J624:K624"/>
    <mergeCell ref="K612:O612"/>
    <mergeCell ref="J625:K625"/>
    <mergeCell ref="J626:K626"/>
    <mergeCell ref="J595:K595"/>
    <mergeCell ref="J596:K596"/>
    <mergeCell ref="J597:K597"/>
    <mergeCell ref="J598:K598"/>
    <mergeCell ref="J599:K599"/>
    <mergeCell ref="M600:N600"/>
    <mergeCell ref="K566:O566"/>
    <mergeCell ref="K584:O584"/>
    <mergeCell ref="N580:O580"/>
    <mergeCell ref="K582:O582"/>
    <mergeCell ref="K583:O583"/>
    <mergeCell ref="J591:K591"/>
    <mergeCell ref="J592:K592"/>
    <mergeCell ref="J593:K593"/>
    <mergeCell ref="J594:K594"/>
    <mergeCell ref="N560:O560"/>
    <mergeCell ref="N535:O535"/>
    <mergeCell ref="J589:K589"/>
    <mergeCell ref="J590:K590"/>
    <mergeCell ref="J588:K588"/>
    <mergeCell ref="J527:K527"/>
    <mergeCell ref="J528:K528"/>
    <mergeCell ref="K564:O564"/>
    <mergeCell ref="J570:K570"/>
    <mergeCell ref="K565:O565"/>
    <mergeCell ref="N561:O561"/>
    <mergeCell ref="N562:O562"/>
    <mergeCell ref="N579:O579"/>
    <mergeCell ref="K539:O539"/>
    <mergeCell ref="K540:O540"/>
    <mergeCell ref="K541:O541"/>
    <mergeCell ref="J571:K571"/>
    <mergeCell ref="M572:N572"/>
    <mergeCell ref="M574:N574"/>
    <mergeCell ref="N578:O578"/>
    <mergeCell ref="J502:K502"/>
    <mergeCell ref="J503:K503"/>
    <mergeCell ref="J504:K504"/>
    <mergeCell ref="K515:O515"/>
    <mergeCell ref="J499:K499"/>
    <mergeCell ref="J500:K500"/>
    <mergeCell ref="N537:O537"/>
    <mergeCell ref="J497:K497"/>
    <mergeCell ref="M505:N505"/>
    <mergeCell ref="J526:K526"/>
    <mergeCell ref="M507:N507"/>
    <mergeCell ref="N511:O511"/>
    <mergeCell ref="N512:O512"/>
    <mergeCell ref="N513:O513"/>
    <mergeCell ref="K516:O516"/>
    <mergeCell ref="K517:O517"/>
    <mergeCell ref="J522:K522"/>
    <mergeCell ref="J523:K523"/>
    <mergeCell ref="J524:K524"/>
    <mergeCell ref="J525:K525"/>
    <mergeCell ref="J521:K521"/>
    <mergeCell ref="N536:O536"/>
    <mergeCell ref="M529:N529"/>
    <mergeCell ref="M531:N531"/>
    <mergeCell ref="J479:K479"/>
    <mergeCell ref="M480:N480"/>
    <mergeCell ref="M482:N482"/>
    <mergeCell ref="N487:O487"/>
    <mergeCell ref="N488:O488"/>
    <mergeCell ref="J501:K501"/>
    <mergeCell ref="K491:O491"/>
    <mergeCell ref="K492:O492"/>
    <mergeCell ref="J496:K496"/>
    <mergeCell ref="J498:K498"/>
    <mergeCell ref="K490:O490"/>
    <mergeCell ref="N486:O486"/>
    <mergeCell ref="B475:C475"/>
    <mergeCell ref="B471:C471"/>
    <mergeCell ref="B477:C477"/>
    <mergeCell ref="J474:K474"/>
    <mergeCell ref="J475:K475"/>
    <mergeCell ref="K466:O466"/>
    <mergeCell ref="J473:K473"/>
    <mergeCell ref="K467:O467"/>
    <mergeCell ref="J471:K471"/>
    <mergeCell ref="B479:C479"/>
    <mergeCell ref="B476:C476"/>
    <mergeCell ref="B478:C478"/>
    <mergeCell ref="K441:O441"/>
    <mergeCell ref="K442:O442"/>
    <mergeCell ref="C441:G441"/>
    <mergeCell ref="B446:C446"/>
    <mergeCell ref="C442:G442"/>
    <mergeCell ref="E482:F482"/>
    <mergeCell ref="C467:G467"/>
    <mergeCell ref="B472:C472"/>
    <mergeCell ref="E480:F480"/>
    <mergeCell ref="B474:C474"/>
    <mergeCell ref="C465:G465"/>
    <mergeCell ref="B473:C473"/>
    <mergeCell ref="F461:G461"/>
    <mergeCell ref="N461:O461"/>
    <mergeCell ref="N462:O462"/>
    <mergeCell ref="N463:O463"/>
    <mergeCell ref="J476:K476"/>
    <mergeCell ref="J478:K478"/>
    <mergeCell ref="J477:K477"/>
    <mergeCell ref="J472:K472"/>
    <mergeCell ref="K465:O465"/>
    <mergeCell ref="B452:C452"/>
    <mergeCell ref="E455:F455"/>
    <mergeCell ref="B453:C453"/>
    <mergeCell ref="E457:F457"/>
    <mergeCell ref="F463:G463"/>
    <mergeCell ref="C466:G466"/>
    <mergeCell ref="J419:K419"/>
    <mergeCell ref="F462:G462"/>
    <mergeCell ref="B449:C449"/>
    <mergeCell ref="B451:C451"/>
    <mergeCell ref="B450:C450"/>
    <mergeCell ref="B454:C454"/>
    <mergeCell ref="B447:C447"/>
    <mergeCell ref="B448:C448"/>
    <mergeCell ref="B429:C429"/>
    <mergeCell ref="B425:C425"/>
    <mergeCell ref="B419:C419"/>
    <mergeCell ref="B423:C423"/>
    <mergeCell ref="N436:O436"/>
    <mergeCell ref="N437:O437"/>
    <mergeCell ref="N438:O438"/>
    <mergeCell ref="K440:O440"/>
    <mergeCell ref="M430:N430"/>
    <mergeCell ref="M432:N432"/>
    <mergeCell ref="F437:G437"/>
    <mergeCell ref="F438:G438"/>
    <mergeCell ref="J420:K420"/>
    <mergeCell ref="J421:K421"/>
    <mergeCell ref="F436:G436"/>
    <mergeCell ref="C440:G440"/>
    <mergeCell ref="J401:K401"/>
    <mergeCell ref="J402:K402"/>
    <mergeCell ref="M403:N403"/>
    <mergeCell ref="J429:K429"/>
    <mergeCell ref="N410:O410"/>
    <mergeCell ref="N411:O411"/>
    <mergeCell ref="J423:K423"/>
    <mergeCell ref="J424:K424"/>
    <mergeCell ref="J425:K425"/>
    <mergeCell ref="K414:O414"/>
    <mergeCell ref="K415:O415"/>
    <mergeCell ref="J428:K428"/>
    <mergeCell ref="N409:O409"/>
    <mergeCell ref="J422:K422"/>
    <mergeCell ref="J427:K427"/>
    <mergeCell ref="J426:K426"/>
    <mergeCell ref="K413:O413"/>
    <mergeCell ref="M405:N405"/>
    <mergeCell ref="N387:O387"/>
    <mergeCell ref="J376:K376"/>
    <mergeCell ref="J400:K400"/>
    <mergeCell ref="J379:K379"/>
    <mergeCell ref="J396:K396"/>
    <mergeCell ref="N388:O388"/>
    <mergeCell ref="K390:O390"/>
    <mergeCell ref="K391:O391"/>
    <mergeCell ref="K392:O392"/>
    <mergeCell ref="J397:K397"/>
    <mergeCell ref="J398:K398"/>
    <mergeCell ref="J399:K399"/>
    <mergeCell ref="M382:N382"/>
    <mergeCell ref="K369:O369"/>
    <mergeCell ref="J373:K373"/>
    <mergeCell ref="J374:K374"/>
    <mergeCell ref="J375:K375"/>
    <mergeCell ref="J377:K377"/>
    <mergeCell ref="J378:K378"/>
    <mergeCell ref="M380:N380"/>
    <mergeCell ref="N386:O386"/>
    <mergeCell ref="J354:K354"/>
    <mergeCell ref="J355:K355"/>
    <mergeCell ref="N364:O364"/>
    <mergeCell ref="N365:O365"/>
    <mergeCell ref="K367:O367"/>
    <mergeCell ref="K368:O368"/>
    <mergeCell ref="J356:K356"/>
    <mergeCell ref="M357:N357"/>
    <mergeCell ref="M359:N359"/>
    <mergeCell ref="N363:O363"/>
    <mergeCell ref="K320:O320"/>
    <mergeCell ref="J332:K332"/>
    <mergeCell ref="J330:K330"/>
    <mergeCell ref="J331:K331"/>
    <mergeCell ref="M335:N335"/>
    <mergeCell ref="N339:O339"/>
    <mergeCell ref="J353:K353"/>
    <mergeCell ref="M333:N333"/>
    <mergeCell ref="K343:O343"/>
    <mergeCell ref="K344:O344"/>
    <mergeCell ref="K345:O345"/>
    <mergeCell ref="J349:K349"/>
    <mergeCell ref="J350:K350"/>
    <mergeCell ref="J351:K351"/>
    <mergeCell ref="J352:K352"/>
    <mergeCell ref="N341:O341"/>
    <mergeCell ref="M308:N308"/>
    <mergeCell ref="M310:N310"/>
    <mergeCell ref="N314:O314"/>
    <mergeCell ref="N315:O315"/>
    <mergeCell ref="N340:O340"/>
    <mergeCell ref="N294:O294"/>
    <mergeCell ref="N295:O295"/>
    <mergeCell ref="J328:K328"/>
    <mergeCell ref="J329:K329"/>
    <mergeCell ref="J306:K306"/>
    <mergeCell ref="J307:K307"/>
    <mergeCell ref="J324:K324"/>
    <mergeCell ref="J325:K325"/>
    <mergeCell ref="J326:K326"/>
    <mergeCell ref="J327:K327"/>
    <mergeCell ref="J304:K304"/>
    <mergeCell ref="J305:K305"/>
    <mergeCell ref="N296:O296"/>
    <mergeCell ref="K298:O298"/>
    <mergeCell ref="K299:O299"/>
    <mergeCell ref="K300:O300"/>
    <mergeCell ref="N316:O316"/>
    <mergeCell ref="K318:O318"/>
    <mergeCell ref="K319:O319"/>
    <mergeCell ref="N195:O195"/>
    <mergeCell ref="K201:O201"/>
    <mergeCell ref="N220:O220"/>
    <mergeCell ref="N196:O196"/>
    <mergeCell ref="N197:O197"/>
    <mergeCell ref="M288:N288"/>
    <mergeCell ref="J281:K281"/>
    <mergeCell ref="J287:K287"/>
    <mergeCell ref="J284:K284"/>
    <mergeCell ref="J285:K285"/>
    <mergeCell ref="J286:K286"/>
    <mergeCell ref="K275:O275"/>
    <mergeCell ref="J264:K264"/>
    <mergeCell ref="J260:K260"/>
    <mergeCell ref="M265:N265"/>
    <mergeCell ref="J263:K263"/>
    <mergeCell ref="J258:K258"/>
    <mergeCell ref="N249:O249"/>
    <mergeCell ref="K251:O251"/>
    <mergeCell ref="K252:O252"/>
    <mergeCell ref="K253:O253"/>
    <mergeCell ref="J282:K282"/>
    <mergeCell ref="J283:K283"/>
    <mergeCell ref="N273:O273"/>
    <mergeCell ref="M290:N290"/>
    <mergeCell ref="M267:N267"/>
    <mergeCell ref="N271:O271"/>
    <mergeCell ref="N221:O221"/>
    <mergeCell ref="K225:O225"/>
    <mergeCell ref="K199:O199"/>
    <mergeCell ref="K200:O200"/>
    <mergeCell ref="N222:O222"/>
    <mergeCell ref="J262:K262"/>
    <mergeCell ref="N248:O248"/>
    <mergeCell ref="K226:O226"/>
    <mergeCell ref="N247:O247"/>
    <mergeCell ref="K277:O277"/>
    <mergeCell ref="J257:K257"/>
    <mergeCell ref="J261:K261"/>
    <mergeCell ref="K276:O276"/>
    <mergeCell ref="N272:O272"/>
    <mergeCell ref="J259:K259"/>
    <mergeCell ref="N172:O172"/>
    <mergeCell ref="K174:O174"/>
    <mergeCell ref="K175:O175"/>
    <mergeCell ref="K224:O224"/>
    <mergeCell ref="K176:O176"/>
    <mergeCell ref="N171:O171"/>
    <mergeCell ref="J110:K110"/>
    <mergeCell ref="J112:K112"/>
    <mergeCell ref="J113:K113"/>
    <mergeCell ref="M114:N114"/>
    <mergeCell ref="M116:N116"/>
    <mergeCell ref="N145:O145"/>
    <mergeCell ref="N146:O146"/>
    <mergeCell ref="J157:K157"/>
    <mergeCell ref="J158:K158"/>
    <mergeCell ref="J163:K163"/>
    <mergeCell ref="M164:N164"/>
    <mergeCell ref="J155:K155"/>
    <mergeCell ref="J156:K156"/>
    <mergeCell ref="N147:O147"/>
    <mergeCell ref="K149:O149"/>
    <mergeCell ref="K150:O150"/>
    <mergeCell ref="K151:O151"/>
    <mergeCell ref="M166:N166"/>
    <mergeCell ref="N170:O170"/>
    <mergeCell ref="J159:K159"/>
    <mergeCell ref="J160:K160"/>
    <mergeCell ref="J161:K161"/>
    <mergeCell ref="J162:K162"/>
    <mergeCell ref="N104:O104"/>
    <mergeCell ref="J53:K53"/>
    <mergeCell ref="K107:O107"/>
    <mergeCell ref="K125:O125"/>
    <mergeCell ref="K126:O126"/>
    <mergeCell ref="N120:O120"/>
    <mergeCell ref="N121:O121"/>
    <mergeCell ref="K108:O108"/>
    <mergeCell ref="N122:O122"/>
    <mergeCell ref="K124:O124"/>
    <mergeCell ref="J10:K10"/>
    <mergeCell ref="N45:O45"/>
    <mergeCell ref="J11:K11"/>
    <mergeCell ref="M12:N12"/>
    <mergeCell ref="N83:O83"/>
    <mergeCell ref="K106:O106"/>
    <mergeCell ref="J95:K95"/>
    <mergeCell ref="M96:N96"/>
    <mergeCell ref="M98:N98"/>
    <mergeCell ref="N102:O102"/>
    <mergeCell ref="N103:O103"/>
    <mergeCell ref="J93:K93"/>
    <mergeCell ref="J94:K94"/>
    <mergeCell ref="J90:K90"/>
    <mergeCell ref="K86:O86"/>
    <mergeCell ref="K87:O87"/>
    <mergeCell ref="K88:O88"/>
    <mergeCell ref="M57:N57"/>
    <mergeCell ref="K66:O66"/>
    <mergeCell ref="K67:O67"/>
    <mergeCell ref="J72:K72"/>
    <mergeCell ref="J69:K69"/>
    <mergeCell ref="K47:O47"/>
    <mergeCell ref="K48:O48"/>
    <mergeCell ref="K2:O2"/>
    <mergeCell ref="K3:O3"/>
    <mergeCell ref="K4:O4"/>
    <mergeCell ref="J6:K6"/>
    <mergeCell ref="J8:K8"/>
    <mergeCell ref="J9:K9"/>
    <mergeCell ref="N82:O82"/>
    <mergeCell ref="J92:K92"/>
    <mergeCell ref="N84:O84"/>
    <mergeCell ref="K22:O22"/>
    <mergeCell ref="K23:O23"/>
    <mergeCell ref="K24:O24"/>
    <mergeCell ref="N44:O44"/>
    <mergeCell ref="N43:O43"/>
    <mergeCell ref="J54:K54"/>
    <mergeCell ref="M55:N55"/>
    <mergeCell ref="K65:O65"/>
    <mergeCell ref="M14:N14"/>
    <mergeCell ref="N18:O18"/>
    <mergeCell ref="N20:O20"/>
    <mergeCell ref="N19:O19"/>
    <mergeCell ref="M76:N76"/>
    <mergeCell ref="M78:N78"/>
    <mergeCell ref="J75:K75"/>
    <mergeCell ref="K49:O49"/>
    <mergeCell ref="J51:K51"/>
    <mergeCell ref="J73:K73"/>
    <mergeCell ref="J74:K74"/>
    <mergeCell ref="J71:K71"/>
    <mergeCell ref="N61:O61"/>
    <mergeCell ref="N62:O62"/>
    <mergeCell ref="N63:O63"/>
    <mergeCell ref="B11:C11"/>
    <mergeCell ref="C23:G23"/>
    <mergeCell ref="F18:G18"/>
    <mergeCell ref="F20:G20"/>
    <mergeCell ref="C22:G22"/>
    <mergeCell ref="C49:G49"/>
    <mergeCell ref="B51:C51"/>
    <mergeCell ref="C48:G48"/>
    <mergeCell ref="C47:G47"/>
    <mergeCell ref="F44:G44"/>
    <mergeCell ref="E37:F37"/>
    <mergeCell ref="E39:F39"/>
    <mergeCell ref="B36:C36"/>
    <mergeCell ref="E14:F14"/>
    <mergeCell ref="B28:C28"/>
    <mergeCell ref="B29:C29"/>
    <mergeCell ref="B210:C210"/>
    <mergeCell ref="B211:C211"/>
    <mergeCell ref="B206:C206"/>
    <mergeCell ref="F172:G172"/>
    <mergeCell ref="E191:F191"/>
    <mergeCell ref="C176:G176"/>
    <mergeCell ref="F197:G197"/>
    <mergeCell ref="B185:C185"/>
    <mergeCell ref="B187:C187"/>
    <mergeCell ref="B182:C182"/>
    <mergeCell ref="C201:G201"/>
    <mergeCell ref="B113:C113"/>
    <mergeCell ref="B112:C112"/>
    <mergeCell ref="B53:C53"/>
    <mergeCell ref="C66:G66"/>
    <mergeCell ref="C65:G65"/>
    <mergeCell ref="C108:G108"/>
    <mergeCell ref="C106:G106"/>
    <mergeCell ref="C2:G2"/>
    <mergeCell ref="C3:G3"/>
    <mergeCell ref="C4:G4"/>
    <mergeCell ref="B8:C8"/>
    <mergeCell ref="B6:C6"/>
    <mergeCell ref="E12:F12"/>
    <mergeCell ref="F43:G43"/>
    <mergeCell ref="F45:G45"/>
    <mergeCell ref="B9:C9"/>
    <mergeCell ref="B34:C34"/>
    <mergeCell ref="B35:C35"/>
    <mergeCell ref="B32:C32"/>
    <mergeCell ref="B33:C33"/>
    <mergeCell ref="B10:C10"/>
    <mergeCell ref="B31:C31"/>
    <mergeCell ref="F19:G19"/>
    <mergeCell ref="C24:G24"/>
    <mergeCell ref="B30:C30"/>
    <mergeCell ref="C88:G88"/>
    <mergeCell ref="F82:G82"/>
    <mergeCell ref="C86:G86"/>
    <mergeCell ref="C87:G87"/>
    <mergeCell ref="C67:G67"/>
    <mergeCell ref="B73:C73"/>
    <mergeCell ref="E76:F76"/>
    <mergeCell ref="E98:F98"/>
    <mergeCell ref="B54:C54"/>
    <mergeCell ref="F104:G104"/>
    <mergeCell ref="F103:G103"/>
    <mergeCell ref="C107:G107"/>
    <mergeCell ref="B71:C71"/>
    <mergeCell ref="F62:G62"/>
    <mergeCell ref="F63:G63"/>
    <mergeCell ref="E55:F55"/>
    <mergeCell ref="F61:G61"/>
    <mergeCell ref="E57:F57"/>
    <mergeCell ref="E78:F78"/>
    <mergeCell ref="F84:G84"/>
    <mergeCell ref="E116:F116"/>
    <mergeCell ref="F102:G102"/>
    <mergeCell ref="F121:G121"/>
    <mergeCell ref="F122:G122"/>
    <mergeCell ref="C151:G151"/>
    <mergeCell ref="B155:C155"/>
    <mergeCell ref="B92:C92"/>
    <mergeCell ref="B94:C94"/>
    <mergeCell ref="B90:C90"/>
    <mergeCell ref="E96:F96"/>
    <mergeCell ref="B93:C93"/>
    <mergeCell ref="F146:G146"/>
    <mergeCell ref="F147:G147"/>
    <mergeCell ref="B95:C95"/>
    <mergeCell ref="B136:C136"/>
    <mergeCell ref="B137:C137"/>
    <mergeCell ref="C124:G124"/>
    <mergeCell ref="C125:G125"/>
    <mergeCell ref="F145:G145"/>
    <mergeCell ref="E114:F114"/>
    <mergeCell ref="B135:C135"/>
    <mergeCell ref="B132:C132"/>
    <mergeCell ref="F120:G120"/>
    <mergeCell ref="B110:C110"/>
    <mergeCell ref="B160:C160"/>
    <mergeCell ref="E166:F166"/>
    <mergeCell ref="B161:C161"/>
    <mergeCell ref="C149:G149"/>
    <mergeCell ref="B162:C162"/>
    <mergeCell ref="B158:C158"/>
    <mergeCell ref="B159:C159"/>
    <mergeCell ref="B156:C156"/>
    <mergeCell ref="B157:C157"/>
    <mergeCell ref="C150:G150"/>
    <mergeCell ref="E214:F214"/>
    <mergeCell ref="B163:C163"/>
    <mergeCell ref="E164:F164"/>
    <mergeCell ref="B181:C181"/>
    <mergeCell ref="F196:G196"/>
    <mergeCell ref="F171:G171"/>
    <mergeCell ref="F170:G170"/>
    <mergeCell ref="C174:G174"/>
    <mergeCell ref="C175:G175"/>
    <mergeCell ref="C200:G200"/>
    <mergeCell ref="E189:F189"/>
    <mergeCell ref="B188:C188"/>
    <mergeCell ref="C199:G199"/>
    <mergeCell ref="B184:C184"/>
    <mergeCell ref="B186:C186"/>
    <mergeCell ref="B180:C180"/>
    <mergeCell ref="B183:C183"/>
    <mergeCell ref="F195:G195"/>
    <mergeCell ref="B205:C205"/>
    <mergeCell ref="B207:C207"/>
    <mergeCell ref="B212:C212"/>
    <mergeCell ref="B213:C213"/>
    <mergeCell ref="B208:C208"/>
    <mergeCell ref="B209:C209"/>
    <mergeCell ref="E241:F241"/>
    <mergeCell ref="C275:G275"/>
    <mergeCell ref="F272:G272"/>
    <mergeCell ref="F271:G271"/>
    <mergeCell ref="E267:F267"/>
    <mergeCell ref="F247:G247"/>
    <mergeCell ref="E243:F243"/>
    <mergeCell ref="C253:G253"/>
    <mergeCell ref="B259:C259"/>
    <mergeCell ref="B257:C257"/>
    <mergeCell ref="B262:C262"/>
    <mergeCell ref="B258:C258"/>
    <mergeCell ref="C224:G224"/>
    <mergeCell ref="C225:G225"/>
    <mergeCell ref="B234:C234"/>
    <mergeCell ref="B230:C230"/>
    <mergeCell ref="B231:C231"/>
    <mergeCell ref="B232:C232"/>
    <mergeCell ref="B240:C240"/>
    <mergeCell ref="E216:F216"/>
    <mergeCell ref="F221:G221"/>
    <mergeCell ref="B236:C236"/>
    <mergeCell ref="B235:C235"/>
    <mergeCell ref="C226:G226"/>
    <mergeCell ref="B233:C233"/>
    <mergeCell ref="B239:C239"/>
    <mergeCell ref="B238:C238"/>
    <mergeCell ref="B237:C237"/>
    <mergeCell ref="F222:G222"/>
    <mergeCell ref="F220:G220"/>
    <mergeCell ref="C276:G276"/>
    <mergeCell ref="F248:G248"/>
    <mergeCell ref="F249:G249"/>
    <mergeCell ref="C251:G251"/>
    <mergeCell ref="C252:G252"/>
    <mergeCell ref="B264:C264"/>
    <mergeCell ref="B260:C260"/>
    <mergeCell ref="B261:C261"/>
    <mergeCell ref="F273:G273"/>
    <mergeCell ref="E265:F265"/>
    <mergeCell ref="B263:C263"/>
    <mergeCell ref="E290:F290"/>
    <mergeCell ref="B285:C285"/>
    <mergeCell ref="C277:G277"/>
    <mergeCell ref="B283:C283"/>
    <mergeCell ref="B284:C284"/>
    <mergeCell ref="B281:C281"/>
    <mergeCell ref="C319:G319"/>
    <mergeCell ref="F314:G314"/>
    <mergeCell ref="F294:G294"/>
    <mergeCell ref="B287:C287"/>
    <mergeCell ref="F316:G316"/>
    <mergeCell ref="C299:G299"/>
    <mergeCell ref="E308:F308"/>
    <mergeCell ref="F296:G296"/>
    <mergeCell ref="F295:G295"/>
    <mergeCell ref="B286:C286"/>
    <mergeCell ref="C298:G298"/>
    <mergeCell ref="C300:G300"/>
    <mergeCell ref="B306:C306"/>
    <mergeCell ref="E288:F288"/>
    <mergeCell ref="B282:C282"/>
    <mergeCell ref="E310:F310"/>
    <mergeCell ref="F315:G315"/>
    <mergeCell ref="B305:C305"/>
    <mergeCell ref="C318:G318"/>
    <mergeCell ref="B307:C307"/>
    <mergeCell ref="B304:C304"/>
    <mergeCell ref="F339:G339"/>
    <mergeCell ref="C320:G320"/>
    <mergeCell ref="B330:C330"/>
    <mergeCell ref="B331:C331"/>
    <mergeCell ref="B328:C328"/>
    <mergeCell ref="B324:C324"/>
    <mergeCell ref="B325:C325"/>
    <mergeCell ref="B326:C326"/>
    <mergeCell ref="B327:C327"/>
    <mergeCell ref="C345:G345"/>
    <mergeCell ref="B329:C329"/>
    <mergeCell ref="F340:G340"/>
    <mergeCell ref="E333:F333"/>
    <mergeCell ref="E335:F335"/>
    <mergeCell ref="F364:G364"/>
    <mergeCell ref="F365:G365"/>
    <mergeCell ref="F363:G363"/>
    <mergeCell ref="C343:G343"/>
    <mergeCell ref="B332:C332"/>
    <mergeCell ref="C344:G344"/>
    <mergeCell ref="E357:F357"/>
    <mergeCell ref="B350:C350"/>
    <mergeCell ref="B351:C351"/>
    <mergeCell ref="B352:C352"/>
    <mergeCell ref="F341:G341"/>
    <mergeCell ref="C390:G390"/>
    <mergeCell ref="B349:C349"/>
    <mergeCell ref="B373:C373"/>
    <mergeCell ref="B375:C375"/>
    <mergeCell ref="B374:C374"/>
    <mergeCell ref="B355:C355"/>
    <mergeCell ref="B356:C356"/>
    <mergeCell ref="E359:F359"/>
    <mergeCell ref="C368:G368"/>
    <mergeCell ref="C369:G369"/>
    <mergeCell ref="F387:G387"/>
    <mergeCell ref="E380:F380"/>
    <mergeCell ref="C367:G367"/>
    <mergeCell ref="B379:C379"/>
    <mergeCell ref="B377:C377"/>
    <mergeCell ref="F386:G386"/>
    <mergeCell ref="E382:F382"/>
    <mergeCell ref="B354:C354"/>
    <mergeCell ref="B353:C353"/>
    <mergeCell ref="B376:C376"/>
    <mergeCell ref="B378:C378"/>
    <mergeCell ref="F409:G409"/>
    <mergeCell ref="B424:C424"/>
    <mergeCell ref="B421:C421"/>
    <mergeCell ref="F410:G410"/>
    <mergeCell ref="C414:G414"/>
    <mergeCell ref="E432:F432"/>
    <mergeCell ref="F388:G388"/>
    <mergeCell ref="B396:C396"/>
    <mergeCell ref="C391:G391"/>
    <mergeCell ref="C392:G392"/>
    <mergeCell ref="B399:C399"/>
    <mergeCell ref="E430:F430"/>
    <mergeCell ref="E405:F405"/>
    <mergeCell ref="F411:G411"/>
    <mergeCell ref="C413:G413"/>
    <mergeCell ref="B397:C397"/>
    <mergeCell ref="E403:F403"/>
    <mergeCell ref="B398:C398"/>
    <mergeCell ref="B401:C401"/>
    <mergeCell ref="B400:C400"/>
    <mergeCell ref="B402:C402"/>
    <mergeCell ref="B426:C426"/>
    <mergeCell ref="B427:C427"/>
    <mergeCell ref="B428:C428"/>
    <mergeCell ref="B548:C548"/>
    <mergeCell ref="B547:C547"/>
    <mergeCell ref="F560:G560"/>
    <mergeCell ref="B589:C589"/>
    <mergeCell ref="B593:C593"/>
    <mergeCell ref="C415:G415"/>
    <mergeCell ref="B420:C420"/>
    <mergeCell ref="B422:C422"/>
    <mergeCell ref="C492:G492"/>
    <mergeCell ref="C584:G584"/>
    <mergeCell ref="C539:G539"/>
    <mergeCell ref="C566:G566"/>
    <mergeCell ref="F562:G562"/>
    <mergeCell ref="C540:G540"/>
    <mergeCell ref="B571:C571"/>
    <mergeCell ref="F512:G512"/>
    <mergeCell ref="E505:F505"/>
    <mergeCell ref="B521:C521"/>
    <mergeCell ref="B504:C504"/>
    <mergeCell ref="B526:C526"/>
    <mergeCell ref="B500:C500"/>
    <mergeCell ref="B497:C497"/>
    <mergeCell ref="B501:C501"/>
    <mergeCell ref="B522:C522"/>
    <mergeCell ref="B496:C496"/>
    <mergeCell ref="B498:C498"/>
    <mergeCell ref="E507:F507"/>
    <mergeCell ref="E531:F531"/>
    <mergeCell ref="E529:F529"/>
    <mergeCell ref="F511:G511"/>
    <mergeCell ref="B499:C499"/>
    <mergeCell ref="C490:G490"/>
    <mergeCell ref="C491:G491"/>
    <mergeCell ref="F513:G513"/>
    <mergeCell ref="B523:C523"/>
    <mergeCell ref="C516:G516"/>
    <mergeCell ref="C517:G517"/>
    <mergeCell ref="B524:C524"/>
    <mergeCell ref="B528:C528"/>
    <mergeCell ref="F486:G486"/>
    <mergeCell ref="F487:G487"/>
    <mergeCell ref="F488:G488"/>
    <mergeCell ref="C564:G564"/>
    <mergeCell ref="B502:C502"/>
    <mergeCell ref="B503:C503"/>
    <mergeCell ref="B545:C545"/>
    <mergeCell ref="C515:G515"/>
    <mergeCell ref="E572:F572"/>
    <mergeCell ref="B546:C546"/>
    <mergeCell ref="B527:C527"/>
    <mergeCell ref="B525:C525"/>
    <mergeCell ref="B570:C570"/>
    <mergeCell ref="F537:G537"/>
    <mergeCell ref="B550:C550"/>
    <mergeCell ref="B551:C551"/>
    <mergeCell ref="B549:C549"/>
    <mergeCell ref="C541:G541"/>
    <mergeCell ref="B553:C553"/>
    <mergeCell ref="C565:G565"/>
    <mergeCell ref="B552:C552"/>
    <mergeCell ref="F536:G536"/>
    <mergeCell ref="F535:G535"/>
    <mergeCell ref="E556:F556"/>
    <mergeCell ref="F765:G765"/>
    <mergeCell ref="E761:F761"/>
    <mergeCell ref="F766:G766"/>
    <mergeCell ref="B778:C778"/>
    <mergeCell ref="B777:C777"/>
    <mergeCell ref="B776:C776"/>
    <mergeCell ref="F767:G767"/>
    <mergeCell ref="F714:G714"/>
    <mergeCell ref="C717:G717"/>
    <mergeCell ref="F715:G715"/>
    <mergeCell ref="B750:C750"/>
    <mergeCell ref="B727:C727"/>
    <mergeCell ref="E734:F734"/>
    <mergeCell ref="B729:C729"/>
    <mergeCell ref="E759:F759"/>
    <mergeCell ref="B758:C758"/>
    <mergeCell ref="E732:F732"/>
    <mergeCell ref="C719:G719"/>
    <mergeCell ref="B724:C724"/>
    <mergeCell ref="C744:G744"/>
    <mergeCell ref="B725:C725"/>
    <mergeCell ref="B757:C757"/>
    <mergeCell ref="B728:C728"/>
    <mergeCell ref="B755:C755"/>
    <mergeCell ref="F787:G787"/>
    <mergeCell ref="C769:G769"/>
    <mergeCell ref="C770:G770"/>
    <mergeCell ref="C771:G771"/>
    <mergeCell ref="B775:C775"/>
    <mergeCell ref="E779:F779"/>
    <mergeCell ref="F786:G786"/>
    <mergeCell ref="F785:G785"/>
    <mergeCell ref="E781:F781"/>
    <mergeCell ref="B756:C756"/>
    <mergeCell ref="F663:G663"/>
    <mergeCell ref="E659:F659"/>
    <mergeCell ref="F685:G685"/>
    <mergeCell ref="C583:G583"/>
    <mergeCell ref="F606:G606"/>
    <mergeCell ref="B622:C622"/>
    <mergeCell ref="B618:C618"/>
    <mergeCell ref="B621:C621"/>
    <mergeCell ref="B594:C594"/>
    <mergeCell ref="B592:C592"/>
    <mergeCell ref="E602:F602"/>
    <mergeCell ref="F607:G607"/>
    <mergeCell ref="B588:C588"/>
    <mergeCell ref="F665:G665"/>
    <mergeCell ref="C668:G668"/>
    <mergeCell ref="B616:C616"/>
    <mergeCell ref="B620:C620"/>
    <mergeCell ref="B627:C627"/>
    <mergeCell ref="B651:C651"/>
    <mergeCell ref="B656:C656"/>
    <mergeCell ref="E657:F657"/>
    <mergeCell ref="B597:C597"/>
    <mergeCell ref="B647:C647"/>
    <mergeCell ref="C610:G610"/>
    <mergeCell ref="E600:F600"/>
    <mergeCell ref="F608:G608"/>
    <mergeCell ref="B591:C591"/>
    <mergeCell ref="C611:G611"/>
    <mergeCell ref="E554:F554"/>
    <mergeCell ref="F561:G561"/>
    <mergeCell ref="F579:G579"/>
    <mergeCell ref="F578:G578"/>
    <mergeCell ref="B595:C595"/>
    <mergeCell ref="B596:C596"/>
    <mergeCell ref="B590:C590"/>
    <mergeCell ref="C582:G582"/>
    <mergeCell ref="F580:G580"/>
    <mergeCell ref="B599:C599"/>
    <mergeCell ref="E574:F574"/>
    <mergeCell ref="B655:C655"/>
    <mergeCell ref="B646:C646"/>
    <mergeCell ref="B650:C650"/>
    <mergeCell ref="B653:C653"/>
    <mergeCell ref="C669:G669"/>
    <mergeCell ref="F686:G686"/>
    <mergeCell ref="E681:F681"/>
    <mergeCell ref="C691:G691"/>
    <mergeCell ref="B673:C673"/>
    <mergeCell ref="B676:C676"/>
    <mergeCell ref="B648:C648"/>
    <mergeCell ref="B649:C649"/>
    <mergeCell ref="B678:C678"/>
    <mergeCell ref="C612:G612"/>
    <mergeCell ref="B598:C598"/>
    <mergeCell ref="F664:G664"/>
    <mergeCell ref="B677:C677"/>
    <mergeCell ref="F687:G687"/>
    <mergeCell ref="B700:C700"/>
    <mergeCell ref="C690:G690"/>
    <mergeCell ref="B697:C697"/>
    <mergeCell ref="C667:G667"/>
    <mergeCell ref="B617:C617"/>
    <mergeCell ref="B625:C625"/>
    <mergeCell ref="C638:G638"/>
    <mergeCell ref="B645:C645"/>
    <mergeCell ref="F634:G634"/>
    <mergeCell ref="B619:C619"/>
    <mergeCell ref="E628:F628"/>
    <mergeCell ref="E630:F630"/>
    <mergeCell ref="F635:G635"/>
    <mergeCell ref="F636:G636"/>
    <mergeCell ref="C639:G639"/>
    <mergeCell ref="C640:G640"/>
    <mergeCell ref="B624:C624"/>
    <mergeCell ref="B623:C623"/>
    <mergeCell ref="B644:C644"/>
    <mergeCell ref="B626:C626"/>
    <mergeCell ref="B730:C730"/>
    <mergeCell ref="B706:C706"/>
    <mergeCell ref="B726:C726"/>
    <mergeCell ref="C718:G718"/>
    <mergeCell ref="B723:C723"/>
    <mergeCell ref="B674:C674"/>
    <mergeCell ref="B675:C675"/>
    <mergeCell ref="B703:C703"/>
    <mergeCell ref="F713:G713"/>
    <mergeCell ref="B695:C695"/>
    <mergeCell ref="E707:F707"/>
    <mergeCell ref="E709:F709"/>
    <mergeCell ref="B704:C704"/>
    <mergeCell ref="C689:G689"/>
    <mergeCell ref="E679:F679"/>
    <mergeCell ref="B705:C705"/>
    <mergeCell ref="B652:C652"/>
    <mergeCell ref="B654:C654"/>
    <mergeCell ref="B702:C702"/>
    <mergeCell ref="B696:C696"/>
    <mergeCell ref="B698:C698"/>
    <mergeCell ref="B699:C699"/>
    <mergeCell ref="B701:C701"/>
    <mergeCell ref="B731:C731"/>
    <mergeCell ref="B751:C751"/>
    <mergeCell ref="B752:C752"/>
    <mergeCell ref="B754:C754"/>
    <mergeCell ref="B749:C749"/>
    <mergeCell ref="B753:C753"/>
    <mergeCell ref="C743:G743"/>
    <mergeCell ref="B748:C748"/>
    <mergeCell ref="F738:G738"/>
    <mergeCell ref="C742:G742"/>
    <mergeCell ref="F739:G739"/>
    <mergeCell ref="F740:G740"/>
  </mergeCells>
  <phoneticPr fontId="0" type="noConversion"/>
  <conditionalFormatting sqref="I31">
    <cfRule type="cellIs" dxfId="9" priority="1" stopIfTrue="1" operator="notEqual">
      <formula>#REF!</formula>
    </cfRule>
  </conditionalFormatting>
  <pageMargins left="0.98425196850393704" right="0.39370078740157483" top="0.39370078740157483" bottom="0.39370078740157483" header="0.19685039370078741" footer="0.19685039370078741"/>
  <pageSetup paperSize="9" scale="94" orientation="portrait" horizontalDpi="4294967293" r:id="rId1"/>
  <headerFooter alignWithMargins="0">
    <oddHeader>&amp;C&amp;8PERUŠIĆ D.O.O. STANDARD REDOVNOG ODRŽAVANJA CESTA 2009.&amp;R&amp;8&amp;D</oddHeader>
    <oddFooter>&amp;L&amp;8&amp;F&amp;C&amp;8&amp;A&amp;R&amp;8&amp;P / &amp;N</oddFooter>
  </headerFooter>
  <rowBreaks count="32" manualBreakCount="32">
    <brk id="20" max="16383" man="1"/>
    <brk id="45" max="6" man="1"/>
    <brk id="63" max="6" man="1"/>
    <brk id="84" max="6" man="1"/>
    <brk id="104" max="6" man="1"/>
    <brk id="122" max="6" man="1"/>
    <brk id="147" max="6" man="1"/>
    <brk id="172" max="6" man="1"/>
    <brk id="197" max="6" man="1"/>
    <brk id="222" max="6" man="1"/>
    <brk id="249" max="6" man="1"/>
    <brk id="273" max="6" man="1"/>
    <brk id="296" max="6" man="1"/>
    <brk id="316" max="6" man="1"/>
    <brk id="341" max="6" man="1"/>
    <brk id="365" max="6" man="1"/>
    <brk id="388" max="6" man="1"/>
    <brk id="411" max="6" man="1"/>
    <brk id="438" max="6" man="1"/>
    <brk id="463" max="6" man="1"/>
    <brk id="488" max="6" man="1"/>
    <brk id="513" max="6" man="1"/>
    <brk id="537" max="6" man="1"/>
    <brk id="562" max="6" man="1"/>
    <brk id="580" max="6" man="1"/>
    <brk id="608" max="6" man="1"/>
    <brk id="636" max="6" man="1"/>
    <brk id="665" max="6" man="1"/>
    <brk id="687" max="6" man="1"/>
    <brk id="715" max="6" man="1"/>
    <brk id="740" max="6" man="1"/>
    <brk id="767" max="6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900-000000000000}">
          <x14:formula1>
            <xm:f>'Cjenik RS'!$C$11:$C$26</xm:f>
          </x14:formula1>
          <xm:sqref>J645:K645 B9:C9 J9:K9 B29:C29 B54:C54 J54:K54 B72:C72 J72:K72 B93:C93 J93:K93 B113:C113 J113:K113 B131:C131 B156:C156 J156:K156 B181:C181 B206:C206 B231:C231 B258:C258 J282:K282 B282:C282 B305:C305 J305:K305 B325:C325 J325:K325 B350:C350 J350:K350 B374:C374 J374:K374 B397:C397 J397:K397 B420:C420 J420:K420 B447:C447 B472:C472 J472:K472 B497:C497 J497:K497 B522:C522 J522:K522 B546:C546 B571:C571 J571:K571 B589:C589 J589:K589 B617:C617 J617:K617 B645:C645 B674:C674 J674:K674 B696:C696 J696:K696 B724:C724 J724:K724 B749:C749 J749:K749 B776:C776 J776:K776 J258:K258</xm:sqref>
        </x14:dataValidation>
        <x14:dataValidation type="list" allowBlank="1" showInputMessage="1" showErrorMessage="1" xr:uid="{00000000-0002-0000-0900-000001000000}">
          <x14:formula1>
            <xm:f>'Cjenik VSO (pomoćna)'!$B$9:$B$13</xm:f>
          </x14:formula1>
          <xm:sqref>B11:C11 J11:K11 B591:C593 B74:C75 J74:K75 B95:C95 J95:K95 B133:C134 B158:C160 J158:K160 B183:C185 B208:C210 B233:C235 B260:C261 B284:C285 J284:K285 B327:C327 J327:K327 B352:C353 J352:K353 B376:C376 J376:K376 B399:C400 J399:K400 B422:C423 J422:K423 B449:C450 B474:C475 J474:K475 B499:C500 J499:K500 B524:C525 J524:K525 J619:K622 B31:C32 B726:C727 J726:K727 B698:C702 J698:K702 B647:C650 J647:K650 B619:C622 J591:K593</xm:sqref>
        </x14:dataValidation>
        <x14:dataValidation type="list" allowBlank="1" showInputMessage="1" showErrorMessage="1" xr:uid="{00000000-0002-0000-0900-000002000000}">
          <x14:formula1>
            <xm:f>'Cjenik M'!$B$11:$B$119</xm:f>
          </x14:formula1>
          <xm:sqref>J477:K479 B35:C36 B137:C138 B162:C163 J162:K163 B187:C188 B212:C213 B237:C240 B263:C264 B287:C287 B307:C307 B329:C332 J329:K332 B355:C356 J355:K356 B378:C379 J378:K379 B402:C402 J402:K402 B425:C429 J425:K429 B453:C454 B477:C479 B502:C504 J502:K504 B527:C528 J527:K528 B778:C778 J778:K778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O302"/>
  <sheetViews>
    <sheetView showZeros="0" view="pageBreakPreview" topLeftCell="A85" zoomScaleNormal="70" zoomScaleSheetLayoutView="100" workbookViewId="0">
      <selection activeCell="K102" sqref="K102:O102"/>
    </sheetView>
  </sheetViews>
  <sheetFormatPr defaultRowHeight="12.75"/>
  <cols>
    <col min="1" max="1" width="3.7109375" style="1" customWidth="1"/>
    <col min="2" max="2" width="10.7109375" style="37" customWidth="1"/>
    <col min="3" max="3" width="25.7109375" style="2" customWidth="1"/>
    <col min="4" max="4" width="6.7109375" style="3" customWidth="1"/>
    <col min="5" max="5" width="11.7109375" style="4" customWidth="1"/>
    <col min="6" max="7" width="11.7109375" style="5" customWidth="1"/>
    <col min="8" max="16384" width="9.140625" style="2"/>
  </cols>
  <sheetData>
    <row r="1" spans="1:15" ht="15" customHeight="1"/>
    <row r="2" spans="1:15" s="6" customFormat="1" ht="15" customHeight="1">
      <c r="A2" s="150"/>
      <c r="B2" s="145" t="s">
        <v>728</v>
      </c>
      <c r="C2" s="836" t="s">
        <v>729</v>
      </c>
      <c r="D2" s="836"/>
      <c r="E2" s="836"/>
      <c r="F2" s="836"/>
      <c r="G2" s="836"/>
    </row>
    <row r="3" spans="1:15" s="6" customFormat="1">
      <c r="A3" s="164"/>
      <c r="B3" s="165" t="s">
        <v>730</v>
      </c>
      <c r="C3" s="892" t="s">
        <v>731</v>
      </c>
      <c r="D3" s="892"/>
      <c r="E3" s="892"/>
      <c r="F3" s="892"/>
      <c r="G3" s="892"/>
    </row>
    <row r="4" spans="1:15" ht="150" customHeight="1">
      <c r="A4" s="40"/>
      <c r="B4" s="556" t="s">
        <v>732</v>
      </c>
      <c r="C4" s="852" t="s">
        <v>733</v>
      </c>
      <c r="D4" s="852"/>
      <c r="E4" s="852"/>
      <c r="F4" s="852"/>
      <c r="G4" s="852"/>
      <c r="I4" s="40"/>
      <c r="J4" s="41"/>
      <c r="K4" s="869"/>
      <c r="L4" s="869"/>
      <c r="M4" s="869"/>
      <c r="N4" s="869"/>
      <c r="O4" s="869"/>
    </row>
    <row r="5" spans="1:15" ht="25.15" customHeight="1">
      <c r="A5" s="10"/>
      <c r="B5" s="835" t="str">
        <f>'Obrazac kalkulacije'!$B$6:$C$6</f>
        <v>Opis</v>
      </c>
      <c r="C5" s="835"/>
      <c r="D5" s="10" t="str">
        <f>'Obrazac kalkulacije'!$D$6</f>
        <v>Jed.
mjere</v>
      </c>
      <c r="E5" s="10" t="str">
        <f>'Obrazac kalkulacije'!$E$6</f>
        <v>Normativ</v>
      </c>
      <c r="F5" s="10" t="str">
        <f>'Obrazac kalkulacije'!$F$6</f>
        <v>Jed.
cijena</v>
      </c>
      <c r="G5" s="10" t="str">
        <f>'Obrazac kalkulacije'!$G$6</f>
        <v>Iznos</v>
      </c>
    </row>
    <row r="6" spans="1:15" ht="25.15" customHeight="1">
      <c r="B6" s="42"/>
      <c r="C6" s="1"/>
      <c r="D6" s="11"/>
      <c r="E6" s="13"/>
      <c r="F6" s="245"/>
      <c r="G6" s="15"/>
    </row>
    <row r="7" spans="1:15" ht="25.15" customHeight="1">
      <c r="A7" s="16"/>
      <c r="B7" s="17" t="str">
        <f>'Obrazac kalkulacije'!$B$8</f>
        <v>Radna snaga:</v>
      </c>
      <c r="C7" s="17"/>
      <c r="D7" s="16"/>
      <c r="E7" s="16"/>
      <c r="F7" s="246"/>
      <c r="G7" s="18">
        <f>SUM(G8:G8)</f>
        <v>105.03</v>
      </c>
    </row>
    <row r="8" spans="1:15" ht="27.75" customHeight="1">
      <c r="A8" s="32"/>
      <c r="B8" s="854" t="s">
        <v>57</v>
      </c>
      <c r="C8" s="854"/>
      <c r="D8" s="33" t="s">
        <v>51</v>
      </c>
      <c r="E8" s="34">
        <v>1</v>
      </c>
      <c r="F8" s="243">
        <f>SUMIF('Cjenik RS'!$C$11:$C$26,$B8,'Cjenik RS'!$D$11:$D$90)</f>
        <v>105.03</v>
      </c>
      <c r="G8" s="35">
        <f>+F8*E8</f>
        <v>105.03</v>
      </c>
    </row>
    <row r="9" spans="1:15" ht="27.75" customHeight="1">
      <c r="A9" s="16"/>
      <c r="B9" s="17" t="str">
        <f>'Obrazac kalkulacije'!$B$11</f>
        <v>Vozila, strojevi i oprema:</v>
      </c>
      <c r="C9" s="17"/>
      <c r="D9" s="16"/>
      <c r="E9" s="16"/>
      <c r="F9" s="243"/>
      <c r="G9" s="18">
        <f>SUM(G10:G12)</f>
        <v>673.26</v>
      </c>
    </row>
    <row r="10" spans="1:15" ht="27.75" customHeight="1">
      <c r="A10" s="51"/>
      <c r="B10" s="849" t="s">
        <v>73</v>
      </c>
      <c r="C10" s="849"/>
      <c r="D10" s="52" t="s">
        <v>51</v>
      </c>
      <c r="E10" s="86">
        <v>1</v>
      </c>
      <c r="F10" s="240">
        <f>SUMIF('Cjenik VSO'!$B$9:$B$85,$B10,'Cjenik VSO'!$C$9:$C$85)</f>
        <v>291.72000000000003</v>
      </c>
      <c r="G10" s="55">
        <f>+F10*E10</f>
        <v>291.72000000000003</v>
      </c>
    </row>
    <row r="11" spans="1:15" ht="27.75" customHeight="1">
      <c r="A11" s="56"/>
      <c r="B11" s="839" t="s">
        <v>97</v>
      </c>
      <c r="C11" s="839"/>
      <c r="D11" s="57" t="s">
        <v>51</v>
      </c>
      <c r="E11" s="92">
        <v>1</v>
      </c>
      <c r="F11" s="241">
        <f>SUMIF('Cjenik VSO'!$B$9:$B$85,$B11,'Cjenik VSO'!$C$9:$C$85)</f>
        <v>279.37</v>
      </c>
      <c r="G11" s="60">
        <f>+F11*E11</f>
        <v>279.37</v>
      </c>
    </row>
    <row r="12" spans="1:15" ht="27.75" customHeight="1">
      <c r="A12" s="61"/>
      <c r="B12" s="855" t="s">
        <v>71</v>
      </c>
      <c r="C12" s="855"/>
      <c r="D12" s="62" t="s">
        <v>51</v>
      </c>
      <c r="E12" s="87">
        <v>1</v>
      </c>
      <c r="F12" s="242">
        <f>SUMIF('Cjenik VSO'!$B$9:$B$85,$B12,'Cjenik VSO'!$C$9:$C$85)</f>
        <v>102.17</v>
      </c>
      <c r="G12" s="65">
        <f>+F12*E12</f>
        <v>102.17</v>
      </c>
    </row>
    <row r="13" spans="1:15" ht="27.75" customHeight="1">
      <c r="A13" s="16"/>
      <c r="B13" s="851" t="str">
        <f>'Obrazac kalkulacije'!$B$15</f>
        <v>Materijali:</v>
      </c>
      <c r="C13" s="851"/>
      <c r="D13" s="16"/>
      <c r="E13" s="16"/>
      <c r="F13" s="243"/>
      <c r="G13" s="18" t="e">
        <f>SUM(G14:G14)</f>
        <v>#VALUE!</v>
      </c>
    </row>
    <row r="14" spans="1:15" ht="27.75" customHeight="1">
      <c r="A14" s="43"/>
      <c r="B14" s="865" t="str">
        <f>'Cjenik M'!$B$27</f>
        <v>____________</v>
      </c>
      <c r="C14" s="865"/>
      <c r="D14" s="44">
        <f>'Cjenik M'!$C$27</f>
        <v>0</v>
      </c>
      <c r="E14" s="45">
        <v>1</v>
      </c>
      <c r="F14" s="243" t="str">
        <f>'Cjenik M'!$D$27</f>
        <v>___________</v>
      </c>
      <c r="G14" s="46" t="e">
        <f>E14*F14</f>
        <v>#VALUE!</v>
      </c>
    </row>
    <row r="15" spans="1:15" ht="21.75" customHeight="1">
      <c r="B15" s="47"/>
      <c r="C15" s="24"/>
      <c r="D15" s="25"/>
      <c r="E15" s="147" t="str">
        <f>'Obrazac kalkulacije'!$E$18</f>
        <v>Ukupno (kn):</v>
      </c>
      <c r="F15" s="255"/>
      <c r="G15" s="26" t="e">
        <f>ROUND(SUM(G7+G9+G13),2)</f>
        <v>#VALUE!</v>
      </c>
    </row>
    <row r="16" spans="1:15" s="6" customFormat="1" ht="21.75" customHeight="1">
      <c r="A16" s="1"/>
      <c r="B16" s="37"/>
      <c r="C16" s="2"/>
      <c r="D16" s="3"/>
      <c r="E16" s="27" t="str">
        <f>'Obrazac kalkulacije'!$E$19</f>
        <v>PDV:</v>
      </c>
      <c r="F16" s="248">
        <f>'Obrazac kalkulacije'!$F$19</f>
        <v>0.25</v>
      </c>
      <c r="G16" s="29" t="e">
        <f>G15*F16</f>
        <v>#VALUE!</v>
      </c>
    </row>
    <row r="17" spans="1:15" ht="32.25" customHeight="1">
      <c r="E17" s="148" t="str">
        <f>'Obrazac kalkulacije'!$E$20</f>
        <v>Sveukupno (kn):</v>
      </c>
      <c r="F17" s="256"/>
      <c r="G17" s="29" t="e">
        <f>ROUND(SUM(G15:G16),2)</f>
        <v>#VALUE!</v>
      </c>
      <c r="I17" s="40"/>
      <c r="J17" s="41"/>
      <c r="K17" s="869"/>
      <c r="L17" s="869"/>
      <c r="M17" s="869"/>
      <c r="N17" s="869"/>
      <c r="O17" s="869"/>
    </row>
    <row r="18" spans="1:15" ht="25.15" customHeight="1">
      <c r="F18" s="244"/>
    </row>
    <row r="19" spans="1:15" ht="25.15" customHeight="1">
      <c r="F19" s="244"/>
    </row>
    <row r="20" spans="1:15" ht="25.15" customHeight="1">
      <c r="F20" s="244"/>
    </row>
    <row r="21" spans="1:15" ht="15" customHeight="1">
      <c r="C21" s="3" t="str">
        <f>'Obrazac kalkulacije'!$C$24</f>
        <v>IZVODITELJ:</v>
      </c>
      <c r="F21" s="841" t="str">
        <f>'Obrazac kalkulacije'!$F$24</f>
        <v>NARUČITELJ:</v>
      </c>
      <c r="G21" s="841"/>
    </row>
    <row r="22" spans="1:15" ht="15" customHeight="1">
      <c r="C22" s="3" t="str">
        <f>'Obrazac kalkulacije'!$C$25</f>
        <v>__________________</v>
      </c>
      <c r="F22" s="841" t="str">
        <f>'Obrazac kalkulacije'!$F$25</f>
        <v>___________________</v>
      </c>
      <c r="G22" s="841"/>
    </row>
    <row r="23" spans="1:15" ht="15" customHeight="1"/>
    <row r="24" spans="1:15" ht="15" customHeight="1">
      <c r="C24" s="3"/>
      <c r="F24" s="841"/>
      <c r="G24" s="841"/>
    </row>
    <row r="25" spans="1:15" ht="25.15" customHeight="1">
      <c r="C25" s="3"/>
      <c r="F25" s="841"/>
      <c r="G25" s="841"/>
    </row>
    <row r="26" spans="1:15" ht="15" customHeight="1">
      <c r="F26" s="841"/>
      <c r="G26" s="841"/>
    </row>
    <row r="27" spans="1:15" ht="15" customHeight="1"/>
    <row r="28" spans="1:15" ht="15" customHeight="1">
      <c r="C28" s="3"/>
      <c r="F28" s="30"/>
      <c r="G28" s="30"/>
    </row>
    <row r="29" spans="1:15" ht="15" customHeight="1">
      <c r="A29" s="150"/>
      <c r="B29" s="145" t="s">
        <v>728</v>
      </c>
      <c r="C29" s="836" t="s">
        <v>729</v>
      </c>
      <c r="D29" s="836"/>
      <c r="E29" s="836"/>
      <c r="F29" s="836"/>
      <c r="G29" s="836"/>
    </row>
    <row r="30" spans="1:15" s="6" customFormat="1">
      <c r="A30" s="164"/>
      <c r="B30" s="165" t="s">
        <v>730</v>
      </c>
      <c r="C30" s="892" t="s">
        <v>731</v>
      </c>
      <c r="D30" s="892"/>
      <c r="E30" s="892"/>
      <c r="F30" s="892"/>
      <c r="G30" s="892"/>
    </row>
    <row r="31" spans="1:15" ht="150.75" customHeight="1">
      <c r="A31" s="40"/>
      <c r="B31" s="556" t="s">
        <v>734</v>
      </c>
      <c r="C31" s="852" t="s">
        <v>735</v>
      </c>
      <c r="D31" s="852"/>
      <c r="E31" s="852"/>
      <c r="F31" s="852"/>
      <c r="G31" s="852"/>
      <c r="I31" s="40"/>
      <c r="J31" s="41"/>
      <c r="K31" s="869"/>
      <c r="L31" s="869"/>
      <c r="M31" s="869"/>
      <c r="N31" s="869"/>
      <c r="O31" s="869"/>
    </row>
    <row r="32" spans="1:15" ht="25.15" customHeight="1">
      <c r="A32" s="10"/>
      <c r="B32" s="835" t="str">
        <f>'Obrazac kalkulacije'!$B$6:$C$6</f>
        <v>Opis</v>
      </c>
      <c r="C32" s="835"/>
      <c r="D32" s="10" t="str">
        <f>'Obrazac kalkulacije'!$D$6</f>
        <v>Jed.
mjere</v>
      </c>
      <c r="E32" s="10" t="str">
        <f>'Obrazac kalkulacije'!$E$6</f>
        <v>Normativ</v>
      </c>
      <c r="F32" s="10" t="str">
        <f>'Obrazac kalkulacije'!$F$6</f>
        <v>Jed.
cijena</v>
      </c>
      <c r="G32" s="10" t="str">
        <f>'Obrazac kalkulacije'!$G$6</f>
        <v>Iznos</v>
      </c>
    </row>
    <row r="33" spans="1:15" ht="25.15" customHeight="1">
      <c r="B33" s="42"/>
      <c r="C33" s="1"/>
      <c r="D33" s="11"/>
      <c r="E33" s="13"/>
      <c r="F33" s="245"/>
      <c r="G33" s="15"/>
    </row>
    <row r="34" spans="1:15" ht="25.15" customHeight="1">
      <c r="A34" s="16"/>
      <c r="B34" s="17" t="str">
        <f>'Obrazac kalkulacije'!$B$8</f>
        <v>Radna snaga:</v>
      </c>
      <c r="C34" s="17"/>
      <c r="D34" s="16"/>
      <c r="E34" s="16"/>
      <c r="F34" s="246"/>
      <c r="G34" s="18">
        <f>SUM(G35:G35)</f>
        <v>105.03</v>
      </c>
    </row>
    <row r="35" spans="1:15" ht="27.75" customHeight="1">
      <c r="A35" s="32"/>
      <c r="B35" s="854" t="s">
        <v>57</v>
      </c>
      <c r="C35" s="854"/>
      <c r="D35" s="33" t="s">
        <v>51</v>
      </c>
      <c r="E35" s="34">
        <v>1</v>
      </c>
      <c r="F35" s="243">
        <f>SUMIF('Cjenik RS'!$C$11:$C$26,$B35,'Cjenik RS'!$D$11:$D$90)</f>
        <v>105.03</v>
      </c>
      <c r="G35" s="35">
        <f>+F35*E35</f>
        <v>105.03</v>
      </c>
    </row>
    <row r="36" spans="1:15" ht="27.75" customHeight="1">
      <c r="A36" s="16"/>
      <c r="B36" s="17" t="str">
        <f>'Obrazac kalkulacije'!$B$11</f>
        <v>Vozila, strojevi i oprema:</v>
      </c>
      <c r="C36" s="17"/>
      <c r="D36" s="16"/>
      <c r="E36" s="16"/>
      <c r="F36" s="243"/>
      <c r="G36" s="18">
        <f>SUM(G37:G39)</f>
        <v>673.26</v>
      </c>
    </row>
    <row r="37" spans="1:15" ht="27.75" customHeight="1">
      <c r="A37" s="51"/>
      <c r="B37" s="849" t="s">
        <v>73</v>
      </c>
      <c r="C37" s="849"/>
      <c r="D37" s="52" t="s">
        <v>51</v>
      </c>
      <c r="E37" s="86">
        <v>1</v>
      </c>
      <c r="F37" s="240">
        <f>SUMIF('Cjenik VSO'!$B$9:$B$85,$B37,'Cjenik VSO'!$C$9:$C$85)</f>
        <v>291.72000000000003</v>
      </c>
      <c r="G37" s="55">
        <f>+F37*E37</f>
        <v>291.72000000000003</v>
      </c>
    </row>
    <row r="38" spans="1:15" ht="27.75" customHeight="1">
      <c r="A38" s="56"/>
      <c r="B38" s="839" t="s">
        <v>97</v>
      </c>
      <c r="C38" s="839"/>
      <c r="D38" s="57" t="s">
        <v>51</v>
      </c>
      <c r="E38" s="92">
        <v>1</v>
      </c>
      <c r="F38" s="241">
        <f>SUMIF('Cjenik VSO'!$B$9:$B$85,$B38,'Cjenik VSO'!$C$9:$C$85)</f>
        <v>279.37</v>
      </c>
      <c r="G38" s="60">
        <f>+F38*E38</f>
        <v>279.37</v>
      </c>
    </row>
    <row r="39" spans="1:15" ht="27.75" customHeight="1">
      <c r="A39" s="61"/>
      <c r="B39" s="855" t="s">
        <v>71</v>
      </c>
      <c r="C39" s="855"/>
      <c r="D39" s="62" t="s">
        <v>51</v>
      </c>
      <c r="E39" s="87">
        <v>1</v>
      </c>
      <c r="F39" s="242">
        <f>SUMIF('Cjenik VSO'!$B$9:$B$85,$B39,'Cjenik VSO'!$C$9:$C$85)</f>
        <v>102.17</v>
      </c>
      <c r="G39" s="65">
        <f>+F39*E39</f>
        <v>102.17</v>
      </c>
    </row>
    <row r="40" spans="1:15" ht="27.75" customHeight="1">
      <c r="A40" s="16"/>
      <c r="B40" s="851" t="str">
        <f>'Obrazac kalkulacije'!$B$15</f>
        <v>Materijali:</v>
      </c>
      <c r="C40" s="851"/>
      <c r="D40" s="16"/>
      <c r="E40" s="16"/>
      <c r="F40" s="243"/>
      <c r="G40" s="18" t="e">
        <f>SUM(G41:G41)</f>
        <v>#VALUE!</v>
      </c>
    </row>
    <row r="41" spans="1:15" ht="27.75" customHeight="1">
      <c r="A41" s="43"/>
      <c r="B41" s="865" t="str">
        <f>'Cjenik M'!$B$27</f>
        <v>____________</v>
      </c>
      <c r="C41" s="865"/>
      <c r="D41" s="44">
        <f>'Cjenik M'!$C$27</f>
        <v>0</v>
      </c>
      <c r="E41" s="45">
        <v>1</v>
      </c>
      <c r="F41" s="243" t="str">
        <f>'Cjenik M'!$D$27</f>
        <v>___________</v>
      </c>
      <c r="G41" s="46" t="e">
        <f>E41*F41</f>
        <v>#VALUE!</v>
      </c>
    </row>
    <row r="42" spans="1:15" ht="21.75" customHeight="1">
      <c r="B42" s="47"/>
      <c r="C42" s="24"/>
      <c r="D42" s="25"/>
      <c r="E42" s="147" t="str">
        <f>'Obrazac kalkulacije'!$E$18</f>
        <v>Ukupno (kn):</v>
      </c>
      <c r="F42" s="255"/>
      <c r="G42" s="26" t="e">
        <f>ROUND(SUM(G34+G36+G40),2)</f>
        <v>#VALUE!</v>
      </c>
    </row>
    <row r="43" spans="1:15" s="6" customFormat="1" ht="21.75" customHeight="1">
      <c r="A43" s="1"/>
      <c r="B43" s="37"/>
      <c r="C43" s="2"/>
      <c r="D43" s="3"/>
      <c r="E43" s="27" t="str">
        <f>'Obrazac kalkulacije'!$E$19</f>
        <v>PDV:</v>
      </c>
      <c r="F43" s="248">
        <f>'Obrazac kalkulacije'!$F$19</f>
        <v>0.25</v>
      </c>
      <c r="G43" s="29" t="e">
        <f>G42*F43</f>
        <v>#VALUE!</v>
      </c>
    </row>
    <row r="44" spans="1:15" ht="32.25" customHeight="1">
      <c r="E44" s="148" t="str">
        <f>'Obrazac kalkulacije'!$E$20</f>
        <v>Sveukupno (kn):</v>
      </c>
      <c r="F44" s="256"/>
      <c r="G44" s="29" t="e">
        <f>ROUND(SUM(G42:G43),2)</f>
        <v>#VALUE!</v>
      </c>
      <c r="I44" s="40"/>
      <c r="J44" s="41"/>
      <c r="K44" s="869"/>
      <c r="L44" s="869"/>
      <c r="M44" s="869"/>
      <c r="N44" s="869"/>
      <c r="O44" s="869"/>
    </row>
    <row r="45" spans="1:15" ht="25.15" customHeight="1">
      <c r="F45" s="244"/>
    </row>
    <row r="46" spans="1:15" ht="25.15" customHeight="1">
      <c r="F46" s="244"/>
    </row>
    <row r="47" spans="1:15" ht="25.15" customHeight="1">
      <c r="F47" s="244"/>
    </row>
    <row r="48" spans="1:15" ht="15" customHeight="1">
      <c r="C48" s="3" t="str">
        <f>'Obrazac kalkulacije'!$C$24</f>
        <v>IZVODITELJ:</v>
      </c>
      <c r="F48" s="841" t="str">
        <f>'Obrazac kalkulacije'!$F$24</f>
        <v>NARUČITELJ:</v>
      </c>
      <c r="G48" s="841"/>
    </row>
    <row r="49" spans="1:15" ht="15" customHeight="1">
      <c r="C49" s="3" t="str">
        <f>'Obrazac kalkulacije'!$C$25</f>
        <v>__________________</v>
      </c>
      <c r="F49" s="841" t="str">
        <f>'Obrazac kalkulacije'!$F$25</f>
        <v>___________________</v>
      </c>
      <c r="G49" s="841"/>
    </row>
    <row r="50" spans="1:15" ht="15" customHeight="1"/>
    <row r="51" spans="1:15" ht="15" customHeight="1">
      <c r="C51" s="3"/>
      <c r="F51" s="841"/>
      <c r="G51" s="841"/>
    </row>
    <row r="52" spans="1:15" ht="15" customHeight="1">
      <c r="F52" s="841"/>
      <c r="G52" s="841"/>
    </row>
    <row r="53" spans="1:15" ht="15" customHeight="1">
      <c r="C53" s="3"/>
      <c r="F53" s="30"/>
      <c r="G53" s="30"/>
    </row>
    <row r="54" spans="1:15" ht="15" customHeight="1">
      <c r="A54" s="150"/>
      <c r="B54" s="145" t="s">
        <v>728</v>
      </c>
      <c r="C54" s="836" t="s">
        <v>729</v>
      </c>
      <c r="D54" s="836"/>
      <c r="E54" s="836"/>
      <c r="F54" s="836"/>
      <c r="G54" s="836"/>
    </row>
    <row r="55" spans="1:15" s="6" customFormat="1">
      <c r="A55" s="164"/>
      <c r="B55" s="165" t="s">
        <v>730</v>
      </c>
      <c r="C55" s="892" t="s">
        <v>731</v>
      </c>
      <c r="D55" s="892"/>
      <c r="E55" s="892"/>
      <c r="F55" s="892"/>
      <c r="G55" s="892"/>
    </row>
    <row r="56" spans="1:15" ht="150" customHeight="1">
      <c r="A56" s="40"/>
      <c r="B56" s="556" t="s">
        <v>736</v>
      </c>
      <c r="C56" s="852" t="s">
        <v>737</v>
      </c>
      <c r="D56" s="852"/>
      <c r="E56" s="852"/>
      <c r="F56" s="852"/>
      <c r="G56" s="852"/>
      <c r="I56" s="40"/>
      <c r="J56" s="41"/>
      <c r="K56" s="869"/>
      <c r="L56" s="869"/>
      <c r="M56" s="869"/>
      <c r="N56" s="869"/>
      <c r="O56" s="869"/>
    </row>
    <row r="57" spans="1:15" ht="25.15" customHeight="1">
      <c r="A57" s="10"/>
      <c r="B57" s="835" t="str">
        <f>'Obrazac kalkulacije'!$B$6:$C$6</f>
        <v>Opis</v>
      </c>
      <c r="C57" s="835"/>
      <c r="D57" s="10" t="str">
        <f>'Obrazac kalkulacije'!$D$6</f>
        <v>Jed.
mjere</v>
      </c>
      <c r="E57" s="10" t="str">
        <f>'Obrazac kalkulacije'!$E$6</f>
        <v>Normativ</v>
      </c>
      <c r="F57" s="10" t="str">
        <f>'Obrazac kalkulacije'!$F$6</f>
        <v>Jed.
cijena</v>
      </c>
      <c r="G57" s="10" t="str">
        <f>'Obrazac kalkulacije'!$G$6</f>
        <v>Iznos</v>
      </c>
    </row>
    <row r="58" spans="1:15" ht="25.15" customHeight="1">
      <c r="B58" s="42"/>
      <c r="C58" s="1"/>
      <c r="D58" s="11"/>
      <c r="E58" s="13"/>
      <c r="F58" s="245"/>
      <c r="G58" s="15"/>
    </row>
    <row r="59" spans="1:15" ht="25.15" customHeight="1">
      <c r="A59" s="16"/>
      <c r="B59" s="17" t="str">
        <f>'Obrazac kalkulacije'!$B$8</f>
        <v>Radna snaga:</v>
      </c>
      <c r="C59" s="17"/>
      <c r="D59" s="16"/>
      <c r="E59" s="16"/>
      <c r="F59" s="246"/>
      <c r="G59" s="18">
        <f>SUM(G60:G60)</f>
        <v>105.03</v>
      </c>
    </row>
    <row r="60" spans="1:15" ht="27.75" customHeight="1">
      <c r="A60" s="32"/>
      <c r="B60" s="854" t="s">
        <v>57</v>
      </c>
      <c r="C60" s="854"/>
      <c r="D60" s="33" t="s">
        <v>51</v>
      </c>
      <c r="E60" s="34">
        <v>1</v>
      </c>
      <c r="F60" s="243">
        <f>SUMIF('Cjenik RS'!$C$11:$C$26,$B60,'Cjenik RS'!$D$11:$D$90)</f>
        <v>105.03</v>
      </c>
      <c r="G60" s="35">
        <f>+F60*E60</f>
        <v>105.03</v>
      </c>
    </row>
    <row r="61" spans="1:15" ht="27.75" customHeight="1">
      <c r="A61" s="16"/>
      <c r="B61" s="17" t="str">
        <f>'Obrazac kalkulacije'!$B$11</f>
        <v>Vozila, strojevi i oprema:</v>
      </c>
      <c r="C61" s="17"/>
      <c r="D61" s="16"/>
      <c r="E61" s="16"/>
      <c r="F61" s="243"/>
      <c r="G61" s="18">
        <f>SUM(G62:G64)</f>
        <v>673.26</v>
      </c>
    </row>
    <row r="62" spans="1:15" ht="27.75" customHeight="1">
      <c r="A62" s="51"/>
      <c r="B62" s="849" t="s">
        <v>73</v>
      </c>
      <c r="C62" s="849"/>
      <c r="D62" s="52" t="s">
        <v>51</v>
      </c>
      <c r="E62" s="86">
        <v>1</v>
      </c>
      <c r="F62" s="240">
        <f>SUMIF('Cjenik VSO'!$B$9:$B$85,$B62,'Cjenik VSO'!$C$9:$C$85)</f>
        <v>291.72000000000003</v>
      </c>
      <c r="G62" s="55">
        <f>+F62*E62</f>
        <v>291.72000000000003</v>
      </c>
    </row>
    <row r="63" spans="1:15" ht="27.75" customHeight="1">
      <c r="A63" s="56"/>
      <c r="B63" s="839" t="s">
        <v>97</v>
      </c>
      <c r="C63" s="839"/>
      <c r="D63" s="57" t="s">
        <v>51</v>
      </c>
      <c r="E63" s="92">
        <v>1</v>
      </c>
      <c r="F63" s="241">
        <f>SUMIF('Cjenik VSO'!$B$9:$B$85,$B63,'Cjenik VSO'!$C$9:$C$85)</f>
        <v>279.37</v>
      </c>
      <c r="G63" s="60">
        <f>+F63*E63</f>
        <v>279.37</v>
      </c>
    </row>
    <row r="64" spans="1:15" ht="27.75" customHeight="1">
      <c r="A64" s="61"/>
      <c r="B64" s="855" t="s">
        <v>71</v>
      </c>
      <c r="C64" s="855"/>
      <c r="D64" s="62" t="s">
        <v>51</v>
      </c>
      <c r="E64" s="87">
        <v>1</v>
      </c>
      <c r="F64" s="242">
        <f>SUMIF('Cjenik VSO'!$B$9:$B$85,$B64,'Cjenik VSO'!$C$9:$C$85)</f>
        <v>102.17</v>
      </c>
      <c r="G64" s="65">
        <f>+F64*E64</f>
        <v>102.17</v>
      </c>
    </row>
    <row r="65" spans="1:15" ht="27.75" customHeight="1">
      <c r="A65" s="16"/>
      <c r="B65" s="851" t="str">
        <f>'Obrazac kalkulacije'!$B$15</f>
        <v>Materijali:</v>
      </c>
      <c r="C65" s="851"/>
      <c r="D65" s="16"/>
      <c r="E65" s="16"/>
      <c r="F65" s="243"/>
      <c r="G65" s="18" t="e">
        <f>SUM(G66:G66)</f>
        <v>#VALUE!</v>
      </c>
    </row>
    <row r="66" spans="1:15" ht="27.75" customHeight="1">
      <c r="A66" s="43"/>
      <c r="B66" s="865" t="str">
        <f>'Cjenik M'!$B$27</f>
        <v>____________</v>
      </c>
      <c r="C66" s="865"/>
      <c r="D66" s="44">
        <f>'Cjenik M'!$C$27</f>
        <v>0</v>
      </c>
      <c r="E66" s="45">
        <v>1</v>
      </c>
      <c r="F66" s="243" t="str">
        <f>'Cjenik M'!$D$27</f>
        <v>___________</v>
      </c>
      <c r="G66" s="46" t="e">
        <f>E66*F66</f>
        <v>#VALUE!</v>
      </c>
    </row>
    <row r="67" spans="1:15" ht="21.75" customHeight="1">
      <c r="B67" s="47"/>
      <c r="C67" s="24"/>
      <c r="D67" s="25"/>
      <c r="E67" s="147" t="str">
        <f>'Obrazac kalkulacije'!$E$18</f>
        <v>Ukupno (kn):</v>
      </c>
      <c r="F67" s="255"/>
      <c r="G67" s="26" t="e">
        <f>ROUND(SUM(G59+G61+G65),2)</f>
        <v>#VALUE!</v>
      </c>
    </row>
    <row r="68" spans="1:15" s="6" customFormat="1" ht="21.75" customHeight="1">
      <c r="A68" s="1"/>
      <c r="B68" s="37"/>
      <c r="C68" s="2"/>
      <c r="D68" s="3"/>
      <c r="E68" s="27" t="str">
        <f>'Obrazac kalkulacije'!$E$19</f>
        <v>PDV:</v>
      </c>
      <c r="F68" s="248">
        <f>'Obrazac kalkulacije'!$F$19</f>
        <v>0.25</v>
      </c>
      <c r="G68" s="29" t="e">
        <f>G67*F68</f>
        <v>#VALUE!</v>
      </c>
    </row>
    <row r="69" spans="1:15" ht="32.25" customHeight="1">
      <c r="E69" s="148" t="str">
        <f>'Obrazac kalkulacije'!$E$20</f>
        <v>Sveukupno (kn):</v>
      </c>
      <c r="F69" s="256"/>
      <c r="G69" s="29" t="e">
        <f>ROUND(SUM(G67:G68),2)</f>
        <v>#VALUE!</v>
      </c>
      <c r="I69" s="40"/>
      <c r="J69" s="41"/>
      <c r="K69" s="869"/>
      <c r="L69" s="869"/>
      <c r="M69" s="869"/>
      <c r="N69" s="869"/>
      <c r="O69" s="869"/>
    </row>
    <row r="70" spans="1:15" ht="25.15" customHeight="1">
      <c r="F70" s="244"/>
    </row>
    <row r="71" spans="1:15" ht="25.15" customHeight="1">
      <c r="F71" s="244"/>
    </row>
    <row r="72" spans="1:15" ht="25.15" customHeight="1">
      <c r="F72" s="244"/>
    </row>
    <row r="73" spans="1:15" ht="15" customHeight="1">
      <c r="C73" s="3" t="str">
        <f>'Obrazac kalkulacije'!$C$24</f>
        <v>IZVODITELJ:</v>
      </c>
      <c r="F73" s="841" t="str">
        <f>'Obrazac kalkulacije'!$F$24</f>
        <v>NARUČITELJ:</v>
      </c>
      <c r="G73" s="841"/>
    </row>
    <row r="74" spans="1:15" ht="15" customHeight="1">
      <c r="C74" s="3" t="str">
        <f>'Obrazac kalkulacije'!$C$25</f>
        <v>__________________</v>
      </c>
      <c r="F74" s="841" t="str">
        <f>'Obrazac kalkulacije'!$F$25</f>
        <v>___________________</v>
      </c>
      <c r="G74" s="841"/>
    </row>
    <row r="75" spans="1:15" ht="15" customHeight="1"/>
    <row r="76" spans="1:15" ht="15" customHeight="1">
      <c r="C76" s="3"/>
      <c r="F76" s="30"/>
      <c r="G76" s="30"/>
    </row>
    <row r="77" spans="1:15" ht="15" customHeight="1">
      <c r="A77" s="150"/>
      <c r="B77" s="145" t="s">
        <v>728</v>
      </c>
      <c r="C77" s="836" t="s">
        <v>729</v>
      </c>
      <c r="D77" s="836"/>
      <c r="E77" s="836"/>
      <c r="F77" s="836"/>
      <c r="G77" s="836"/>
    </row>
    <row r="78" spans="1:15" s="6" customFormat="1">
      <c r="A78" s="164"/>
      <c r="B78" s="165" t="s">
        <v>730</v>
      </c>
      <c r="C78" s="892" t="s">
        <v>731</v>
      </c>
      <c r="D78" s="892"/>
      <c r="E78" s="892"/>
      <c r="F78" s="892"/>
      <c r="G78" s="892"/>
    </row>
    <row r="79" spans="1:15" ht="150" customHeight="1">
      <c r="A79" s="40"/>
      <c r="B79" s="556" t="s">
        <v>738</v>
      </c>
      <c r="C79" s="852" t="s">
        <v>739</v>
      </c>
      <c r="D79" s="852"/>
      <c r="E79" s="852"/>
      <c r="F79" s="852"/>
      <c r="G79" s="852"/>
      <c r="I79" s="40"/>
      <c r="J79" s="41"/>
      <c r="K79" s="869"/>
      <c r="L79" s="869"/>
      <c r="M79" s="869"/>
      <c r="N79" s="869"/>
      <c r="O79" s="869"/>
    </row>
    <row r="80" spans="1:15" ht="25.15" customHeight="1">
      <c r="A80" s="10"/>
      <c r="B80" s="835" t="str">
        <f>'Obrazac kalkulacije'!$B$6:$C$6</f>
        <v>Opis</v>
      </c>
      <c r="C80" s="835"/>
      <c r="D80" s="10" t="str">
        <f>'Obrazac kalkulacije'!$D$6</f>
        <v>Jed.
mjere</v>
      </c>
      <c r="E80" s="10" t="str">
        <f>'Obrazac kalkulacije'!$E$6</f>
        <v>Normativ</v>
      </c>
      <c r="F80" s="10" t="str">
        <f>'Obrazac kalkulacije'!$F$6</f>
        <v>Jed.
cijena</v>
      </c>
      <c r="G80" s="10" t="str">
        <f>'Obrazac kalkulacije'!$G$6</f>
        <v>Iznos</v>
      </c>
    </row>
    <row r="81" spans="1:15" ht="25.15" customHeight="1">
      <c r="B81" s="42"/>
      <c r="C81" s="1"/>
      <c r="D81" s="11"/>
      <c r="E81" s="13"/>
      <c r="F81" s="245"/>
      <c r="G81" s="15"/>
    </row>
    <row r="82" spans="1:15" ht="25.15" customHeight="1">
      <c r="A82" s="16"/>
      <c r="B82" s="17" t="str">
        <f>'Obrazac kalkulacije'!$B$8</f>
        <v>Radna snaga:</v>
      </c>
      <c r="C82" s="17"/>
      <c r="D82" s="16"/>
      <c r="E82" s="16"/>
      <c r="F82" s="246"/>
      <c r="G82" s="18">
        <f>SUM(G83:G83)</f>
        <v>105.03</v>
      </c>
    </row>
    <row r="83" spans="1:15" ht="27.75" customHeight="1">
      <c r="A83" s="32"/>
      <c r="B83" s="854" t="s">
        <v>57</v>
      </c>
      <c r="C83" s="854"/>
      <c r="D83" s="33" t="s">
        <v>51</v>
      </c>
      <c r="E83" s="34">
        <v>1</v>
      </c>
      <c r="F83" s="243">
        <f>SUMIF('Cjenik RS'!$C$11:$C$26,$B83,'Cjenik RS'!$D$11:$D$90)</f>
        <v>105.03</v>
      </c>
      <c r="G83" s="35">
        <f>+F83*E83</f>
        <v>105.03</v>
      </c>
    </row>
    <row r="84" spans="1:15" ht="27.75" customHeight="1">
      <c r="A84" s="16"/>
      <c r="B84" s="17" t="str">
        <f>'Obrazac kalkulacije'!$B$11</f>
        <v>Vozila, strojevi i oprema:</v>
      </c>
      <c r="C84" s="17"/>
      <c r="D84" s="16"/>
      <c r="E84" s="16"/>
      <c r="F84" s="243"/>
      <c r="G84" s="18">
        <f>SUM(G85:G87)</f>
        <v>673.26</v>
      </c>
    </row>
    <row r="85" spans="1:15" ht="27.75" customHeight="1">
      <c r="A85" s="51"/>
      <c r="B85" s="849" t="s">
        <v>73</v>
      </c>
      <c r="C85" s="849"/>
      <c r="D85" s="52" t="s">
        <v>51</v>
      </c>
      <c r="E85" s="86">
        <v>1</v>
      </c>
      <c r="F85" s="240">
        <f>SUMIF('Cjenik VSO'!$B$9:$B$85,$B85,'Cjenik VSO'!$C$9:$C$85)</f>
        <v>291.72000000000003</v>
      </c>
      <c r="G85" s="55">
        <f>+F85*E85</f>
        <v>291.72000000000003</v>
      </c>
    </row>
    <row r="86" spans="1:15" ht="27.75" customHeight="1">
      <c r="A86" s="56"/>
      <c r="B86" s="839" t="s">
        <v>97</v>
      </c>
      <c r="C86" s="839"/>
      <c r="D86" s="57" t="s">
        <v>51</v>
      </c>
      <c r="E86" s="92">
        <v>1</v>
      </c>
      <c r="F86" s="241">
        <f>SUMIF('Cjenik VSO'!$B$9:$B$85,$B86,'Cjenik VSO'!$C$9:$C$85)</f>
        <v>279.37</v>
      </c>
      <c r="G86" s="60">
        <f>+F86*E86</f>
        <v>279.37</v>
      </c>
    </row>
    <row r="87" spans="1:15" ht="27.75" customHeight="1">
      <c r="A87" s="61"/>
      <c r="B87" s="855" t="s">
        <v>71</v>
      </c>
      <c r="C87" s="855"/>
      <c r="D87" s="62" t="s">
        <v>51</v>
      </c>
      <c r="E87" s="87">
        <v>1</v>
      </c>
      <c r="F87" s="242">
        <f>SUMIF('Cjenik VSO'!$B$9:$B$85,$B87,'Cjenik VSO'!$C$9:$C$85)</f>
        <v>102.17</v>
      </c>
      <c r="G87" s="65">
        <f>+F87*E87</f>
        <v>102.17</v>
      </c>
    </row>
    <row r="88" spans="1:15" ht="27.75" customHeight="1">
      <c r="A88" s="16"/>
      <c r="B88" s="851" t="str">
        <f>'Obrazac kalkulacije'!$B$15</f>
        <v>Materijali:</v>
      </c>
      <c r="C88" s="851"/>
      <c r="D88" s="16"/>
      <c r="E88" s="16"/>
      <c r="F88" s="243"/>
      <c r="G88" s="18" t="e">
        <f>SUM(G89:G89)</f>
        <v>#VALUE!</v>
      </c>
    </row>
    <row r="89" spans="1:15" ht="27.75" customHeight="1">
      <c r="A89" s="43"/>
      <c r="B89" s="865" t="str">
        <f>'Cjenik M'!$B$27</f>
        <v>____________</v>
      </c>
      <c r="C89" s="865"/>
      <c r="D89" s="44">
        <f>'Cjenik M'!$C$27</f>
        <v>0</v>
      </c>
      <c r="E89" s="45">
        <v>1</v>
      </c>
      <c r="F89" s="243" t="str">
        <f>'Cjenik M'!$D$27</f>
        <v>___________</v>
      </c>
      <c r="G89" s="46" t="e">
        <f>E89*F89</f>
        <v>#VALUE!</v>
      </c>
    </row>
    <row r="90" spans="1:15" ht="21.75" customHeight="1">
      <c r="B90" s="47"/>
      <c r="C90" s="24"/>
      <c r="D90" s="25"/>
      <c r="E90" s="147" t="str">
        <f>'Obrazac kalkulacije'!$E$18</f>
        <v>Ukupno (kn):</v>
      </c>
      <c r="F90" s="255"/>
      <c r="G90" s="26" t="e">
        <f>ROUND(SUM(G82+G84+G88),2)</f>
        <v>#VALUE!</v>
      </c>
    </row>
    <row r="91" spans="1:15" s="6" customFormat="1" ht="21.75" customHeight="1">
      <c r="A91" s="1"/>
      <c r="B91" s="37"/>
      <c r="C91" s="2"/>
      <c r="D91" s="3"/>
      <c r="E91" s="27" t="str">
        <f>'Obrazac kalkulacije'!$E$19</f>
        <v>PDV:</v>
      </c>
      <c r="F91" s="248">
        <f>'Obrazac kalkulacije'!$F$19</f>
        <v>0.25</v>
      </c>
      <c r="G91" s="29" t="e">
        <f>G90*F91</f>
        <v>#VALUE!</v>
      </c>
    </row>
    <row r="92" spans="1:15" ht="32.25" customHeight="1">
      <c r="E92" s="148" t="str">
        <f>'Obrazac kalkulacije'!$E$20</f>
        <v>Sveukupno (kn):</v>
      </c>
      <c r="F92" s="256"/>
      <c r="G92" s="29" t="e">
        <f>ROUND(SUM(G90:G91),2)</f>
        <v>#VALUE!</v>
      </c>
      <c r="I92" s="40"/>
      <c r="J92" s="41"/>
      <c r="K92" s="869"/>
      <c r="L92" s="869"/>
      <c r="M92" s="869"/>
      <c r="N92" s="869"/>
      <c r="O92" s="869"/>
    </row>
    <row r="93" spans="1:15" ht="25.15" customHeight="1">
      <c r="F93" s="244"/>
    </row>
    <row r="94" spans="1:15" ht="25.15" customHeight="1">
      <c r="F94" s="244"/>
    </row>
    <row r="95" spans="1:15" ht="25.15" customHeight="1">
      <c r="F95" s="244"/>
    </row>
    <row r="96" spans="1:15" ht="15" customHeight="1">
      <c r="C96" s="3" t="str">
        <f>'Obrazac kalkulacije'!$C$24</f>
        <v>IZVODITELJ:</v>
      </c>
      <c r="F96" s="841" t="str">
        <f>'Obrazac kalkulacije'!$F$24</f>
        <v>NARUČITELJ:</v>
      </c>
      <c r="G96" s="841"/>
    </row>
    <row r="97" spans="1:15" ht="15" customHeight="1">
      <c r="C97" s="3" t="str">
        <f>'Obrazac kalkulacije'!$C$25</f>
        <v>__________________</v>
      </c>
      <c r="F97" s="841" t="str">
        <f>'Obrazac kalkulacije'!$F$25</f>
        <v>___________________</v>
      </c>
      <c r="G97" s="841"/>
    </row>
    <row r="98" spans="1:15" ht="15" customHeight="1"/>
    <row r="99" spans="1:15" ht="15" customHeight="1"/>
    <row r="100" spans="1:15" s="6" customFormat="1" ht="15" customHeight="1">
      <c r="A100" s="150"/>
      <c r="B100" s="145" t="s">
        <v>728</v>
      </c>
      <c r="C100" s="836" t="s">
        <v>729</v>
      </c>
      <c r="D100" s="836"/>
      <c r="E100" s="836"/>
      <c r="F100" s="836"/>
      <c r="G100" s="836"/>
    </row>
    <row r="101" spans="1:15" s="6" customFormat="1">
      <c r="A101" s="164"/>
      <c r="B101" s="165" t="s">
        <v>740</v>
      </c>
      <c r="C101" s="892" t="s">
        <v>741</v>
      </c>
      <c r="D101" s="892"/>
      <c r="E101" s="892"/>
      <c r="F101" s="892"/>
      <c r="G101" s="892"/>
    </row>
    <row r="102" spans="1:15" ht="150" customHeight="1">
      <c r="A102" s="40"/>
      <c r="B102" s="556" t="s">
        <v>742</v>
      </c>
      <c r="C102" s="852" t="s">
        <v>743</v>
      </c>
      <c r="D102" s="852"/>
      <c r="E102" s="852"/>
      <c r="F102" s="852"/>
      <c r="G102" s="852"/>
      <c r="I102" s="40"/>
      <c r="J102" s="41"/>
      <c r="K102" s="869"/>
      <c r="L102" s="869"/>
      <c r="M102" s="869"/>
      <c r="N102" s="869"/>
      <c r="O102" s="869"/>
    </row>
    <row r="103" spans="1:15" ht="25.15" customHeight="1">
      <c r="A103" s="10"/>
      <c r="B103" s="835" t="str">
        <f>'Obrazac kalkulacije'!$B$6:$C$6</f>
        <v>Opis</v>
      </c>
      <c r="C103" s="835"/>
      <c r="D103" s="10" t="str">
        <f>'Obrazac kalkulacije'!$D$6</f>
        <v>Jed.
mjere</v>
      </c>
      <c r="E103" s="10" t="str">
        <f>'Obrazac kalkulacije'!$E$6</f>
        <v>Normativ</v>
      </c>
      <c r="F103" s="10" t="str">
        <f>'Obrazac kalkulacije'!$F$6</f>
        <v>Jed.
cijena</v>
      </c>
      <c r="G103" s="10" t="str">
        <f>'Obrazac kalkulacije'!$G$6</f>
        <v>Iznos</v>
      </c>
    </row>
    <row r="104" spans="1:15" ht="25.15" customHeight="1">
      <c r="B104" s="42"/>
      <c r="C104" s="1"/>
      <c r="D104" s="11"/>
      <c r="E104" s="13"/>
      <c r="F104" s="245"/>
      <c r="G104" s="15"/>
    </row>
    <row r="105" spans="1:15" ht="25.15" customHeight="1">
      <c r="A105" s="16"/>
      <c r="B105" s="17" t="str">
        <f>'Obrazac kalkulacije'!$B$8</f>
        <v>Radna snaga:</v>
      </c>
      <c r="C105" s="17"/>
      <c r="D105" s="16"/>
      <c r="E105" s="16"/>
      <c r="F105" s="246"/>
      <c r="G105" s="18">
        <f>SUM(G106:G106)</f>
        <v>105.03</v>
      </c>
    </row>
    <row r="106" spans="1:15" ht="27.75" customHeight="1">
      <c r="A106" s="32"/>
      <c r="B106" s="854" t="s">
        <v>57</v>
      </c>
      <c r="C106" s="854"/>
      <c r="D106" s="33" t="s">
        <v>51</v>
      </c>
      <c r="E106" s="34">
        <v>1</v>
      </c>
      <c r="F106" s="243">
        <f>SUMIF('Cjenik RS'!$C$11:$C$26,$B106,'Cjenik RS'!$D$11:$D$90)</f>
        <v>105.03</v>
      </c>
      <c r="G106" s="35">
        <f>+F106*E106</f>
        <v>105.03</v>
      </c>
    </row>
    <row r="107" spans="1:15" ht="27.75" customHeight="1">
      <c r="A107" s="16"/>
      <c r="B107" s="17" t="str">
        <f>'Obrazac kalkulacije'!$B$11</f>
        <v>Vozila, strojevi i oprema:</v>
      </c>
      <c r="C107" s="17"/>
      <c r="D107" s="16"/>
      <c r="E107" s="16"/>
      <c r="F107" s="243"/>
      <c r="G107" s="18">
        <f>SUM(G108:G110)</f>
        <v>673.26</v>
      </c>
    </row>
    <row r="108" spans="1:15" ht="27.75" customHeight="1">
      <c r="A108" s="51"/>
      <c r="B108" s="849" t="s">
        <v>73</v>
      </c>
      <c r="C108" s="849"/>
      <c r="D108" s="52" t="s">
        <v>51</v>
      </c>
      <c r="E108" s="86">
        <v>1</v>
      </c>
      <c r="F108" s="240">
        <f>SUMIF('Cjenik VSO'!$B$9:$B$85,$B108,'Cjenik VSO'!$C$9:$C$85)</f>
        <v>291.72000000000003</v>
      </c>
      <c r="G108" s="55">
        <f>+F108*E108</f>
        <v>291.72000000000003</v>
      </c>
    </row>
    <row r="109" spans="1:15" ht="27.75" customHeight="1">
      <c r="A109" s="56"/>
      <c r="B109" s="839" t="s">
        <v>97</v>
      </c>
      <c r="C109" s="839"/>
      <c r="D109" s="57" t="s">
        <v>51</v>
      </c>
      <c r="E109" s="92">
        <v>1</v>
      </c>
      <c r="F109" s="241">
        <f>SUMIF('Cjenik VSO'!$B$9:$B$85,$B109,'Cjenik VSO'!$C$9:$C$85)</f>
        <v>279.37</v>
      </c>
      <c r="G109" s="60">
        <f>+F109*E109</f>
        <v>279.37</v>
      </c>
    </row>
    <row r="110" spans="1:15" ht="27.75" customHeight="1">
      <c r="A110" s="61"/>
      <c r="B110" s="855" t="s">
        <v>71</v>
      </c>
      <c r="C110" s="855"/>
      <c r="D110" s="62" t="s">
        <v>51</v>
      </c>
      <c r="E110" s="87">
        <v>1</v>
      </c>
      <c r="F110" s="242">
        <f>SUMIF('Cjenik VSO'!$B$9:$B$85,$B110,'Cjenik VSO'!$C$9:$C$85)</f>
        <v>102.17</v>
      </c>
      <c r="G110" s="65">
        <f>+F110*E110</f>
        <v>102.17</v>
      </c>
    </row>
    <row r="111" spans="1:15" ht="27.75" customHeight="1">
      <c r="A111" s="16"/>
      <c r="B111" s="851" t="str">
        <f>'Obrazac kalkulacije'!$B$15</f>
        <v>Materijali:</v>
      </c>
      <c r="C111" s="851"/>
      <c r="D111" s="16"/>
      <c r="E111" s="16"/>
      <c r="F111" s="243"/>
      <c r="G111" s="18" t="e">
        <f>SUM(G112:G112)</f>
        <v>#VALUE!</v>
      </c>
    </row>
    <row r="112" spans="1:15" ht="27.75" customHeight="1">
      <c r="A112" s="43"/>
      <c r="B112" s="865" t="str">
        <f>'Cjenik M'!$B$27</f>
        <v>____________</v>
      </c>
      <c r="C112" s="865"/>
      <c r="D112" s="44">
        <f>'Cjenik M'!$C$27</f>
        <v>0</v>
      </c>
      <c r="E112" s="45">
        <v>1</v>
      </c>
      <c r="F112" s="243" t="str">
        <f>'Cjenik M'!$D$27</f>
        <v>___________</v>
      </c>
      <c r="G112" s="46" t="e">
        <f>E112*F112</f>
        <v>#VALUE!</v>
      </c>
    </row>
    <row r="113" spans="1:15" ht="21.75" customHeight="1">
      <c r="B113" s="47"/>
      <c r="C113" s="24"/>
      <c r="D113" s="25"/>
      <c r="E113" s="147" t="str">
        <f>'Obrazac kalkulacije'!$E$18</f>
        <v>Ukupno (kn):</v>
      </c>
      <c r="F113" s="255"/>
      <c r="G113" s="26" t="e">
        <f>ROUND(SUM(G105+G107+G111),2)</f>
        <v>#VALUE!</v>
      </c>
    </row>
    <row r="114" spans="1:15" s="6" customFormat="1" ht="21.75" customHeight="1">
      <c r="A114" s="1"/>
      <c r="B114" s="37"/>
      <c r="C114" s="2"/>
      <c r="D114" s="3"/>
      <c r="E114" s="27" t="str">
        <f>'Obrazac kalkulacije'!$E$19</f>
        <v>PDV:</v>
      </c>
      <c r="F114" s="248">
        <f>'Obrazac kalkulacije'!$F$19</f>
        <v>0.25</v>
      </c>
      <c r="G114" s="29" t="e">
        <f>G113*F114</f>
        <v>#VALUE!</v>
      </c>
    </row>
    <row r="115" spans="1:15" ht="32.25" customHeight="1">
      <c r="E115" s="148" t="str">
        <f>'Obrazac kalkulacije'!$E$20</f>
        <v>Sveukupno (kn):</v>
      </c>
      <c r="F115" s="256"/>
      <c r="G115" s="29" t="e">
        <f>ROUND(SUM(G113:G114),2)</f>
        <v>#VALUE!</v>
      </c>
      <c r="I115" s="40"/>
      <c r="J115" s="41"/>
      <c r="K115" s="869"/>
      <c r="L115" s="869"/>
      <c r="M115" s="869"/>
      <c r="N115" s="869"/>
      <c r="O115" s="869"/>
    </row>
    <row r="116" spans="1:15" ht="25.15" customHeight="1">
      <c r="F116" s="244"/>
    </row>
    <row r="117" spans="1:15" ht="25.15" customHeight="1">
      <c r="F117" s="244"/>
    </row>
    <row r="118" spans="1:15" ht="25.15" customHeight="1">
      <c r="F118" s="244"/>
    </row>
    <row r="119" spans="1:15" ht="15" customHeight="1">
      <c r="C119" s="3" t="str">
        <f>'Obrazac kalkulacije'!$C$24</f>
        <v>IZVODITELJ:</v>
      </c>
      <c r="F119" s="841" t="str">
        <f>'Obrazac kalkulacije'!$F$24</f>
        <v>NARUČITELJ:</v>
      </c>
      <c r="G119" s="841"/>
    </row>
    <row r="120" spans="1:15" ht="15" customHeight="1">
      <c r="C120" s="3" t="str">
        <f>'Obrazac kalkulacije'!$C$25</f>
        <v>__________________</v>
      </c>
      <c r="F120" s="841" t="str">
        <f>'Obrazac kalkulacije'!$F$25</f>
        <v>___________________</v>
      </c>
      <c r="G120" s="841"/>
    </row>
    <row r="121" spans="1:15" ht="15" customHeight="1"/>
    <row r="122" spans="1:15" ht="15" customHeight="1"/>
    <row r="123" spans="1:15" ht="15" customHeight="1">
      <c r="A123" s="150"/>
      <c r="B123" s="145" t="s">
        <v>728</v>
      </c>
      <c r="C123" s="836" t="s">
        <v>729</v>
      </c>
      <c r="D123" s="836"/>
      <c r="E123" s="836"/>
      <c r="F123" s="836"/>
      <c r="G123" s="836"/>
    </row>
    <row r="124" spans="1:15" s="6" customFormat="1">
      <c r="A124" s="164"/>
      <c r="B124" s="165" t="s">
        <v>740</v>
      </c>
      <c r="C124" s="892" t="s">
        <v>741</v>
      </c>
      <c r="D124" s="892"/>
      <c r="E124" s="892"/>
      <c r="F124" s="892"/>
      <c r="G124" s="892"/>
    </row>
    <row r="125" spans="1:15" ht="150" customHeight="1">
      <c r="A125" s="40"/>
      <c r="B125" s="556" t="s">
        <v>744</v>
      </c>
      <c r="C125" s="852" t="s">
        <v>745</v>
      </c>
      <c r="D125" s="852"/>
      <c r="E125" s="852"/>
      <c r="F125" s="852"/>
      <c r="G125" s="852"/>
      <c r="I125" s="40"/>
      <c r="J125" s="41"/>
      <c r="K125" s="869"/>
      <c r="L125" s="869"/>
      <c r="M125" s="869"/>
      <c r="N125" s="869"/>
      <c r="O125" s="869"/>
    </row>
    <row r="126" spans="1:15" ht="25.15" customHeight="1">
      <c r="A126" s="10"/>
      <c r="B126" s="835" t="str">
        <f>'Obrazac kalkulacije'!$B$6:$C$6</f>
        <v>Opis</v>
      </c>
      <c r="C126" s="835"/>
      <c r="D126" s="10" t="str">
        <f>'Obrazac kalkulacije'!$D$6</f>
        <v>Jed.
mjere</v>
      </c>
      <c r="E126" s="10" t="str">
        <f>'Obrazac kalkulacije'!$E$6</f>
        <v>Normativ</v>
      </c>
      <c r="F126" s="10" t="str">
        <f>'Obrazac kalkulacije'!$F$6</f>
        <v>Jed.
cijena</v>
      </c>
      <c r="G126" s="10" t="str">
        <f>'Obrazac kalkulacije'!$G$6</f>
        <v>Iznos</v>
      </c>
    </row>
    <row r="127" spans="1:15" ht="25.15" customHeight="1">
      <c r="B127" s="42"/>
      <c r="C127" s="1"/>
      <c r="D127" s="11"/>
      <c r="E127" s="13"/>
      <c r="F127" s="245"/>
      <c r="G127" s="15"/>
    </row>
    <row r="128" spans="1:15" ht="25.15" customHeight="1">
      <c r="A128" s="16"/>
      <c r="B128" s="17" t="str">
        <f>'Obrazac kalkulacije'!$B$8</f>
        <v>Radna snaga:</v>
      </c>
      <c r="C128" s="17"/>
      <c r="D128" s="16"/>
      <c r="E128" s="16"/>
      <c r="F128" s="246"/>
      <c r="G128" s="18">
        <f>SUM(G129:G129)</f>
        <v>105.03</v>
      </c>
    </row>
    <row r="129" spans="1:15" ht="27.75" customHeight="1">
      <c r="A129" s="32"/>
      <c r="B129" s="854" t="s">
        <v>57</v>
      </c>
      <c r="C129" s="854"/>
      <c r="D129" s="33" t="s">
        <v>51</v>
      </c>
      <c r="E129" s="34">
        <v>1</v>
      </c>
      <c r="F129" s="243">
        <f>SUMIF('Cjenik RS'!$C$11:$C$26,$B129,'Cjenik RS'!$D$11:$D$90)</f>
        <v>105.03</v>
      </c>
      <c r="G129" s="35">
        <f>+F129*E129</f>
        <v>105.03</v>
      </c>
    </row>
    <row r="130" spans="1:15" ht="27.75" customHeight="1">
      <c r="A130" s="16"/>
      <c r="B130" s="17" t="str">
        <f>'Obrazac kalkulacije'!$B$11</f>
        <v>Vozila, strojevi i oprema:</v>
      </c>
      <c r="C130" s="17"/>
      <c r="D130" s="16"/>
      <c r="E130" s="16"/>
      <c r="F130" s="243"/>
      <c r="G130" s="18">
        <f>SUM(G131:G133)</f>
        <v>673.26</v>
      </c>
    </row>
    <row r="131" spans="1:15" ht="27.75" customHeight="1">
      <c r="A131" s="51"/>
      <c r="B131" s="849" t="s">
        <v>73</v>
      </c>
      <c r="C131" s="849"/>
      <c r="D131" s="52" t="s">
        <v>51</v>
      </c>
      <c r="E131" s="86">
        <v>1</v>
      </c>
      <c r="F131" s="240">
        <f>SUMIF('Cjenik VSO'!$B$9:$B$85,$B131,'Cjenik VSO'!$C$9:$C$85)</f>
        <v>291.72000000000003</v>
      </c>
      <c r="G131" s="55">
        <f>+F131*E131</f>
        <v>291.72000000000003</v>
      </c>
    </row>
    <row r="132" spans="1:15" ht="27.75" customHeight="1">
      <c r="A132" s="56"/>
      <c r="B132" s="839" t="s">
        <v>97</v>
      </c>
      <c r="C132" s="839"/>
      <c r="D132" s="57" t="s">
        <v>51</v>
      </c>
      <c r="E132" s="92">
        <v>1</v>
      </c>
      <c r="F132" s="241">
        <f>SUMIF('Cjenik VSO'!$B$9:$B$85,$B132,'Cjenik VSO'!$C$9:$C$85)</f>
        <v>279.37</v>
      </c>
      <c r="G132" s="60">
        <f>+F132*E132</f>
        <v>279.37</v>
      </c>
    </row>
    <row r="133" spans="1:15" ht="27.75" customHeight="1">
      <c r="A133" s="61"/>
      <c r="B133" s="855" t="s">
        <v>71</v>
      </c>
      <c r="C133" s="855"/>
      <c r="D133" s="62" t="s">
        <v>51</v>
      </c>
      <c r="E133" s="87">
        <v>1</v>
      </c>
      <c r="F133" s="242">
        <f>SUMIF('Cjenik VSO'!$B$9:$B$85,$B133,'Cjenik VSO'!$C$9:$C$85)</f>
        <v>102.17</v>
      </c>
      <c r="G133" s="65">
        <f>+F133*E133</f>
        <v>102.17</v>
      </c>
    </row>
    <row r="134" spans="1:15" ht="27.75" customHeight="1">
      <c r="A134" s="16"/>
      <c r="B134" s="851" t="str">
        <f>'Obrazac kalkulacije'!$B$15</f>
        <v>Materijali:</v>
      </c>
      <c r="C134" s="851"/>
      <c r="D134" s="16"/>
      <c r="E134" s="16"/>
      <c r="F134" s="243"/>
      <c r="G134" s="18" t="e">
        <f>SUM(G135:G135)</f>
        <v>#VALUE!</v>
      </c>
    </row>
    <row r="135" spans="1:15" ht="27.75" customHeight="1">
      <c r="A135" s="43"/>
      <c r="B135" s="865" t="str">
        <f>'Cjenik M'!$B$27</f>
        <v>____________</v>
      </c>
      <c r="C135" s="865"/>
      <c r="D135" s="44">
        <f>'Cjenik M'!$C$27</f>
        <v>0</v>
      </c>
      <c r="E135" s="45">
        <v>1</v>
      </c>
      <c r="F135" s="243" t="str">
        <f>'Cjenik M'!$D$27</f>
        <v>___________</v>
      </c>
      <c r="G135" s="46" t="e">
        <f>E135*F135</f>
        <v>#VALUE!</v>
      </c>
    </row>
    <row r="136" spans="1:15" ht="21.75" customHeight="1">
      <c r="B136" s="47"/>
      <c r="C136" s="24"/>
      <c r="D136" s="25"/>
      <c r="E136" s="147" t="str">
        <f>'Obrazac kalkulacije'!$E$18</f>
        <v>Ukupno (kn):</v>
      </c>
      <c r="F136" s="255"/>
      <c r="G136" s="26" t="e">
        <f>ROUND(SUM(G128+G130+G134),2)</f>
        <v>#VALUE!</v>
      </c>
    </row>
    <row r="137" spans="1:15" s="6" customFormat="1" ht="21.75" customHeight="1">
      <c r="A137" s="1"/>
      <c r="B137" s="37"/>
      <c r="C137" s="2"/>
      <c r="D137" s="3"/>
      <c r="E137" s="27" t="str">
        <f>'Obrazac kalkulacije'!$E$19</f>
        <v>PDV:</v>
      </c>
      <c r="F137" s="248">
        <f>'Obrazac kalkulacije'!$F$19</f>
        <v>0.25</v>
      </c>
      <c r="G137" s="29" t="e">
        <f>G136*F137</f>
        <v>#VALUE!</v>
      </c>
    </row>
    <row r="138" spans="1:15" ht="32.25" customHeight="1">
      <c r="E138" s="148" t="str">
        <f>'Obrazac kalkulacije'!$E$20</f>
        <v>Sveukupno (kn):</v>
      </c>
      <c r="F138" s="256"/>
      <c r="G138" s="29" t="e">
        <f>ROUND(SUM(G136:G137),2)</f>
        <v>#VALUE!</v>
      </c>
      <c r="I138" s="40"/>
      <c r="J138" s="41"/>
      <c r="K138" s="869"/>
      <c r="L138" s="869"/>
      <c r="M138" s="869"/>
      <c r="N138" s="869"/>
      <c r="O138" s="869"/>
    </row>
    <row r="139" spans="1:15" ht="25.15" customHeight="1">
      <c r="F139" s="244"/>
    </row>
    <row r="140" spans="1:15" ht="25.15" customHeight="1">
      <c r="F140" s="244"/>
    </row>
    <row r="141" spans="1:15" ht="25.15" customHeight="1">
      <c r="F141" s="244"/>
    </row>
    <row r="142" spans="1:15" ht="15" customHeight="1">
      <c r="C142" s="3" t="str">
        <f>'Obrazac kalkulacije'!$C$24</f>
        <v>IZVODITELJ:</v>
      </c>
      <c r="F142" s="841" t="str">
        <f>'Obrazac kalkulacije'!$F$24</f>
        <v>NARUČITELJ:</v>
      </c>
      <c r="G142" s="841"/>
    </row>
    <row r="143" spans="1:15" ht="15" customHeight="1">
      <c r="C143" s="3" t="str">
        <f>'Obrazac kalkulacije'!$C$25</f>
        <v>__________________</v>
      </c>
      <c r="F143" s="841" t="str">
        <f>'Obrazac kalkulacije'!$F$25</f>
        <v>___________________</v>
      </c>
      <c r="G143" s="841"/>
    </row>
    <row r="144" spans="1:15" ht="15" customHeight="1"/>
    <row r="145" spans="1:15" ht="15" customHeight="1"/>
    <row r="146" spans="1:15" ht="15" customHeight="1">
      <c r="C146" s="3"/>
      <c r="F146" s="30"/>
      <c r="G146" s="30"/>
    </row>
    <row r="147" spans="1:15" ht="15" customHeight="1">
      <c r="A147" s="150"/>
      <c r="B147" s="145" t="s">
        <v>728</v>
      </c>
      <c r="C147" s="836" t="s">
        <v>729</v>
      </c>
      <c r="D147" s="836"/>
      <c r="E147" s="836"/>
      <c r="F147" s="836"/>
      <c r="G147" s="836"/>
    </row>
    <row r="148" spans="1:15" s="6" customFormat="1">
      <c r="A148" s="164"/>
      <c r="B148" s="165" t="s">
        <v>740</v>
      </c>
      <c r="C148" s="892" t="s">
        <v>741</v>
      </c>
      <c r="D148" s="892"/>
      <c r="E148" s="892"/>
      <c r="F148" s="892"/>
      <c r="G148" s="892"/>
    </row>
    <row r="149" spans="1:15" ht="150" customHeight="1">
      <c r="A149" s="40"/>
      <c r="B149" s="556" t="s">
        <v>746</v>
      </c>
      <c r="C149" s="852" t="s">
        <v>747</v>
      </c>
      <c r="D149" s="852"/>
      <c r="E149" s="852"/>
      <c r="F149" s="852"/>
      <c r="G149" s="852"/>
      <c r="I149" s="40"/>
      <c r="J149" s="41"/>
      <c r="K149" s="869"/>
      <c r="L149" s="869"/>
      <c r="M149" s="869"/>
      <c r="N149" s="869"/>
      <c r="O149" s="869"/>
    </row>
    <row r="150" spans="1:15" ht="25.15" customHeight="1">
      <c r="A150" s="10"/>
      <c r="B150" s="835" t="str">
        <f>'Obrazac kalkulacije'!$B$6:$C$6</f>
        <v>Opis</v>
      </c>
      <c r="C150" s="835"/>
      <c r="D150" s="10" t="str">
        <f>'Obrazac kalkulacije'!$D$6</f>
        <v>Jed.
mjere</v>
      </c>
      <c r="E150" s="10" t="str">
        <f>'Obrazac kalkulacije'!$E$6</f>
        <v>Normativ</v>
      </c>
      <c r="F150" s="10" t="str">
        <f>'Obrazac kalkulacije'!$F$6</f>
        <v>Jed.
cijena</v>
      </c>
      <c r="G150" s="10" t="str">
        <f>'Obrazac kalkulacije'!$G$6</f>
        <v>Iznos</v>
      </c>
    </row>
    <row r="151" spans="1:15" ht="25.15" customHeight="1">
      <c r="B151" s="42"/>
      <c r="C151" s="1"/>
      <c r="D151" s="11"/>
      <c r="E151" s="13"/>
      <c r="F151" s="245"/>
      <c r="G151" s="15"/>
    </row>
    <row r="152" spans="1:15" ht="25.15" customHeight="1">
      <c r="A152" s="16"/>
      <c r="B152" s="17" t="str">
        <f>'Obrazac kalkulacije'!$B$8</f>
        <v>Radna snaga:</v>
      </c>
      <c r="C152" s="17"/>
      <c r="D152" s="16"/>
      <c r="E152" s="16"/>
      <c r="F152" s="246"/>
      <c r="G152" s="18">
        <f>SUM(G153:G153)</f>
        <v>105.03</v>
      </c>
    </row>
    <row r="153" spans="1:15" ht="27.75" customHeight="1">
      <c r="A153" s="32"/>
      <c r="B153" s="854" t="s">
        <v>57</v>
      </c>
      <c r="C153" s="854"/>
      <c r="D153" s="33" t="s">
        <v>51</v>
      </c>
      <c r="E153" s="34">
        <v>1</v>
      </c>
      <c r="F153" s="243">
        <f>SUMIF('Cjenik RS'!$C$11:$C$26,$B153,'Cjenik RS'!$D$11:$D$90)</f>
        <v>105.03</v>
      </c>
      <c r="G153" s="35">
        <f>+F153*E153</f>
        <v>105.03</v>
      </c>
    </row>
    <row r="154" spans="1:15" ht="27.75" customHeight="1">
      <c r="A154" s="16"/>
      <c r="B154" s="17" t="str">
        <f>'Obrazac kalkulacije'!$B$11</f>
        <v>Vozila, strojevi i oprema:</v>
      </c>
      <c r="C154" s="17"/>
      <c r="D154" s="16"/>
      <c r="E154" s="16"/>
      <c r="F154" s="243"/>
      <c r="G154" s="18">
        <f>SUM(G155:G157)</f>
        <v>673.26</v>
      </c>
    </row>
    <row r="155" spans="1:15" ht="27.75" customHeight="1">
      <c r="A155" s="51"/>
      <c r="B155" s="849" t="s">
        <v>73</v>
      </c>
      <c r="C155" s="849"/>
      <c r="D155" s="52" t="s">
        <v>51</v>
      </c>
      <c r="E155" s="86">
        <v>1</v>
      </c>
      <c r="F155" s="240">
        <f>SUMIF('Cjenik VSO'!$B$9:$B$85,$B155,'Cjenik VSO'!$C$9:$C$85)</f>
        <v>291.72000000000003</v>
      </c>
      <c r="G155" s="55">
        <f>+F155*E155</f>
        <v>291.72000000000003</v>
      </c>
    </row>
    <row r="156" spans="1:15" ht="27.75" customHeight="1">
      <c r="A156" s="56"/>
      <c r="B156" s="839" t="s">
        <v>97</v>
      </c>
      <c r="C156" s="839"/>
      <c r="D156" s="57" t="s">
        <v>51</v>
      </c>
      <c r="E156" s="92">
        <v>1</v>
      </c>
      <c r="F156" s="241">
        <f>SUMIF('Cjenik VSO'!$B$9:$B$85,$B156,'Cjenik VSO'!$C$9:$C$85)</f>
        <v>279.37</v>
      </c>
      <c r="G156" s="60">
        <f>+F156*E156</f>
        <v>279.37</v>
      </c>
    </row>
    <row r="157" spans="1:15" ht="27.75" customHeight="1">
      <c r="A157" s="61"/>
      <c r="B157" s="855" t="s">
        <v>71</v>
      </c>
      <c r="C157" s="855"/>
      <c r="D157" s="62" t="s">
        <v>51</v>
      </c>
      <c r="E157" s="87">
        <v>1</v>
      </c>
      <c r="F157" s="242">
        <f>SUMIF('Cjenik VSO'!$B$9:$B$85,$B157,'Cjenik VSO'!$C$9:$C$85)</f>
        <v>102.17</v>
      </c>
      <c r="G157" s="65">
        <f>+F157*E157</f>
        <v>102.17</v>
      </c>
    </row>
    <row r="158" spans="1:15" ht="27.75" customHeight="1">
      <c r="A158" s="16"/>
      <c r="B158" s="851" t="str">
        <f>'Obrazac kalkulacije'!$B$15</f>
        <v>Materijali:</v>
      </c>
      <c r="C158" s="851"/>
      <c r="D158" s="16"/>
      <c r="E158" s="16"/>
      <c r="F158" s="243"/>
      <c r="G158" s="18" t="e">
        <f>SUM(G159:G159)</f>
        <v>#VALUE!</v>
      </c>
    </row>
    <row r="159" spans="1:15" ht="27.75" customHeight="1">
      <c r="A159" s="43"/>
      <c r="B159" s="865" t="str">
        <f>'Cjenik M'!$B$27</f>
        <v>____________</v>
      </c>
      <c r="C159" s="865"/>
      <c r="D159" s="44">
        <f>'Cjenik M'!$C$27</f>
        <v>0</v>
      </c>
      <c r="E159" s="45">
        <v>1</v>
      </c>
      <c r="F159" s="243" t="str">
        <f>'Cjenik M'!$D$27</f>
        <v>___________</v>
      </c>
      <c r="G159" s="46" t="e">
        <f>E159*F159</f>
        <v>#VALUE!</v>
      </c>
    </row>
    <row r="160" spans="1:15" ht="21.75" customHeight="1">
      <c r="B160" s="47"/>
      <c r="C160" s="24"/>
      <c r="D160" s="25"/>
      <c r="E160" s="147" t="str">
        <f>'Obrazac kalkulacije'!$E$18</f>
        <v>Ukupno (kn):</v>
      </c>
      <c r="F160" s="255"/>
      <c r="G160" s="26" t="e">
        <f>ROUND(SUM(G152+G154+G158),2)</f>
        <v>#VALUE!</v>
      </c>
    </row>
    <row r="161" spans="1:15" s="6" customFormat="1" ht="21.75" customHeight="1">
      <c r="A161" s="1"/>
      <c r="B161" s="37"/>
      <c r="C161" s="2"/>
      <c r="D161" s="3"/>
      <c r="E161" s="27" t="str">
        <f>'Obrazac kalkulacije'!$E$19</f>
        <v>PDV:</v>
      </c>
      <c r="F161" s="248">
        <f>'Obrazac kalkulacije'!$F$19</f>
        <v>0.25</v>
      </c>
      <c r="G161" s="29" t="e">
        <f>G160*F161</f>
        <v>#VALUE!</v>
      </c>
    </row>
    <row r="162" spans="1:15" ht="32.25" customHeight="1">
      <c r="E162" s="148" t="str">
        <f>'Obrazac kalkulacije'!$E$20</f>
        <v>Sveukupno (kn):</v>
      </c>
      <c r="F162" s="256"/>
      <c r="G162" s="29" t="e">
        <f>ROUND(SUM(G160:G161),2)</f>
        <v>#VALUE!</v>
      </c>
      <c r="I162" s="40"/>
      <c r="J162" s="41"/>
      <c r="K162" s="869"/>
      <c r="L162" s="869"/>
      <c r="M162" s="869"/>
      <c r="N162" s="869"/>
      <c r="O162" s="869"/>
    </row>
    <row r="163" spans="1:15" ht="25.15" customHeight="1">
      <c r="F163" s="244"/>
    </row>
    <row r="164" spans="1:15" ht="25.15" customHeight="1">
      <c r="F164" s="244"/>
    </row>
    <row r="165" spans="1:15" ht="25.15" customHeight="1">
      <c r="F165" s="244"/>
    </row>
    <row r="166" spans="1:15" ht="15" customHeight="1">
      <c r="C166" s="3" t="str">
        <f>'Obrazac kalkulacije'!$C$24</f>
        <v>IZVODITELJ:</v>
      </c>
      <c r="F166" s="841" t="str">
        <f>'Obrazac kalkulacije'!$F$24</f>
        <v>NARUČITELJ:</v>
      </c>
      <c r="G166" s="841"/>
    </row>
    <row r="167" spans="1:15" ht="15" customHeight="1">
      <c r="C167" s="3" t="str">
        <f>'Obrazac kalkulacije'!$C$25</f>
        <v>__________________</v>
      </c>
      <c r="F167" s="841" t="str">
        <f>'Obrazac kalkulacije'!$F$25</f>
        <v>___________________</v>
      </c>
      <c r="G167" s="841"/>
    </row>
    <row r="168" spans="1:15" ht="15" customHeight="1"/>
    <row r="169" spans="1:15" ht="15" customHeight="1">
      <c r="C169" s="3"/>
      <c r="F169" s="30"/>
      <c r="G169" s="30"/>
    </row>
    <row r="170" spans="1:15" ht="15" customHeight="1">
      <c r="A170" s="150"/>
      <c r="B170" s="145" t="s">
        <v>728</v>
      </c>
      <c r="C170" s="836" t="s">
        <v>729</v>
      </c>
      <c r="D170" s="836"/>
      <c r="E170" s="836"/>
      <c r="F170" s="836"/>
      <c r="G170" s="836"/>
    </row>
    <row r="171" spans="1:15" s="6" customFormat="1">
      <c r="A171" s="164"/>
      <c r="B171" s="165" t="s">
        <v>740</v>
      </c>
      <c r="C171" s="892" t="s">
        <v>741</v>
      </c>
      <c r="D171" s="892"/>
      <c r="E171" s="892"/>
      <c r="F171" s="892"/>
      <c r="G171" s="892"/>
    </row>
    <row r="172" spans="1:15" ht="150" customHeight="1">
      <c r="A172" s="40"/>
      <c r="B172" s="556" t="s">
        <v>748</v>
      </c>
      <c r="C172" s="852" t="s">
        <v>749</v>
      </c>
      <c r="D172" s="852"/>
      <c r="E172" s="852"/>
      <c r="F172" s="852"/>
      <c r="G172" s="852"/>
      <c r="I172" s="40"/>
      <c r="J172" s="41"/>
      <c r="K172" s="869"/>
      <c r="L172" s="869"/>
      <c r="M172" s="869"/>
      <c r="N172" s="869"/>
      <c r="O172" s="869"/>
    </row>
    <row r="173" spans="1:15" ht="25.15" customHeight="1">
      <c r="A173" s="10"/>
      <c r="B173" s="835" t="str">
        <f>'Obrazac kalkulacije'!$B$6:$C$6</f>
        <v>Opis</v>
      </c>
      <c r="C173" s="835"/>
      <c r="D173" s="10" t="str">
        <f>'Obrazac kalkulacije'!$D$6</f>
        <v>Jed.
mjere</v>
      </c>
      <c r="E173" s="10" t="str">
        <f>'Obrazac kalkulacije'!$E$6</f>
        <v>Normativ</v>
      </c>
      <c r="F173" s="10" t="str">
        <f>'Obrazac kalkulacije'!$F$6</f>
        <v>Jed.
cijena</v>
      </c>
      <c r="G173" s="10" t="str">
        <f>'Obrazac kalkulacije'!$G$6</f>
        <v>Iznos</v>
      </c>
    </row>
    <row r="174" spans="1:15" ht="25.15" customHeight="1">
      <c r="B174" s="42"/>
      <c r="C174" s="1"/>
      <c r="D174" s="11"/>
      <c r="E174" s="13"/>
      <c r="F174" s="245"/>
      <c r="G174" s="15"/>
    </row>
    <row r="175" spans="1:15" ht="25.15" customHeight="1">
      <c r="A175" s="16"/>
      <c r="B175" s="17" t="str">
        <f>'Obrazac kalkulacije'!$B$8</f>
        <v>Radna snaga:</v>
      </c>
      <c r="C175" s="17"/>
      <c r="D175" s="16"/>
      <c r="E175" s="16"/>
      <c r="F175" s="246"/>
      <c r="G175" s="18">
        <f>SUM(G176:G176)</f>
        <v>105.03</v>
      </c>
    </row>
    <row r="176" spans="1:15" ht="27.75" customHeight="1">
      <c r="A176" s="32"/>
      <c r="B176" s="854" t="s">
        <v>57</v>
      </c>
      <c r="C176" s="854"/>
      <c r="D176" s="33" t="s">
        <v>51</v>
      </c>
      <c r="E176" s="34">
        <v>1</v>
      </c>
      <c r="F176" s="243">
        <f>SUMIF('Cjenik RS'!$C$11:$C$26,$B176,'Cjenik RS'!$D$11:$D$90)</f>
        <v>105.03</v>
      </c>
      <c r="G176" s="35">
        <f>+F176*E176</f>
        <v>105.03</v>
      </c>
    </row>
    <row r="177" spans="1:15" ht="27.75" customHeight="1">
      <c r="A177" s="16"/>
      <c r="B177" s="17" t="str">
        <f>'Obrazac kalkulacije'!$B$11</f>
        <v>Vozila, strojevi i oprema:</v>
      </c>
      <c r="C177" s="17"/>
      <c r="D177" s="16"/>
      <c r="E177" s="16"/>
      <c r="F177" s="243"/>
      <c r="G177" s="18">
        <f>SUM(G178:G180)</f>
        <v>673.26</v>
      </c>
    </row>
    <row r="178" spans="1:15" ht="27.75" customHeight="1">
      <c r="A178" s="51"/>
      <c r="B178" s="849" t="s">
        <v>73</v>
      </c>
      <c r="C178" s="849"/>
      <c r="D178" s="52" t="s">
        <v>51</v>
      </c>
      <c r="E178" s="86">
        <v>1</v>
      </c>
      <c r="F178" s="240">
        <f>SUMIF('Cjenik VSO'!$B$9:$B$85,$B178,'Cjenik VSO'!$C$9:$C$85)</f>
        <v>291.72000000000003</v>
      </c>
      <c r="G178" s="55">
        <f>+F178*E178</f>
        <v>291.72000000000003</v>
      </c>
    </row>
    <row r="179" spans="1:15" ht="27.75" customHeight="1">
      <c r="A179" s="56"/>
      <c r="B179" s="839" t="s">
        <v>97</v>
      </c>
      <c r="C179" s="839"/>
      <c r="D179" s="57" t="s">
        <v>51</v>
      </c>
      <c r="E179" s="92">
        <v>1</v>
      </c>
      <c r="F179" s="241">
        <f>SUMIF('Cjenik VSO'!$B$9:$B$85,$B179,'Cjenik VSO'!$C$9:$C$85)</f>
        <v>279.37</v>
      </c>
      <c r="G179" s="60">
        <f>+F179*E179</f>
        <v>279.37</v>
      </c>
    </row>
    <row r="180" spans="1:15" ht="27.75" customHeight="1">
      <c r="A180" s="61"/>
      <c r="B180" s="855" t="s">
        <v>71</v>
      </c>
      <c r="C180" s="855"/>
      <c r="D180" s="62" t="s">
        <v>51</v>
      </c>
      <c r="E180" s="87">
        <v>1</v>
      </c>
      <c r="F180" s="242">
        <f>SUMIF('Cjenik VSO'!$B$9:$B$85,$B180,'Cjenik VSO'!$C$9:$C$85)</f>
        <v>102.17</v>
      </c>
      <c r="G180" s="65">
        <f>+F180*E180</f>
        <v>102.17</v>
      </c>
    </row>
    <row r="181" spans="1:15" ht="27.75" customHeight="1">
      <c r="A181" s="16"/>
      <c r="B181" s="851" t="str">
        <f>'Obrazac kalkulacije'!$B$15</f>
        <v>Materijali:</v>
      </c>
      <c r="C181" s="851"/>
      <c r="D181" s="16"/>
      <c r="E181" s="16"/>
      <c r="F181" s="243"/>
      <c r="G181" s="18" t="e">
        <f>SUM(G182:G182)</f>
        <v>#VALUE!</v>
      </c>
    </row>
    <row r="182" spans="1:15" ht="27.75" customHeight="1">
      <c r="A182" s="43"/>
      <c r="B182" s="865" t="str">
        <f>'Cjenik M'!$B$27</f>
        <v>____________</v>
      </c>
      <c r="C182" s="865"/>
      <c r="D182" s="44">
        <f>'Cjenik M'!$C$27</f>
        <v>0</v>
      </c>
      <c r="E182" s="45">
        <v>1</v>
      </c>
      <c r="F182" s="243" t="str">
        <f>'Cjenik M'!$D$27</f>
        <v>___________</v>
      </c>
      <c r="G182" s="46" t="e">
        <f>E182*F182</f>
        <v>#VALUE!</v>
      </c>
    </row>
    <row r="183" spans="1:15" ht="21.75" customHeight="1">
      <c r="B183" s="47"/>
      <c r="C183" s="24"/>
      <c r="D183" s="25"/>
      <c r="E183" s="147" t="str">
        <f>'Obrazac kalkulacije'!$E$18</f>
        <v>Ukupno (kn):</v>
      </c>
      <c r="F183" s="255"/>
      <c r="G183" s="26" t="e">
        <f>ROUND(SUM(G175+G177+G181),2)</f>
        <v>#VALUE!</v>
      </c>
    </row>
    <row r="184" spans="1:15" s="6" customFormat="1" ht="21.75" customHeight="1">
      <c r="A184" s="1"/>
      <c r="B184" s="37"/>
      <c r="C184" s="2"/>
      <c r="D184" s="3"/>
      <c r="E184" s="27" t="str">
        <f>'Obrazac kalkulacije'!$E$19</f>
        <v>PDV:</v>
      </c>
      <c r="F184" s="248">
        <f>'Obrazac kalkulacije'!$F$19</f>
        <v>0.25</v>
      </c>
      <c r="G184" s="29" t="e">
        <f>G183*F184</f>
        <v>#VALUE!</v>
      </c>
    </row>
    <row r="185" spans="1:15" ht="32.25" customHeight="1">
      <c r="E185" s="148" t="str">
        <f>'Obrazac kalkulacije'!$E$20</f>
        <v>Sveukupno (kn):</v>
      </c>
      <c r="F185" s="256"/>
      <c r="G185" s="29" t="e">
        <f>ROUND(SUM(G183:G184),2)</f>
        <v>#VALUE!</v>
      </c>
      <c r="I185" s="40"/>
      <c r="J185" s="41"/>
      <c r="K185" s="869"/>
      <c r="L185" s="869"/>
      <c r="M185" s="869"/>
      <c r="N185" s="869"/>
      <c r="O185" s="869"/>
    </row>
    <row r="186" spans="1:15" ht="25.15" customHeight="1">
      <c r="F186" s="244"/>
    </row>
    <row r="187" spans="1:15" ht="25.15" customHeight="1">
      <c r="F187" s="244"/>
    </row>
    <row r="188" spans="1:15" ht="25.15" customHeight="1">
      <c r="F188" s="244"/>
    </row>
    <row r="189" spans="1:15" ht="15" customHeight="1">
      <c r="C189" s="3" t="str">
        <f>'Obrazac kalkulacije'!$C$24</f>
        <v>IZVODITELJ:</v>
      </c>
      <c r="F189" s="841" t="str">
        <f>'Obrazac kalkulacije'!$F$24</f>
        <v>NARUČITELJ:</v>
      </c>
      <c r="G189" s="841"/>
    </row>
    <row r="190" spans="1:15" ht="15" customHeight="1">
      <c r="C190" s="3" t="str">
        <f>'Obrazac kalkulacije'!$C$25</f>
        <v>__________________</v>
      </c>
      <c r="F190" s="841" t="str">
        <f>'Obrazac kalkulacije'!$F$25</f>
        <v>___________________</v>
      </c>
      <c r="G190" s="841"/>
    </row>
    <row r="191" spans="1:15" ht="15" customHeight="1"/>
    <row r="192" spans="1:15" ht="15" customHeight="1">
      <c r="C192" s="3"/>
      <c r="F192" s="30"/>
      <c r="G192" s="30"/>
    </row>
    <row r="193" spans="1:15" ht="15" customHeight="1">
      <c r="A193" s="150"/>
      <c r="B193" s="145" t="s">
        <v>728</v>
      </c>
      <c r="C193" s="836" t="s">
        <v>729</v>
      </c>
      <c r="D193" s="836"/>
      <c r="E193" s="836"/>
      <c r="F193" s="836"/>
      <c r="G193" s="836"/>
    </row>
    <row r="194" spans="1:15" s="6" customFormat="1">
      <c r="A194" s="164"/>
      <c r="B194" s="165" t="s">
        <v>740</v>
      </c>
      <c r="C194" s="892" t="s">
        <v>741</v>
      </c>
      <c r="D194" s="892"/>
      <c r="E194" s="892"/>
      <c r="F194" s="892"/>
      <c r="G194" s="892"/>
    </row>
    <row r="195" spans="1:15" ht="150" customHeight="1">
      <c r="A195" s="40"/>
      <c r="B195" s="556" t="s">
        <v>750</v>
      </c>
      <c r="C195" s="852" t="s">
        <v>751</v>
      </c>
      <c r="D195" s="852"/>
      <c r="E195" s="852"/>
      <c r="F195" s="852"/>
      <c r="G195" s="852"/>
      <c r="I195" s="40"/>
      <c r="J195" s="41"/>
      <c r="K195" s="869"/>
      <c r="L195" s="869"/>
      <c r="M195" s="869"/>
      <c r="N195" s="869"/>
      <c r="O195" s="869"/>
    </row>
    <row r="196" spans="1:15" ht="25.15" customHeight="1">
      <c r="A196" s="10"/>
      <c r="B196" s="835" t="str">
        <f>'Obrazac kalkulacije'!$B$6:$C$6</f>
        <v>Opis</v>
      </c>
      <c r="C196" s="835"/>
      <c r="D196" s="10" t="str">
        <f>'Obrazac kalkulacije'!$D$6</f>
        <v>Jed.
mjere</v>
      </c>
      <c r="E196" s="10" t="str">
        <f>'Obrazac kalkulacije'!$E$6</f>
        <v>Normativ</v>
      </c>
      <c r="F196" s="10" t="str">
        <f>'Obrazac kalkulacije'!$F$6</f>
        <v>Jed.
cijena</v>
      </c>
      <c r="G196" s="10" t="str">
        <f>'Obrazac kalkulacije'!$G$6</f>
        <v>Iznos</v>
      </c>
    </row>
    <row r="197" spans="1:15" ht="25.15" customHeight="1">
      <c r="B197" s="42"/>
      <c r="C197" s="1"/>
      <c r="D197" s="11"/>
      <c r="E197" s="13"/>
      <c r="F197" s="245"/>
      <c r="G197" s="15"/>
    </row>
    <row r="198" spans="1:15" ht="25.15" customHeight="1">
      <c r="A198" s="16"/>
      <c r="B198" s="17" t="str">
        <f>'Obrazac kalkulacije'!$B$8</f>
        <v>Radna snaga:</v>
      </c>
      <c r="C198" s="17"/>
      <c r="D198" s="16"/>
      <c r="E198" s="16"/>
      <c r="F198" s="246"/>
      <c r="G198" s="18">
        <f>SUM(G199:G199)</f>
        <v>105.03</v>
      </c>
    </row>
    <row r="199" spans="1:15" ht="27.75" customHeight="1">
      <c r="A199" s="32"/>
      <c r="B199" s="854" t="s">
        <v>57</v>
      </c>
      <c r="C199" s="854"/>
      <c r="D199" s="33" t="s">
        <v>51</v>
      </c>
      <c r="E199" s="34">
        <v>1</v>
      </c>
      <c r="F199" s="243">
        <f>SUMIF('Cjenik RS'!$C$11:$C$26,$B199,'Cjenik RS'!$D$11:$D$90)</f>
        <v>105.03</v>
      </c>
      <c r="G199" s="35">
        <f>+F199*E199</f>
        <v>105.03</v>
      </c>
    </row>
    <row r="200" spans="1:15" ht="27.75" customHeight="1">
      <c r="A200" s="16"/>
      <c r="B200" s="17" t="str">
        <f>'Obrazac kalkulacije'!$B$11</f>
        <v>Vozila, strojevi i oprema:</v>
      </c>
      <c r="C200" s="17"/>
      <c r="D200" s="16"/>
      <c r="E200" s="16"/>
      <c r="F200" s="243"/>
      <c r="G200" s="18">
        <f>SUM(G201:G203)</f>
        <v>673.26</v>
      </c>
    </row>
    <row r="201" spans="1:15" ht="27.75" customHeight="1">
      <c r="A201" s="51"/>
      <c r="B201" s="849" t="s">
        <v>73</v>
      </c>
      <c r="C201" s="849"/>
      <c r="D201" s="52" t="s">
        <v>51</v>
      </c>
      <c r="E201" s="86">
        <v>1</v>
      </c>
      <c r="F201" s="240">
        <f>SUMIF('Cjenik VSO'!$B$9:$B$85,$B201,'Cjenik VSO'!$C$9:$C$85)</f>
        <v>291.72000000000003</v>
      </c>
      <c r="G201" s="55">
        <f>+F201*E201</f>
        <v>291.72000000000003</v>
      </c>
    </row>
    <row r="202" spans="1:15" ht="27.75" customHeight="1">
      <c r="A202" s="56"/>
      <c r="B202" s="839" t="s">
        <v>97</v>
      </c>
      <c r="C202" s="839"/>
      <c r="D202" s="57" t="s">
        <v>51</v>
      </c>
      <c r="E202" s="92">
        <v>1</v>
      </c>
      <c r="F202" s="241">
        <f>SUMIF('Cjenik VSO'!$B$9:$B$85,$B202,'Cjenik VSO'!$C$9:$C$85)</f>
        <v>279.37</v>
      </c>
      <c r="G202" s="60">
        <f>+F202*E202</f>
        <v>279.37</v>
      </c>
    </row>
    <row r="203" spans="1:15" ht="27.75" customHeight="1">
      <c r="A203" s="61"/>
      <c r="B203" s="855" t="s">
        <v>71</v>
      </c>
      <c r="C203" s="855"/>
      <c r="D203" s="62" t="s">
        <v>51</v>
      </c>
      <c r="E203" s="87">
        <v>1</v>
      </c>
      <c r="F203" s="242">
        <f>SUMIF('Cjenik VSO'!$B$9:$B$85,$B203,'Cjenik VSO'!$C$9:$C$85)</f>
        <v>102.17</v>
      </c>
      <c r="G203" s="65">
        <f>+F203*E203</f>
        <v>102.17</v>
      </c>
    </row>
    <row r="204" spans="1:15" ht="27.75" customHeight="1">
      <c r="A204" s="16"/>
      <c r="B204" s="851" t="str">
        <f>'Obrazac kalkulacije'!$B$15</f>
        <v>Materijali:</v>
      </c>
      <c r="C204" s="851"/>
      <c r="D204" s="16"/>
      <c r="E204" s="16"/>
      <c r="F204" s="243"/>
      <c r="G204" s="18" t="e">
        <f>SUM(G205:G205)</f>
        <v>#VALUE!</v>
      </c>
    </row>
    <row r="205" spans="1:15" ht="27.75" customHeight="1">
      <c r="A205" s="43"/>
      <c r="B205" s="865" t="str">
        <f>'Cjenik M'!$B$27</f>
        <v>____________</v>
      </c>
      <c r="C205" s="865"/>
      <c r="D205" s="44">
        <f>'Cjenik M'!$C$27</f>
        <v>0</v>
      </c>
      <c r="E205" s="45">
        <v>1</v>
      </c>
      <c r="F205" s="243" t="str">
        <f>'Cjenik M'!$D$27</f>
        <v>___________</v>
      </c>
      <c r="G205" s="46" t="e">
        <f>E205*F205</f>
        <v>#VALUE!</v>
      </c>
    </row>
    <row r="206" spans="1:15" ht="21.75" customHeight="1">
      <c r="B206" s="47"/>
      <c r="C206" s="24"/>
      <c r="D206" s="25"/>
      <c r="E206" s="147" t="str">
        <f>'Obrazac kalkulacije'!$E$18</f>
        <v>Ukupno (kn):</v>
      </c>
      <c r="F206" s="255"/>
      <c r="G206" s="26" t="e">
        <f>ROUND(SUM(G198+G200+G204),2)</f>
        <v>#VALUE!</v>
      </c>
    </row>
    <row r="207" spans="1:15" s="6" customFormat="1" ht="21.75" customHeight="1">
      <c r="A207" s="1"/>
      <c r="B207" s="37"/>
      <c r="C207" s="2"/>
      <c r="D207" s="3"/>
      <c r="E207" s="27" t="str">
        <f>'Obrazac kalkulacije'!$E$19</f>
        <v>PDV:</v>
      </c>
      <c r="F207" s="248">
        <f>'Obrazac kalkulacije'!$F$19</f>
        <v>0.25</v>
      </c>
      <c r="G207" s="29" t="e">
        <f>G206*F207</f>
        <v>#VALUE!</v>
      </c>
    </row>
    <row r="208" spans="1:15" ht="32.25" customHeight="1">
      <c r="E208" s="148" t="str">
        <f>'Obrazac kalkulacije'!$E$20</f>
        <v>Sveukupno (kn):</v>
      </c>
      <c r="F208" s="256"/>
      <c r="G208" s="29" t="e">
        <f>ROUND(SUM(G206:G207),2)</f>
        <v>#VALUE!</v>
      </c>
      <c r="I208" s="40"/>
      <c r="J208" s="41"/>
      <c r="K208" s="869"/>
      <c r="L208" s="869"/>
      <c r="M208" s="869"/>
      <c r="N208" s="869"/>
      <c r="O208" s="869"/>
    </row>
    <row r="209" spans="1:15" ht="25.15" customHeight="1">
      <c r="F209" s="244"/>
    </row>
    <row r="210" spans="1:15" ht="25.15" customHeight="1">
      <c r="F210" s="244"/>
    </row>
    <row r="211" spans="1:15" ht="25.15" customHeight="1">
      <c r="F211" s="244"/>
    </row>
    <row r="212" spans="1:15" ht="15" customHeight="1">
      <c r="C212" s="3" t="str">
        <f>'Obrazac kalkulacije'!$C$24</f>
        <v>IZVODITELJ:</v>
      </c>
      <c r="F212" s="841" t="str">
        <f>'Obrazac kalkulacije'!$F$24</f>
        <v>NARUČITELJ:</v>
      </c>
      <c r="G212" s="841"/>
    </row>
    <row r="213" spans="1:15" ht="15" customHeight="1">
      <c r="C213" s="3" t="str">
        <f>'Obrazac kalkulacije'!$C$25</f>
        <v>__________________</v>
      </c>
      <c r="F213" s="841" t="str">
        <f>'Obrazac kalkulacije'!$F$25</f>
        <v>___________________</v>
      </c>
      <c r="G213" s="841"/>
    </row>
    <row r="214" spans="1:15" ht="15" customHeight="1"/>
    <row r="215" spans="1:15" ht="15" customHeight="1">
      <c r="C215" s="3"/>
      <c r="F215" s="30"/>
      <c r="G215" s="30"/>
    </row>
    <row r="216" spans="1:15" ht="15" customHeight="1">
      <c r="A216" s="150"/>
      <c r="B216" s="145" t="s">
        <v>728</v>
      </c>
      <c r="C216" s="836" t="s">
        <v>729</v>
      </c>
      <c r="D216" s="836"/>
      <c r="E216" s="836"/>
      <c r="F216" s="836"/>
      <c r="G216" s="836"/>
    </row>
    <row r="217" spans="1:15" s="6" customFormat="1">
      <c r="A217" s="164"/>
      <c r="B217" s="165" t="s">
        <v>740</v>
      </c>
      <c r="C217" s="892" t="s">
        <v>741</v>
      </c>
      <c r="D217" s="892"/>
      <c r="E217" s="892"/>
      <c r="F217" s="892"/>
      <c r="G217" s="892"/>
    </row>
    <row r="218" spans="1:15" ht="150" customHeight="1">
      <c r="A218" s="40"/>
      <c r="B218" s="556" t="s">
        <v>752</v>
      </c>
      <c r="C218" s="852" t="s">
        <v>753</v>
      </c>
      <c r="D218" s="852"/>
      <c r="E218" s="852"/>
      <c r="F218" s="852"/>
      <c r="G218" s="852"/>
      <c r="I218" s="40"/>
      <c r="J218" s="41"/>
      <c r="K218" s="869"/>
      <c r="L218" s="869"/>
      <c r="M218" s="869"/>
      <c r="N218" s="869"/>
      <c r="O218" s="869"/>
    </row>
    <row r="219" spans="1:15" ht="25.15" customHeight="1">
      <c r="A219" s="10"/>
      <c r="B219" s="835" t="str">
        <f>'Obrazac kalkulacije'!$B$6:$C$6</f>
        <v>Opis</v>
      </c>
      <c r="C219" s="835"/>
      <c r="D219" s="10" t="str">
        <f>'Obrazac kalkulacije'!$D$6</f>
        <v>Jed.
mjere</v>
      </c>
      <c r="E219" s="10" t="str">
        <f>'Obrazac kalkulacije'!$E$6</f>
        <v>Normativ</v>
      </c>
      <c r="F219" s="10" t="str">
        <f>'Obrazac kalkulacije'!$F$6</f>
        <v>Jed.
cijena</v>
      </c>
      <c r="G219" s="10" t="str">
        <f>'Obrazac kalkulacije'!$G$6</f>
        <v>Iznos</v>
      </c>
    </row>
    <row r="220" spans="1:15" ht="25.15" customHeight="1">
      <c r="B220" s="42"/>
      <c r="C220" s="1"/>
      <c r="D220" s="11"/>
      <c r="E220" s="13"/>
      <c r="F220" s="245"/>
      <c r="G220" s="15"/>
    </row>
    <row r="221" spans="1:15" ht="25.15" customHeight="1">
      <c r="A221" s="16"/>
      <c r="B221" s="17" t="str">
        <f>'Obrazac kalkulacije'!$B$8</f>
        <v>Radna snaga:</v>
      </c>
      <c r="C221" s="17"/>
      <c r="D221" s="16"/>
      <c r="E221" s="16"/>
      <c r="F221" s="246"/>
      <c r="G221" s="18">
        <f>SUM(G222:G222)</f>
        <v>105.03</v>
      </c>
    </row>
    <row r="222" spans="1:15" ht="27.75" customHeight="1">
      <c r="A222" s="32"/>
      <c r="B222" s="854" t="s">
        <v>57</v>
      </c>
      <c r="C222" s="854"/>
      <c r="D222" s="33" t="s">
        <v>51</v>
      </c>
      <c r="E222" s="34">
        <v>1</v>
      </c>
      <c r="F222" s="243">
        <f>SUMIF('Cjenik RS'!$C$11:$C$26,$B222,'Cjenik RS'!$D$11:$D$90)</f>
        <v>105.03</v>
      </c>
      <c r="G222" s="35">
        <f>+F222*E222</f>
        <v>105.03</v>
      </c>
    </row>
    <row r="223" spans="1:15" ht="27.75" customHeight="1">
      <c r="A223" s="16"/>
      <c r="B223" s="17" t="str">
        <f>'Obrazac kalkulacije'!$B$11</f>
        <v>Vozila, strojevi i oprema:</v>
      </c>
      <c r="C223" s="17"/>
      <c r="D223" s="16"/>
      <c r="E223" s="16"/>
      <c r="F223" s="243"/>
      <c r="G223" s="18">
        <f>SUM(G224:G226)</f>
        <v>673.26</v>
      </c>
    </row>
    <row r="224" spans="1:15" ht="27.75" customHeight="1">
      <c r="A224" s="51"/>
      <c r="B224" s="849" t="s">
        <v>73</v>
      </c>
      <c r="C224" s="849"/>
      <c r="D224" s="52" t="s">
        <v>51</v>
      </c>
      <c r="E224" s="86">
        <v>1</v>
      </c>
      <c r="F224" s="240">
        <f>SUMIF('Cjenik VSO'!$B$9:$B$85,$B224,'Cjenik VSO'!$C$9:$C$85)</f>
        <v>291.72000000000003</v>
      </c>
      <c r="G224" s="55">
        <f>+F224*E224</f>
        <v>291.72000000000003</v>
      </c>
    </row>
    <row r="225" spans="1:15" ht="27.75" customHeight="1">
      <c r="A225" s="56"/>
      <c r="B225" s="839" t="s">
        <v>97</v>
      </c>
      <c r="C225" s="839"/>
      <c r="D225" s="57" t="s">
        <v>51</v>
      </c>
      <c r="E225" s="92">
        <v>1</v>
      </c>
      <c r="F225" s="241">
        <f>SUMIF('Cjenik VSO'!$B$9:$B$85,$B225,'Cjenik VSO'!$C$9:$C$85)</f>
        <v>279.37</v>
      </c>
      <c r="G225" s="60">
        <f>+F225*E225</f>
        <v>279.37</v>
      </c>
    </row>
    <row r="226" spans="1:15" ht="27.75" customHeight="1">
      <c r="A226" s="61"/>
      <c r="B226" s="855" t="s">
        <v>71</v>
      </c>
      <c r="C226" s="855"/>
      <c r="D226" s="62" t="s">
        <v>51</v>
      </c>
      <c r="E226" s="87">
        <v>1</v>
      </c>
      <c r="F226" s="242">
        <f>SUMIF('Cjenik VSO'!$B$9:$B$85,$B226,'Cjenik VSO'!$C$9:$C$85)</f>
        <v>102.17</v>
      </c>
      <c r="G226" s="65">
        <f>+F226*E226</f>
        <v>102.17</v>
      </c>
    </row>
    <row r="227" spans="1:15" ht="27.75" customHeight="1">
      <c r="A227" s="16"/>
      <c r="B227" s="851" t="str">
        <f>'Obrazac kalkulacije'!$B$15</f>
        <v>Materijali:</v>
      </c>
      <c r="C227" s="851"/>
      <c r="D227" s="16"/>
      <c r="E227" s="16"/>
      <c r="F227" s="243"/>
      <c r="G227" s="18" t="e">
        <f>SUM(G228:G228)</f>
        <v>#VALUE!</v>
      </c>
    </row>
    <row r="228" spans="1:15" ht="27.75" customHeight="1">
      <c r="A228" s="43"/>
      <c r="B228" s="865" t="str">
        <f>'Cjenik M'!$B$27</f>
        <v>____________</v>
      </c>
      <c r="C228" s="865"/>
      <c r="D228" s="44">
        <f>'Cjenik M'!$C$27</f>
        <v>0</v>
      </c>
      <c r="E228" s="45">
        <v>1</v>
      </c>
      <c r="F228" s="243" t="str">
        <f>'Cjenik M'!$D$27</f>
        <v>___________</v>
      </c>
      <c r="G228" s="46" t="e">
        <f>E228*F228</f>
        <v>#VALUE!</v>
      </c>
    </row>
    <row r="229" spans="1:15" ht="21.75" customHeight="1">
      <c r="B229" s="47"/>
      <c r="C229" s="24"/>
      <c r="D229" s="25"/>
      <c r="E229" s="147" t="str">
        <f>'Obrazac kalkulacije'!$E$18</f>
        <v>Ukupno (kn):</v>
      </c>
      <c r="F229" s="255"/>
      <c r="G229" s="26" t="e">
        <f>ROUND(SUM(G221+G223+G227),2)</f>
        <v>#VALUE!</v>
      </c>
    </row>
    <row r="230" spans="1:15" s="6" customFormat="1" ht="21.75" customHeight="1">
      <c r="A230" s="1"/>
      <c r="B230" s="37"/>
      <c r="C230" s="2"/>
      <c r="D230" s="3"/>
      <c r="E230" s="27" t="str">
        <f>'Obrazac kalkulacije'!$E$19</f>
        <v>PDV:</v>
      </c>
      <c r="F230" s="248">
        <f>'Obrazac kalkulacije'!$F$19</f>
        <v>0.25</v>
      </c>
      <c r="G230" s="29" t="e">
        <f>G229*F230</f>
        <v>#VALUE!</v>
      </c>
    </row>
    <row r="231" spans="1:15" ht="32.25" customHeight="1">
      <c r="E231" s="148" t="str">
        <f>'Obrazac kalkulacije'!$E$20</f>
        <v>Sveukupno (kn):</v>
      </c>
      <c r="F231" s="256"/>
      <c r="G231" s="29" t="e">
        <f>ROUND(SUM(G229:G230),2)</f>
        <v>#VALUE!</v>
      </c>
      <c r="I231" s="40"/>
      <c r="J231" s="41"/>
      <c r="K231" s="869"/>
      <c r="L231" s="869"/>
      <c r="M231" s="869"/>
      <c r="N231" s="869"/>
      <c r="O231" s="869"/>
    </row>
    <row r="232" spans="1:15" ht="25.15" customHeight="1">
      <c r="F232" s="244"/>
    </row>
    <row r="233" spans="1:15" ht="25.15" customHeight="1">
      <c r="F233" s="244"/>
    </row>
    <row r="234" spans="1:15" ht="25.15" customHeight="1">
      <c r="F234" s="244"/>
    </row>
    <row r="235" spans="1:15" ht="15" customHeight="1">
      <c r="C235" s="3" t="str">
        <f>'Obrazac kalkulacije'!$C$24</f>
        <v>IZVODITELJ:</v>
      </c>
      <c r="F235" s="841" t="str">
        <f>'Obrazac kalkulacije'!$F$24</f>
        <v>NARUČITELJ:</v>
      </c>
      <c r="G235" s="841"/>
    </row>
    <row r="236" spans="1:15" ht="15" customHeight="1">
      <c r="C236" s="3" t="str">
        <f>'Obrazac kalkulacije'!$C$25</f>
        <v>__________________</v>
      </c>
      <c r="F236" s="841" t="str">
        <f>'Obrazac kalkulacije'!$F$25</f>
        <v>___________________</v>
      </c>
      <c r="G236" s="841"/>
    </row>
    <row r="237" spans="1:15" ht="15" customHeight="1">
      <c r="F237" s="841"/>
      <c r="G237" s="841"/>
    </row>
    <row r="238" spans="1:15" ht="15" customHeight="1">
      <c r="C238" s="3"/>
      <c r="F238" s="30"/>
      <c r="G238" s="30"/>
    </row>
    <row r="239" spans="1:15" ht="15" customHeight="1">
      <c r="A239" s="150"/>
      <c r="B239" s="145" t="s">
        <v>728</v>
      </c>
      <c r="C239" s="836" t="s">
        <v>729</v>
      </c>
      <c r="D239" s="836"/>
      <c r="E239" s="836"/>
      <c r="F239" s="836"/>
      <c r="G239" s="836"/>
    </row>
    <row r="240" spans="1:15" s="6" customFormat="1">
      <c r="A240" s="164"/>
      <c r="B240" s="165" t="s">
        <v>740</v>
      </c>
      <c r="C240" s="892" t="s">
        <v>741</v>
      </c>
      <c r="D240" s="892"/>
      <c r="E240" s="892"/>
      <c r="F240" s="892"/>
      <c r="G240" s="892"/>
    </row>
    <row r="241" spans="1:15" ht="150" customHeight="1">
      <c r="A241" s="40"/>
      <c r="B241" s="556" t="s">
        <v>754</v>
      </c>
      <c r="C241" s="852" t="s">
        <v>755</v>
      </c>
      <c r="D241" s="852"/>
      <c r="E241" s="852"/>
      <c r="F241" s="852"/>
      <c r="G241" s="852"/>
      <c r="I241" s="40"/>
      <c r="J241" s="41"/>
      <c r="K241" s="869"/>
      <c r="L241" s="869"/>
      <c r="M241" s="869"/>
      <c r="N241" s="869"/>
      <c r="O241" s="869"/>
    </row>
    <row r="242" spans="1:15" ht="25.15" customHeight="1">
      <c r="A242" s="10"/>
      <c r="B242" s="835" t="str">
        <f>'Obrazac kalkulacije'!$B$6:$C$6</f>
        <v>Opis</v>
      </c>
      <c r="C242" s="835"/>
      <c r="D242" s="10" t="str">
        <f>'Obrazac kalkulacije'!$D$6</f>
        <v>Jed.
mjere</v>
      </c>
      <c r="E242" s="10" t="str">
        <f>'Obrazac kalkulacije'!$E$6</f>
        <v>Normativ</v>
      </c>
      <c r="F242" s="10" t="str">
        <f>'Obrazac kalkulacije'!$F$6</f>
        <v>Jed.
cijena</v>
      </c>
      <c r="G242" s="10" t="str">
        <f>'Obrazac kalkulacije'!$G$6</f>
        <v>Iznos</v>
      </c>
    </row>
    <row r="243" spans="1:15" ht="25.15" customHeight="1">
      <c r="B243" s="42"/>
      <c r="C243" s="1"/>
      <c r="D243" s="11"/>
      <c r="E243" s="13"/>
      <c r="F243" s="245"/>
      <c r="G243" s="15"/>
    </row>
    <row r="244" spans="1:15" ht="25.15" customHeight="1">
      <c r="A244" s="16"/>
      <c r="B244" s="17" t="str">
        <f>'Obrazac kalkulacije'!$B$8</f>
        <v>Radna snaga:</v>
      </c>
      <c r="C244" s="17"/>
      <c r="D244" s="16"/>
      <c r="E244" s="16"/>
      <c r="F244" s="246"/>
      <c r="G244" s="18">
        <f>SUM(G245:G245)</f>
        <v>105.03</v>
      </c>
    </row>
    <row r="245" spans="1:15" ht="27.75" customHeight="1">
      <c r="A245" s="32"/>
      <c r="B245" s="854" t="s">
        <v>57</v>
      </c>
      <c r="C245" s="854"/>
      <c r="D245" s="33" t="s">
        <v>51</v>
      </c>
      <c r="E245" s="34">
        <v>1</v>
      </c>
      <c r="F245" s="243">
        <f>SUMIF('Cjenik RS'!$C$11:$C$26,$B245,'Cjenik RS'!$D$11:$D$90)</f>
        <v>105.03</v>
      </c>
      <c r="G245" s="35">
        <f>+F245*E245</f>
        <v>105.03</v>
      </c>
    </row>
    <row r="246" spans="1:15" ht="27.75" customHeight="1">
      <c r="A246" s="16"/>
      <c r="B246" s="17" t="str">
        <f>'Obrazac kalkulacije'!$B$11</f>
        <v>Vozila, strojevi i oprema:</v>
      </c>
      <c r="C246" s="17"/>
      <c r="D246" s="16"/>
      <c r="E246" s="16"/>
      <c r="F246" s="243"/>
      <c r="G246" s="18">
        <f>SUM(G247:G249)</f>
        <v>673.26</v>
      </c>
    </row>
    <row r="247" spans="1:15" ht="27.75" customHeight="1">
      <c r="A247" s="51"/>
      <c r="B247" s="849" t="s">
        <v>73</v>
      </c>
      <c r="C247" s="849"/>
      <c r="D247" s="52" t="s">
        <v>51</v>
      </c>
      <c r="E247" s="86">
        <v>1</v>
      </c>
      <c r="F247" s="240">
        <f>SUMIF('Cjenik VSO'!$B$9:$B$85,$B247,'Cjenik VSO'!$C$9:$C$85)</f>
        <v>291.72000000000003</v>
      </c>
      <c r="G247" s="55">
        <f>+F247*E247</f>
        <v>291.72000000000003</v>
      </c>
    </row>
    <row r="248" spans="1:15" ht="27.75" customHeight="1">
      <c r="A248" s="56"/>
      <c r="B248" s="839" t="s">
        <v>97</v>
      </c>
      <c r="C248" s="839"/>
      <c r="D248" s="57" t="s">
        <v>51</v>
      </c>
      <c r="E248" s="92">
        <v>1</v>
      </c>
      <c r="F248" s="241">
        <f>SUMIF('Cjenik VSO'!$B$9:$B$85,$B248,'Cjenik VSO'!$C$9:$C$85)</f>
        <v>279.37</v>
      </c>
      <c r="G248" s="60">
        <f>+F248*E248</f>
        <v>279.37</v>
      </c>
    </row>
    <row r="249" spans="1:15" ht="27.75" customHeight="1">
      <c r="A249" s="61"/>
      <c r="B249" s="855" t="s">
        <v>71</v>
      </c>
      <c r="C249" s="855"/>
      <c r="D249" s="62" t="s">
        <v>51</v>
      </c>
      <c r="E249" s="87">
        <v>1</v>
      </c>
      <c r="F249" s="242">
        <f>SUMIF('Cjenik VSO'!$B$9:$B$85,$B249,'Cjenik VSO'!$C$9:$C$85)</f>
        <v>102.17</v>
      </c>
      <c r="G249" s="65">
        <f>+F249*E249</f>
        <v>102.17</v>
      </c>
    </row>
    <row r="250" spans="1:15" ht="27.75" customHeight="1">
      <c r="A250" s="16"/>
      <c r="B250" s="851" t="str">
        <f>'Obrazac kalkulacije'!$B$15</f>
        <v>Materijali:</v>
      </c>
      <c r="C250" s="851"/>
      <c r="D250" s="16"/>
      <c r="E250" s="16"/>
      <c r="F250" s="243"/>
      <c r="G250" s="18" t="e">
        <f>SUM(G251:G251)</f>
        <v>#VALUE!</v>
      </c>
    </row>
    <row r="251" spans="1:15" ht="27.75" customHeight="1">
      <c r="A251" s="43"/>
      <c r="B251" s="865" t="str">
        <f>'Cjenik M'!$B$27</f>
        <v>____________</v>
      </c>
      <c r="C251" s="865"/>
      <c r="D251" s="44">
        <f>'Cjenik M'!$C$27</f>
        <v>0</v>
      </c>
      <c r="E251" s="45">
        <v>1</v>
      </c>
      <c r="F251" s="243" t="str">
        <f>'Cjenik M'!$D$27</f>
        <v>___________</v>
      </c>
      <c r="G251" s="46" t="e">
        <f>E251*F251</f>
        <v>#VALUE!</v>
      </c>
    </row>
    <row r="252" spans="1:15" ht="21.75" customHeight="1">
      <c r="B252" s="47"/>
      <c r="C252" s="24"/>
      <c r="D252" s="25"/>
      <c r="E252" s="147" t="str">
        <f>'Obrazac kalkulacije'!$E$18</f>
        <v>Ukupno (kn):</v>
      </c>
      <c r="F252" s="255"/>
      <c r="G252" s="26" t="e">
        <f>ROUND(SUM(G244+G246+G250),2)</f>
        <v>#VALUE!</v>
      </c>
    </row>
    <row r="253" spans="1:15" s="6" customFormat="1" ht="21.75" customHeight="1">
      <c r="A253" s="1"/>
      <c r="B253" s="37"/>
      <c r="C253" s="2"/>
      <c r="D253" s="3"/>
      <c r="E253" s="27" t="str">
        <f>'Obrazac kalkulacije'!$E$19</f>
        <v>PDV:</v>
      </c>
      <c r="F253" s="248">
        <f>'Obrazac kalkulacije'!$F$19</f>
        <v>0.25</v>
      </c>
      <c r="G253" s="29" t="e">
        <f>G252*F253</f>
        <v>#VALUE!</v>
      </c>
    </row>
    <row r="254" spans="1:15" ht="32.25" customHeight="1">
      <c r="E254" s="148" t="str">
        <f>'Obrazac kalkulacije'!$E$20</f>
        <v>Sveukupno (kn):</v>
      </c>
      <c r="F254" s="256"/>
      <c r="G254" s="29" t="e">
        <f>ROUND(SUM(G252:G253),2)</f>
        <v>#VALUE!</v>
      </c>
      <c r="I254" s="40"/>
      <c r="J254" s="41"/>
      <c r="K254" s="869"/>
      <c r="L254" s="869"/>
      <c r="M254" s="869"/>
      <c r="N254" s="869"/>
      <c r="O254" s="869"/>
    </row>
    <row r="255" spans="1:15" ht="25.15" customHeight="1">
      <c r="F255" s="244"/>
    </row>
    <row r="256" spans="1:15" ht="25.15" customHeight="1">
      <c r="F256" s="244"/>
    </row>
    <row r="257" spans="1:15" ht="25.15" customHeight="1">
      <c r="F257" s="244"/>
    </row>
    <row r="258" spans="1:15" ht="15" customHeight="1">
      <c r="C258" s="3" t="str">
        <f>'Obrazac kalkulacije'!$C$24</f>
        <v>IZVODITELJ:</v>
      </c>
      <c r="F258" s="841" t="str">
        <f>'Obrazac kalkulacije'!$F$24</f>
        <v>NARUČITELJ:</v>
      </c>
      <c r="G258" s="841"/>
    </row>
    <row r="259" spans="1:15" ht="15" customHeight="1">
      <c r="C259" s="3" t="str">
        <f>'Obrazac kalkulacije'!$C$25</f>
        <v>__________________</v>
      </c>
      <c r="F259" s="841" t="str">
        <f>'Obrazac kalkulacije'!$F$25</f>
        <v>___________________</v>
      </c>
      <c r="G259" s="841"/>
    </row>
    <row r="260" spans="1:15" ht="15" customHeight="1">
      <c r="C260" s="3"/>
      <c r="F260" s="30"/>
      <c r="G260" s="30"/>
    </row>
    <row r="261" spans="1:15" ht="15" customHeight="1">
      <c r="A261" s="150"/>
      <c r="B261" s="145" t="s">
        <v>728</v>
      </c>
      <c r="C261" s="836" t="s">
        <v>729</v>
      </c>
      <c r="D261" s="836"/>
      <c r="E261" s="836"/>
      <c r="F261" s="836"/>
      <c r="G261" s="836"/>
    </row>
    <row r="262" spans="1:15" s="6" customFormat="1">
      <c r="A262" s="164"/>
      <c r="B262" s="165" t="s">
        <v>740</v>
      </c>
      <c r="C262" s="892" t="s">
        <v>741</v>
      </c>
      <c r="D262" s="892"/>
      <c r="E262" s="892"/>
      <c r="F262" s="892"/>
      <c r="G262" s="892"/>
    </row>
    <row r="263" spans="1:15" ht="150" customHeight="1">
      <c r="A263" s="40"/>
      <c r="B263" s="556" t="s">
        <v>756</v>
      </c>
      <c r="C263" s="852" t="s">
        <v>757</v>
      </c>
      <c r="D263" s="852"/>
      <c r="E263" s="852"/>
      <c r="F263" s="852"/>
      <c r="G263" s="852"/>
      <c r="I263" s="40"/>
      <c r="J263" s="41"/>
      <c r="K263" s="869"/>
      <c r="L263" s="869"/>
      <c r="M263" s="869"/>
      <c r="N263" s="869"/>
      <c r="O263" s="869"/>
    </row>
    <row r="264" spans="1:15" ht="25.15" customHeight="1">
      <c r="A264" s="10"/>
      <c r="B264" s="835" t="str">
        <f>'Obrazac kalkulacije'!$B$6:$C$6</f>
        <v>Opis</v>
      </c>
      <c r="C264" s="835"/>
      <c r="D264" s="10" t="str">
        <f>'Obrazac kalkulacije'!$D$6</f>
        <v>Jed.
mjere</v>
      </c>
      <c r="E264" s="10" t="str">
        <f>'Obrazac kalkulacije'!$E$6</f>
        <v>Normativ</v>
      </c>
      <c r="F264" s="10" t="str">
        <f>'Obrazac kalkulacije'!$F$6</f>
        <v>Jed.
cijena</v>
      </c>
      <c r="G264" s="10" t="str">
        <f>'Obrazac kalkulacije'!$G$6</f>
        <v>Iznos</v>
      </c>
    </row>
    <row r="265" spans="1:15" ht="25.15" customHeight="1">
      <c r="B265" s="42"/>
      <c r="C265" s="1"/>
      <c r="D265" s="11"/>
      <c r="E265" s="13"/>
      <c r="F265" s="245"/>
      <c r="G265" s="15"/>
    </row>
    <row r="266" spans="1:15" ht="25.15" customHeight="1">
      <c r="A266" s="16"/>
      <c r="B266" s="17" t="str">
        <f>'Obrazac kalkulacije'!$B$8</f>
        <v>Radna snaga:</v>
      </c>
      <c r="C266" s="17"/>
      <c r="D266" s="16"/>
      <c r="E266" s="16"/>
      <c r="F266" s="246"/>
      <c r="G266" s="18">
        <f>SUM(G267:G267)</f>
        <v>105.03</v>
      </c>
    </row>
    <row r="267" spans="1:15" ht="27.75" customHeight="1">
      <c r="A267" s="32"/>
      <c r="B267" s="854" t="s">
        <v>57</v>
      </c>
      <c r="C267" s="854"/>
      <c r="D267" s="33" t="s">
        <v>51</v>
      </c>
      <c r="E267" s="34">
        <v>1</v>
      </c>
      <c r="F267" s="243">
        <f>SUMIF('Cjenik RS'!$C$11:$C$26,$B267,'Cjenik RS'!$D$11:$D$90)</f>
        <v>105.03</v>
      </c>
      <c r="G267" s="35">
        <f>+F267*E267</f>
        <v>105.03</v>
      </c>
    </row>
    <row r="268" spans="1:15" ht="27.75" customHeight="1">
      <c r="A268" s="16"/>
      <c r="B268" s="17" t="str">
        <f>'Obrazac kalkulacije'!$B$11</f>
        <v>Vozila, strojevi i oprema:</v>
      </c>
      <c r="C268" s="17"/>
      <c r="D268" s="16"/>
      <c r="E268" s="16"/>
      <c r="F268" s="243"/>
      <c r="G268" s="18">
        <f>SUM(G269:G271)</f>
        <v>673.26</v>
      </c>
    </row>
    <row r="269" spans="1:15" ht="27.75" customHeight="1">
      <c r="A269" s="51"/>
      <c r="B269" s="849" t="s">
        <v>73</v>
      </c>
      <c r="C269" s="849"/>
      <c r="D269" s="52" t="s">
        <v>51</v>
      </c>
      <c r="E269" s="86">
        <v>1</v>
      </c>
      <c r="F269" s="240">
        <f>SUMIF('Cjenik VSO'!$B$9:$B$85,$B269,'Cjenik VSO'!$C$9:$C$85)</f>
        <v>291.72000000000003</v>
      </c>
      <c r="G269" s="55">
        <f>+F269*E269</f>
        <v>291.72000000000003</v>
      </c>
    </row>
    <row r="270" spans="1:15" ht="27.75" customHeight="1">
      <c r="A270" s="56"/>
      <c r="B270" s="839" t="s">
        <v>97</v>
      </c>
      <c r="C270" s="839"/>
      <c r="D270" s="57" t="s">
        <v>51</v>
      </c>
      <c r="E270" s="92">
        <v>1</v>
      </c>
      <c r="F270" s="241">
        <f>SUMIF('Cjenik VSO'!$B$9:$B$85,$B270,'Cjenik VSO'!$C$9:$C$85)</f>
        <v>279.37</v>
      </c>
      <c r="G270" s="60">
        <f>+F270*E270</f>
        <v>279.37</v>
      </c>
    </row>
    <row r="271" spans="1:15" ht="27.75" customHeight="1">
      <c r="A271" s="61"/>
      <c r="B271" s="855" t="s">
        <v>71</v>
      </c>
      <c r="C271" s="855"/>
      <c r="D271" s="62" t="s">
        <v>51</v>
      </c>
      <c r="E271" s="87">
        <v>1</v>
      </c>
      <c r="F271" s="242">
        <f>SUMIF('Cjenik VSO'!$B$9:$B$85,$B271,'Cjenik VSO'!$C$9:$C$85)</f>
        <v>102.17</v>
      </c>
      <c r="G271" s="65">
        <f>+F271*E271</f>
        <v>102.17</v>
      </c>
    </row>
    <row r="272" spans="1:15" ht="27.75" customHeight="1">
      <c r="A272" s="16"/>
      <c r="B272" s="851" t="str">
        <f>'Obrazac kalkulacije'!$B$15</f>
        <v>Materijali:</v>
      </c>
      <c r="C272" s="851"/>
      <c r="D272" s="16"/>
      <c r="E272" s="16"/>
      <c r="F272" s="243"/>
      <c r="G272" s="18" t="e">
        <f>SUM(G273:G273)</f>
        <v>#VALUE!</v>
      </c>
    </row>
    <row r="273" spans="1:15" ht="27.75" customHeight="1">
      <c r="A273" s="43"/>
      <c r="B273" s="865" t="str">
        <f>'Cjenik M'!$B$27</f>
        <v>____________</v>
      </c>
      <c r="C273" s="865"/>
      <c r="D273" s="44">
        <f>'Cjenik M'!$C$27</f>
        <v>0</v>
      </c>
      <c r="E273" s="45">
        <v>1</v>
      </c>
      <c r="F273" s="243" t="str">
        <f>'Cjenik M'!$D$27</f>
        <v>___________</v>
      </c>
      <c r="G273" s="46" t="e">
        <f>E273*F273</f>
        <v>#VALUE!</v>
      </c>
    </row>
    <row r="274" spans="1:15" ht="21.75" customHeight="1">
      <c r="B274" s="47"/>
      <c r="C274" s="24"/>
      <c r="D274" s="25"/>
      <c r="E274" s="147" t="str">
        <f>'Obrazac kalkulacije'!$E$18</f>
        <v>Ukupno (kn):</v>
      </c>
      <c r="F274" s="255"/>
      <c r="G274" s="26" t="e">
        <f>ROUND(SUM(G266+G268+G272),2)</f>
        <v>#VALUE!</v>
      </c>
    </row>
    <row r="275" spans="1:15" s="6" customFormat="1" ht="21.75" customHeight="1">
      <c r="A275" s="1"/>
      <c r="B275" s="37"/>
      <c r="C275" s="2"/>
      <c r="D275" s="3"/>
      <c r="E275" s="27" t="str">
        <f>'Obrazac kalkulacije'!$E$19</f>
        <v>PDV:</v>
      </c>
      <c r="F275" s="248">
        <f>'Obrazac kalkulacije'!$F$19</f>
        <v>0.25</v>
      </c>
      <c r="G275" s="29" t="e">
        <f>G274*F275</f>
        <v>#VALUE!</v>
      </c>
    </row>
    <row r="276" spans="1:15" ht="32.25" customHeight="1">
      <c r="E276" s="148" t="str">
        <f>'Obrazac kalkulacije'!$E$20</f>
        <v>Sveukupno (kn):</v>
      </c>
      <c r="F276" s="256"/>
      <c r="G276" s="29" t="e">
        <f>ROUND(SUM(G274:G275),2)</f>
        <v>#VALUE!</v>
      </c>
      <c r="I276" s="40"/>
      <c r="J276" s="41"/>
      <c r="K276" s="869"/>
      <c r="L276" s="869"/>
      <c r="M276" s="869"/>
      <c r="N276" s="869"/>
      <c r="O276" s="869"/>
    </row>
    <row r="277" spans="1:15" ht="25.15" customHeight="1">
      <c r="F277" s="244"/>
    </row>
    <row r="278" spans="1:15" ht="25.15" customHeight="1">
      <c r="F278" s="244"/>
    </row>
    <row r="279" spans="1:15" ht="25.15" customHeight="1">
      <c r="F279" s="244"/>
    </row>
    <row r="280" spans="1:15" ht="15" customHeight="1">
      <c r="C280" s="3" t="str">
        <f>'Obrazac kalkulacije'!$C$24</f>
        <v>IZVODITELJ:</v>
      </c>
      <c r="F280" s="841" t="str">
        <f>'Obrazac kalkulacije'!$F$24</f>
        <v>NARUČITELJ:</v>
      </c>
      <c r="G280" s="841"/>
    </row>
    <row r="281" spans="1:15" ht="15" customHeight="1">
      <c r="C281" s="3" t="str">
        <f>'Obrazac kalkulacije'!$C$25</f>
        <v>__________________</v>
      </c>
      <c r="F281" s="841" t="str">
        <f>'Obrazac kalkulacije'!$F$25</f>
        <v>___________________</v>
      </c>
      <c r="G281" s="841"/>
    </row>
    <row r="282" spans="1:15" ht="15" customHeight="1">
      <c r="C282" s="3"/>
      <c r="F282" s="30"/>
      <c r="G282" s="30"/>
    </row>
    <row r="283" spans="1:15" ht="15" customHeight="1">
      <c r="A283" s="150"/>
      <c r="B283" s="145" t="s">
        <v>728</v>
      </c>
      <c r="C283" s="836" t="s">
        <v>729</v>
      </c>
      <c r="D283" s="836"/>
      <c r="E283" s="836"/>
      <c r="F283" s="836"/>
      <c r="G283" s="836"/>
    </row>
    <row r="284" spans="1:15" s="6" customFormat="1">
      <c r="A284" s="164"/>
      <c r="B284" s="165" t="s">
        <v>758</v>
      </c>
      <c r="C284" s="892" t="s">
        <v>759</v>
      </c>
      <c r="D284" s="892"/>
      <c r="E284" s="892"/>
      <c r="F284" s="892"/>
      <c r="G284" s="892"/>
    </row>
    <row r="285" spans="1:15" ht="150" customHeight="1">
      <c r="A285" s="40"/>
      <c r="B285" s="556" t="s">
        <v>760</v>
      </c>
      <c r="C285" s="852" t="s">
        <v>761</v>
      </c>
      <c r="D285" s="852"/>
      <c r="E285" s="852"/>
      <c r="F285" s="852"/>
      <c r="G285" s="852"/>
      <c r="I285" s="40"/>
      <c r="J285" s="41"/>
      <c r="K285" s="869"/>
      <c r="L285" s="869"/>
      <c r="M285" s="869"/>
      <c r="N285" s="869"/>
      <c r="O285" s="869"/>
    </row>
    <row r="286" spans="1:15" ht="25.15" customHeight="1">
      <c r="A286" s="10"/>
      <c r="B286" s="835" t="str">
        <f>'Obrazac kalkulacije'!$B$6:$C$6</f>
        <v>Opis</v>
      </c>
      <c r="C286" s="835"/>
      <c r="D286" s="10" t="str">
        <f>'Obrazac kalkulacije'!$D$6</f>
        <v>Jed.
mjere</v>
      </c>
      <c r="E286" s="10" t="str">
        <f>'Obrazac kalkulacije'!$E$6</f>
        <v>Normativ</v>
      </c>
      <c r="F286" s="10" t="str">
        <f>'Obrazac kalkulacije'!$F$6</f>
        <v>Jed.
cijena</v>
      </c>
      <c r="G286" s="10" t="str">
        <f>'Obrazac kalkulacije'!$G$6</f>
        <v>Iznos</v>
      </c>
    </row>
    <row r="287" spans="1:15" ht="25.15" customHeight="1">
      <c r="B287" s="42"/>
      <c r="C287" s="1"/>
      <c r="D287" s="11"/>
      <c r="E287" s="13"/>
      <c r="F287" s="245"/>
      <c r="G287" s="15"/>
    </row>
    <row r="288" spans="1:15" ht="25.15" customHeight="1">
      <c r="A288" s="16"/>
      <c r="B288" s="17" t="str">
        <f>'Obrazac kalkulacije'!$B$8</f>
        <v>Radna snaga:</v>
      </c>
      <c r="C288" s="17"/>
      <c r="D288" s="16"/>
      <c r="E288" s="16"/>
      <c r="F288" s="246"/>
      <c r="G288" s="18">
        <f>SUM(G289:G289)</f>
        <v>105.03</v>
      </c>
    </row>
    <row r="289" spans="1:15" ht="27.75" customHeight="1">
      <c r="A289" s="32"/>
      <c r="B289" s="854" t="s">
        <v>57</v>
      </c>
      <c r="C289" s="854"/>
      <c r="D289" s="33" t="s">
        <v>51</v>
      </c>
      <c r="E289" s="34">
        <v>1</v>
      </c>
      <c r="F289" s="243">
        <f>SUMIF('Cjenik RS'!$C$11:$C$26,$B289,'Cjenik RS'!$D$11:$D$90)</f>
        <v>105.03</v>
      </c>
      <c r="G289" s="35">
        <f>+F289*E289</f>
        <v>105.03</v>
      </c>
    </row>
    <row r="290" spans="1:15" ht="27.75" customHeight="1">
      <c r="A290" s="16"/>
      <c r="B290" s="17" t="str">
        <f>'Obrazac kalkulacije'!$B$11</f>
        <v>Vozila, strojevi i oprema:</v>
      </c>
      <c r="C290" s="17"/>
      <c r="D290" s="16"/>
      <c r="E290" s="16"/>
      <c r="F290" s="243"/>
      <c r="G290" s="18">
        <f>SUM(G291:G293)</f>
        <v>673.26</v>
      </c>
    </row>
    <row r="291" spans="1:15" ht="27.75" customHeight="1">
      <c r="A291" s="51"/>
      <c r="B291" s="849" t="s">
        <v>73</v>
      </c>
      <c r="C291" s="849"/>
      <c r="D291" s="52" t="s">
        <v>51</v>
      </c>
      <c r="E291" s="86">
        <v>1</v>
      </c>
      <c r="F291" s="240">
        <f>SUMIF('Cjenik VSO'!$B$9:$B$85,$B291,'Cjenik VSO'!$C$9:$C$85)</f>
        <v>291.72000000000003</v>
      </c>
      <c r="G291" s="55">
        <f>+F291*E291</f>
        <v>291.72000000000003</v>
      </c>
    </row>
    <row r="292" spans="1:15" ht="27.75" customHeight="1">
      <c r="A292" s="56"/>
      <c r="B292" s="839" t="s">
        <v>97</v>
      </c>
      <c r="C292" s="839"/>
      <c r="D292" s="57" t="s">
        <v>51</v>
      </c>
      <c r="E292" s="92">
        <v>1</v>
      </c>
      <c r="F292" s="241">
        <f>SUMIF('Cjenik VSO'!$B$9:$B$85,$B292,'Cjenik VSO'!$C$9:$C$85)</f>
        <v>279.37</v>
      </c>
      <c r="G292" s="60">
        <f>+F292*E292</f>
        <v>279.37</v>
      </c>
    </row>
    <row r="293" spans="1:15" ht="27.75" customHeight="1">
      <c r="A293" s="61"/>
      <c r="B293" s="855" t="s">
        <v>71</v>
      </c>
      <c r="C293" s="855"/>
      <c r="D293" s="62" t="s">
        <v>51</v>
      </c>
      <c r="E293" s="87">
        <v>1</v>
      </c>
      <c r="F293" s="242">
        <f>SUMIF('Cjenik VSO'!$B$9:$B$85,$B293,'Cjenik VSO'!$C$9:$C$85)</f>
        <v>102.17</v>
      </c>
      <c r="G293" s="65">
        <f>+F293*E293</f>
        <v>102.17</v>
      </c>
    </row>
    <row r="294" spans="1:15" ht="27.75" customHeight="1">
      <c r="A294" s="16"/>
      <c r="B294" s="851" t="str">
        <f>'Obrazac kalkulacije'!$B$15</f>
        <v>Materijali:</v>
      </c>
      <c r="C294" s="851"/>
      <c r="D294" s="16"/>
      <c r="E294" s="16"/>
      <c r="F294" s="243"/>
      <c r="G294" s="18" t="e">
        <f>SUM(G295:G295)</f>
        <v>#VALUE!</v>
      </c>
    </row>
    <row r="295" spans="1:15" ht="27.75" customHeight="1">
      <c r="A295" s="43"/>
      <c r="B295" s="865" t="str">
        <f>'Cjenik M'!$B$27</f>
        <v>____________</v>
      </c>
      <c r="C295" s="865"/>
      <c r="D295" s="44">
        <f>'Cjenik M'!$C$27</f>
        <v>0</v>
      </c>
      <c r="E295" s="45">
        <v>1</v>
      </c>
      <c r="F295" s="243" t="str">
        <f>'Cjenik M'!$D$27</f>
        <v>___________</v>
      </c>
      <c r="G295" s="46" t="e">
        <f>E295*F295</f>
        <v>#VALUE!</v>
      </c>
    </row>
    <row r="296" spans="1:15" ht="21.75" customHeight="1">
      <c r="B296" s="47"/>
      <c r="C296" s="24"/>
      <c r="D296" s="25"/>
      <c r="E296" s="147" t="str">
        <f>'Obrazac kalkulacije'!$E$18</f>
        <v>Ukupno (kn):</v>
      </c>
      <c r="F296" s="255"/>
      <c r="G296" s="26" t="e">
        <f>ROUND(SUM(G288+G290+G294),2)</f>
        <v>#VALUE!</v>
      </c>
    </row>
    <row r="297" spans="1:15" s="6" customFormat="1" ht="21.75" customHeight="1">
      <c r="A297" s="1"/>
      <c r="B297" s="37"/>
      <c r="C297" s="2"/>
      <c r="D297" s="3"/>
      <c r="E297" s="27" t="str">
        <f>'Obrazac kalkulacije'!$E$19</f>
        <v>PDV:</v>
      </c>
      <c r="F297" s="248">
        <f>'Obrazac kalkulacije'!$F$19</f>
        <v>0.25</v>
      </c>
      <c r="G297" s="29" t="e">
        <f>G296*F297</f>
        <v>#VALUE!</v>
      </c>
    </row>
    <row r="298" spans="1:15" ht="32.25" customHeight="1">
      <c r="E298" s="148" t="str">
        <f>'Obrazac kalkulacije'!$E$20</f>
        <v>Sveukupno (kn):</v>
      </c>
      <c r="F298" s="256"/>
      <c r="G298" s="29" t="e">
        <f>ROUND(SUM(G296:G297),2)</f>
        <v>#VALUE!</v>
      </c>
      <c r="I298" s="40"/>
      <c r="J298" s="41"/>
      <c r="K298" s="869"/>
      <c r="L298" s="869"/>
      <c r="M298" s="869"/>
      <c r="N298" s="869"/>
      <c r="O298" s="869"/>
    </row>
    <row r="299" spans="1:15" ht="25.15" customHeight="1">
      <c r="F299" s="244"/>
    </row>
    <row r="300" spans="1:15" ht="25.15" customHeight="1">
      <c r="F300" s="244"/>
    </row>
    <row r="301" spans="1:15">
      <c r="C301" s="3" t="str">
        <f>'Obrazac kalkulacije'!$C$24</f>
        <v>IZVODITELJ:</v>
      </c>
      <c r="F301" s="841" t="str">
        <f>'Obrazac kalkulacije'!$F$24</f>
        <v>NARUČITELJ:</v>
      </c>
      <c r="G301" s="841"/>
    </row>
    <row r="302" spans="1:15">
      <c r="C302" s="3" t="str">
        <f>'Obrazac kalkulacije'!$C$25</f>
        <v>__________________</v>
      </c>
      <c r="F302" s="841" t="str">
        <f>'Obrazac kalkulacije'!$F$25</f>
        <v>___________________</v>
      </c>
      <c r="G302" s="841"/>
    </row>
  </sheetData>
  <sheetProtection selectLockedCells="1"/>
  <mergeCells count="188">
    <mergeCell ref="C2:G2"/>
    <mergeCell ref="C3:G3"/>
    <mergeCell ref="K4:O4"/>
    <mergeCell ref="C30:G30"/>
    <mergeCell ref="C29:G29"/>
    <mergeCell ref="F26:G26"/>
    <mergeCell ref="F24:G24"/>
    <mergeCell ref="F25:G25"/>
    <mergeCell ref="C4:G4"/>
    <mergeCell ref="B5:C5"/>
    <mergeCell ref="B8:C8"/>
    <mergeCell ref="B10:C10"/>
    <mergeCell ref="K17:O17"/>
    <mergeCell ref="B11:C11"/>
    <mergeCell ref="B12:C12"/>
    <mergeCell ref="B13:C13"/>
    <mergeCell ref="B14:C14"/>
    <mergeCell ref="F21:G21"/>
    <mergeCell ref="F22:G22"/>
    <mergeCell ref="B35:C35"/>
    <mergeCell ref="B37:C37"/>
    <mergeCell ref="C55:G55"/>
    <mergeCell ref="C56:G56"/>
    <mergeCell ref="F73:G73"/>
    <mergeCell ref="F74:G74"/>
    <mergeCell ref="F52:G52"/>
    <mergeCell ref="F51:G51"/>
    <mergeCell ref="K31:O31"/>
    <mergeCell ref="C31:G31"/>
    <mergeCell ref="C54:G54"/>
    <mergeCell ref="B38:C38"/>
    <mergeCell ref="B39:C39"/>
    <mergeCell ref="B40:C40"/>
    <mergeCell ref="B41:C41"/>
    <mergeCell ref="F48:G48"/>
    <mergeCell ref="F49:G49"/>
    <mergeCell ref="B32:C32"/>
    <mergeCell ref="B85:C85"/>
    <mergeCell ref="K56:O56"/>
    <mergeCell ref="C124:G124"/>
    <mergeCell ref="C78:G78"/>
    <mergeCell ref="B88:C88"/>
    <mergeCell ref="K69:O69"/>
    <mergeCell ref="K79:O79"/>
    <mergeCell ref="C77:G77"/>
    <mergeCell ref="C102:G102"/>
    <mergeCell ref="C101:G101"/>
    <mergeCell ref="B86:C86"/>
    <mergeCell ref="B87:C87"/>
    <mergeCell ref="B57:C57"/>
    <mergeCell ref="B60:C60"/>
    <mergeCell ref="B62:C62"/>
    <mergeCell ref="B63:C63"/>
    <mergeCell ref="B64:C64"/>
    <mergeCell ref="B132:C132"/>
    <mergeCell ref="B133:C133"/>
    <mergeCell ref="B157:C157"/>
    <mergeCell ref="B158:C158"/>
    <mergeCell ref="B159:C159"/>
    <mergeCell ref="K44:O44"/>
    <mergeCell ref="K92:O92"/>
    <mergeCell ref="B65:C65"/>
    <mergeCell ref="B66:C66"/>
    <mergeCell ref="C125:G125"/>
    <mergeCell ref="C79:G79"/>
    <mergeCell ref="C100:G100"/>
    <mergeCell ref="B108:C108"/>
    <mergeCell ref="B109:C109"/>
    <mergeCell ref="B110:C110"/>
    <mergeCell ref="B111:C111"/>
    <mergeCell ref="B112:C112"/>
    <mergeCell ref="B89:C89"/>
    <mergeCell ref="F96:G96"/>
    <mergeCell ref="F97:G97"/>
    <mergeCell ref="B103:C103"/>
    <mergeCell ref="B106:C106"/>
    <mergeCell ref="B80:C80"/>
    <mergeCell ref="B83:C83"/>
    <mergeCell ref="B180:C180"/>
    <mergeCell ref="B181:C181"/>
    <mergeCell ref="B182:C182"/>
    <mergeCell ref="K298:O298"/>
    <mergeCell ref="F142:G142"/>
    <mergeCell ref="F143:G143"/>
    <mergeCell ref="B150:C150"/>
    <mergeCell ref="B153:C153"/>
    <mergeCell ref="B134:C134"/>
    <mergeCell ref="B135:C135"/>
    <mergeCell ref="B156:C156"/>
    <mergeCell ref="K285:O285"/>
    <mergeCell ref="K263:O263"/>
    <mergeCell ref="K276:O276"/>
    <mergeCell ref="B178:C178"/>
    <mergeCell ref="B179:C179"/>
    <mergeCell ref="K185:O185"/>
    <mergeCell ref="F189:G189"/>
    <mergeCell ref="F190:G190"/>
    <mergeCell ref="B196:C196"/>
    <mergeCell ref="B219:C219"/>
    <mergeCell ref="B222:C222"/>
    <mergeCell ref="B224:C224"/>
    <mergeCell ref="B225:C225"/>
    <mergeCell ref="F301:G301"/>
    <mergeCell ref="F302:G302"/>
    <mergeCell ref="C217:G217"/>
    <mergeCell ref="C218:G218"/>
    <mergeCell ref="C193:G193"/>
    <mergeCell ref="C194:G194"/>
    <mergeCell ref="C195:G195"/>
    <mergeCell ref="B293:C293"/>
    <mergeCell ref="B294:C294"/>
    <mergeCell ref="B295:C295"/>
    <mergeCell ref="B291:C291"/>
    <mergeCell ref="B226:C226"/>
    <mergeCell ref="B227:C227"/>
    <mergeCell ref="B228:C228"/>
    <mergeCell ref="B251:C251"/>
    <mergeCell ref="F258:G258"/>
    <mergeCell ref="F259:G259"/>
    <mergeCell ref="B286:C286"/>
    <mergeCell ref="B289:C289"/>
    <mergeCell ref="F280:G280"/>
    <mergeCell ref="F281:G281"/>
    <mergeCell ref="C263:G263"/>
    <mergeCell ref="C262:G262"/>
    <mergeCell ref="B292:C292"/>
    <mergeCell ref="C284:G284"/>
    <mergeCell ref="C285:G285"/>
    <mergeCell ref="C261:G261"/>
    <mergeCell ref="C283:G283"/>
    <mergeCell ref="B264:C264"/>
    <mergeCell ref="B267:C267"/>
    <mergeCell ref="B269:C269"/>
    <mergeCell ref="B270:C270"/>
    <mergeCell ref="B271:C271"/>
    <mergeCell ref="B272:C272"/>
    <mergeCell ref="B273:C273"/>
    <mergeCell ref="K162:O162"/>
    <mergeCell ref="F166:G166"/>
    <mergeCell ref="F167:G167"/>
    <mergeCell ref="B173:C173"/>
    <mergeCell ref="B176:C176"/>
    <mergeCell ref="C170:G170"/>
    <mergeCell ref="C171:G171"/>
    <mergeCell ref="K102:O102"/>
    <mergeCell ref="C172:G172"/>
    <mergeCell ref="K172:O172"/>
    <mergeCell ref="C147:G147"/>
    <mergeCell ref="C148:G148"/>
    <mergeCell ref="K125:O125"/>
    <mergeCell ref="C123:G123"/>
    <mergeCell ref="K149:O149"/>
    <mergeCell ref="C149:G149"/>
    <mergeCell ref="K115:O115"/>
    <mergeCell ref="K138:O138"/>
    <mergeCell ref="B155:C155"/>
    <mergeCell ref="F119:G119"/>
    <mergeCell ref="F120:G120"/>
    <mergeCell ref="B126:C126"/>
    <mergeCell ref="B129:C129"/>
    <mergeCell ref="B131:C131"/>
    <mergeCell ref="K218:O218"/>
    <mergeCell ref="K195:O195"/>
    <mergeCell ref="B199:C199"/>
    <mergeCell ref="B201:C201"/>
    <mergeCell ref="B202:C202"/>
    <mergeCell ref="B203:C203"/>
    <mergeCell ref="B204:C204"/>
    <mergeCell ref="B205:C205"/>
    <mergeCell ref="K208:O208"/>
    <mergeCell ref="F212:G212"/>
    <mergeCell ref="F213:G213"/>
    <mergeCell ref="C216:G216"/>
    <mergeCell ref="K254:O254"/>
    <mergeCell ref="F237:G237"/>
    <mergeCell ref="C239:G239"/>
    <mergeCell ref="C240:G240"/>
    <mergeCell ref="K241:O241"/>
    <mergeCell ref="C241:G241"/>
    <mergeCell ref="K231:O231"/>
    <mergeCell ref="F235:G235"/>
    <mergeCell ref="F236:G236"/>
    <mergeCell ref="B242:C242"/>
    <mergeCell ref="B245:C245"/>
    <mergeCell ref="B247:C247"/>
    <mergeCell ref="B248:C248"/>
    <mergeCell ref="B249:C249"/>
    <mergeCell ref="B250:C250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94" orientation="portrait" horizontalDpi="4294967293" r:id="rId1"/>
  <headerFooter alignWithMargins="0">
    <oddHeader>&amp;L&amp;8HRVATSKE CESTE d.o.o.&amp;C&amp;8STANDARD REDOVNOG ODRŽAVANJA CESTA 2009.&amp;R&amp;8&amp;D</oddHeader>
    <oddFooter>&amp;L&amp;8&amp;F&amp;C&amp;8&amp;A&amp;R&amp;8&amp;P / &amp;N</oddFooter>
  </headerFooter>
  <rowBreaks count="13" manualBreakCount="13">
    <brk id="13" max="6" man="1"/>
    <brk id="27" max="6" man="1"/>
    <brk id="52" max="6" man="1"/>
    <brk id="75" max="6" man="1"/>
    <brk id="98" max="6" man="1"/>
    <brk id="121" max="6" man="1"/>
    <brk id="145" max="6" man="1"/>
    <brk id="168" max="6" man="1"/>
    <brk id="191" max="6" man="1"/>
    <brk id="214" max="6" man="1"/>
    <brk id="237" max="6" man="1"/>
    <brk id="259" max="6" man="1"/>
    <brk id="281" max="6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81A8787-F17B-46D7-B05C-60CF4C5657C5}">
          <x14:formula1>
            <xm:f>'Cjenik M'!$B$11:$B$119</xm:f>
          </x14:formula1>
          <xm:sqref>B14:C14 B41:C41 B66:C66 B89:C89 B112:C112 B135:C135 B159:C159 B182:C182 B205:C205 B228:C228 B251:C251 B273:C273 B295:C295</xm:sqref>
        </x14:dataValidation>
        <x14:dataValidation type="list" allowBlank="1" showInputMessage="1" showErrorMessage="1" xr:uid="{8656AE52-9B00-4414-B9BC-7E4DF991346D}">
          <x14:formula1>
            <xm:f>'Cjenik RS'!$C$11:$C$26</xm:f>
          </x14:formula1>
          <xm:sqref>B8:C8 B35:C35 B60:C60 B83:C83 B106:C106 B129:C129 B153:C153 B176:C176 B199:C199 B222:C222 B245:C245 B267:C267 B289:C289</xm:sqref>
        </x14:dataValidation>
        <x14:dataValidation type="list" allowBlank="1" showInputMessage="1" showErrorMessage="1" xr:uid="{13397565-A1CA-4503-A177-91C9198803D6}">
          <x14:formula1>
            <xm:f>'Cjenik VSO (pomoćna)'!$B$9:$B$13</xm:f>
          </x14:formula1>
          <xm:sqref>B10:C12 B37:C39 B62:C64 B85:C87 B108:C110 B131:C133 B155:C157 B178:C180 B201:C203 B224:C226 B247:C249 B269:C271 B291:C293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O397"/>
  <sheetViews>
    <sheetView showZeros="0" view="pageBreakPreview" topLeftCell="B9" zoomScaleNormal="70" zoomScaleSheetLayoutView="70" workbookViewId="0">
      <selection activeCell="H23" sqref="H23"/>
    </sheetView>
  </sheetViews>
  <sheetFormatPr defaultRowHeight="12.75"/>
  <cols>
    <col min="1" max="1" width="3.7109375" style="1" customWidth="1"/>
    <col min="2" max="2" width="10.7109375" style="37" customWidth="1"/>
    <col min="3" max="3" width="25.7109375" style="2" customWidth="1"/>
    <col min="4" max="4" width="6.7109375" style="3" customWidth="1"/>
    <col min="5" max="5" width="11.7109375" style="4" customWidth="1"/>
    <col min="6" max="6" width="11.7109375" style="30" customWidth="1"/>
    <col min="7" max="7" width="11.7109375" style="5" customWidth="1"/>
    <col min="8" max="8" width="9.140625" style="2"/>
    <col min="9" max="9" width="3.7109375" style="1" customWidth="1"/>
    <col min="10" max="10" width="10.7109375" style="37" customWidth="1"/>
    <col min="11" max="11" width="25.7109375" style="2" customWidth="1"/>
    <col min="12" max="12" width="6.7109375" style="3" customWidth="1"/>
    <col min="13" max="13" width="11.7109375" style="4" customWidth="1"/>
    <col min="14" max="14" width="11.7109375" style="30" customWidth="1"/>
    <col min="15" max="15" width="11.7109375" style="5" customWidth="1"/>
    <col min="16" max="16384" width="9.140625" style="2"/>
  </cols>
  <sheetData>
    <row r="1" spans="1:15" ht="15" customHeight="1"/>
    <row r="2" spans="1:15" s="6" customFormat="1" ht="15" customHeight="1">
      <c r="A2" s="144"/>
      <c r="B2" s="145" t="s">
        <v>762</v>
      </c>
      <c r="C2" s="836" t="s">
        <v>763</v>
      </c>
      <c r="D2" s="836"/>
      <c r="E2" s="836"/>
      <c r="F2" s="836"/>
      <c r="G2" s="836"/>
      <c r="I2" s="144"/>
      <c r="J2" s="145" t="s">
        <v>762</v>
      </c>
      <c r="K2" s="836" t="s">
        <v>763</v>
      </c>
      <c r="L2" s="836"/>
      <c r="M2" s="836"/>
      <c r="N2" s="836"/>
      <c r="O2" s="836"/>
    </row>
    <row r="3" spans="1:15" s="6" customFormat="1" ht="15" customHeight="1">
      <c r="A3" s="38"/>
      <c r="B3" s="39" t="s">
        <v>764</v>
      </c>
      <c r="C3" s="860" t="s">
        <v>765</v>
      </c>
      <c r="D3" s="860"/>
      <c r="E3" s="860"/>
      <c r="F3" s="860"/>
      <c r="G3" s="860"/>
      <c r="I3" s="38"/>
      <c r="J3" s="39" t="s">
        <v>764</v>
      </c>
      <c r="K3" s="860" t="s">
        <v>765</v>
      </c>
      <c r="L3" s="860"/>
      <c r="M3" s="860"/>
      <c r="N3" s="860"/>
      <c r="O3" s="860"/>
    </row>
    <row r="4" spans="1:15" ht="150" customHeight="1">
      <c r="A4" s="40"/>
      <c r="B4" s="556" t="s">
        <v>766</v>
      </c>
      <c r="C4" s="852" t="s">
        <v>767</v>
      </c>
      <c r="D4" s="852"/>
      <c r="E4" s="852"/>
      <c r="F4" s="852"/>
      <c r="G4" s="852"/>
      <c r="I4" s="40"/>
      <c r="J4" s="41" t="s">
        <v>766</v>
      </c>
      <c r="K4" s="869" t="s">
        <v>768</v>
      </c>
      <c r="L4" s="869"/>
      <c r="M4" s="869"/>
      <c r="N4" s="869"/>
      <c r="O4" s="869"/>
    </row>
    <row r="5" spans="1:15" ht="15" customHeight="1" thickBot="1"/>
    <row r="6" spans="1:15" s="11" customFormat="1" ht="30" customHeight="1" thickTop="1" thickBot="1">
      <c r="A6" s="10"/>
      <c r="B6" s="835" t="s">
        <v>624</v>
      </c>
      <c r="C6" s="835"/>
      <c r="D6" s="10" t="s">
        <v>625</v>
      </c>
      <c r="E6" s="10" t="s">
        <v>626</v>
      </c>
      <c r="F6" s="10" t="s">
        <v>627</v>
      </c>
      <c r="G6" s="10" t="s">
        <v>628</v>
      </c>
      <c r="I6" s="10"/>
      <c r="J6" s="835" t="s">
        <v>624</v>
      </c>
      <c r="K6" s="835"/>
      <c r="L6" s="10" t="s">
        <v>625</v>
      </c>
      <c r="M6" s="10" t="s">
        <v>626</v>
      </c>
      <c r="N6" s="10" t="s">
        <v>627</v>
      </c>
      <c r="O6" s="10" t="s">
        <v>628</v>
      </c>
    </row>
    <row r="7" spans="1:15" s="12" customFormat="1" ht="4.5" customHeight="1" thickTop="1">
      <c r="A7" s="1"/>
      <c r="B7" s="42"/>
      <c r="C7" s="1"/>
      <c r="D7" s="11"/>
      <c r="E7" s="13"/>
      <c r="F7" s="258"/>
      <c r="G7" s="15"/>
      <c r="I7" s="1"/>
      <c r="J7" s="42"/>
      <c r="K7" s="1"/>
      <c r="L7" s="11"/>
      <c r="M7" s="13"/>
      <c r="N7" s="258"/>
      <c r="O7" s="15"/>
    </row>
    <row r="8" spans="1:15" s="12" customFormat="1" ht="25.15" customHeight="1">
      <c r="A8" s="16"/>
      <c r="B8" s="837" t="s">
        <v>565</v>
      </c>
      <c r="C8" s="837"/>
      <c r="D8" s="16"/>
      <c r="E8" s="16"/>
      <c r="F8" s="44"/>
      <c r="G8" s="18">
        <f>SUM(G9:G9)</f>
        <v>207.53927999999999</v>
      </c>
      <c r="I8" s="16"/>
      <c r="J8" s="837" t="s">
        <v>565</v>
      </c>
      <c r="K8" s="837"/>
      <c r="L8" s="16"/>
      <c r="M8" s="16"/>
      <c r="N8" s="44"/>
      <c r="O8" s="18">
        <f>SUM(O9:O9)</f>
        <v>207.53927999999999</v>
      </c>
    </row>
    <row r="9" spans="1:15" s="12" customFormat="1" ht="25.15" customHeight="1">
      <c r="A9" s="32"/>
      <c r="B9" s="854" t="s">
        <v>57</v>
      </c>
      <c r="C9" s="854"/>
      <c r="D9" s="33" t="s">
        <v>51</v>
      </c>
      <c r="E9" s="34">
        <v>1.976</v>
      </c>
      <c r="F9" s="268">
        <f>SUMIF('Cjenik RS'!$C$11:$C$26,$B9,'Cjenik RS'!$D$11:$D$90)</f>
        <v>105.03</v>
      </c>
      <c r="G9" s="35">
        <f>+F9*E9</f>
        <v>207.53927999999999</v>
      </c>
      <c r="I9" s="32"/>
      <c r="J9" s="854" t="s">
        <v>57</v>
      </c>
      <c r="K9" s="854"/>
      <c r="L9" s="33" t="s">
        <v>51</v>
      </c>
      <c r="M9" s="34">
        <v>1.976</v>
      </c>
      <c r="N9" s="268">
        <f>SUMIF('Cjenik RS'!$C$11:$C$26,J9,'Cjenik RS'!$D$11:$D$90)</f>
        <v>105.03</v>
      </c>
      <c r="O9" s="35">
        <f>+N9*M9</f>
        <v>207.53927999999999</v>
      </c>
    </row>
    <row r="10" spans="1:15" s="12" customFormat="1" ht="25.15" customHeight="1">
      <c r="A10" s="16"/>
      <c r="B10" s="837" t="s">
        <v>566</v>
      </c>
      <c r="C10" s="837"/>
      <c r="D10" s="16"/>
      <c r="E10" s="16"/>
      <c r="F10" s="238"/>
      <c r="G10" s="18">
        <f>SUM(G11:G11)</f>
        <v>29.939319999999995</v>
      </c>
      <c r="I10" s="16"/>
      <c r="J10" s="837" t="s">
        <v>566</v>
      </c>
      <c r="K10" s="837"/>
      <c r="L10" s="16"/>
      <c r="M10" s="16"/>
      <c r="N10" s="238"/>
      <c r="O10" s="18">
        <f>SUM(O11:O11)</f>
        <v>29.939319999999995</v>
      </c>
    </row>
    <row r="11" spans="1:15" s="12" customFormat="1" ht="25.15" customHeight="1">
      <c r="A11" s="16"/>
      <c r="B11" s="849" t="s">
        <v>69</v>
      </c>
      <c r="C11" s="849"/>
      <c r="D11" s="52" t="s">
        <v>51</v>
      </c>
      <c r="E11" s="86">
        <v>0.16669999999999999</v>
      </c>
      <c r="F11" s="260">
        <f>SUMIF('Cjenik VSO'!$B$9:$B$85,$B11,'Cjenik VSO'!$C$9:$C$85)</f>
        <v>179.6</v>
      </c>
      <c r="G11" s="54">
        <f>E11*F11</f>
        <v>29.939319999999995</v>
      </c>
      <c r="I11" s="16"/>
      <c r="J11" s="849" t="s">
        <v>69</v>
      </c>
      <c r="K11" s="849"/>
      <c r="L11" s="52" t="s">
        <v>51</v>
      </c>
      <c r="M11" s="86">
        <v>0.16669999999999999</v>
      </c>
      <c r="N11" s="260">
        <f>SUMIF('Cjenik VSO'!$B$9:$B$85,$B11,'Cjenik VSO'!$C$9:$C$85)</f>
        <v>179.6</v>
      </c>
      <c r="O11" s="54">
        <f>M11*N11</f>
        <v>29.939319999999995</v>
      </c>
    </row>
    <row r="12" spans="1:15" s="12" customFormat="1" ht="25.15" customHeight="1">
      <c r="A12" s="88"/>
      <c r="B12" s="837" t="s">
        <v>630</v>
      </c>
      <c r="C12" s="837"/>
      <c r="D12" s="16"/>
      <c r="E12" s="16"/>
      <c r="F12" s="238"/>
      <c r="G12" s="18">
        <f>SUM(G13:G15)</f>
        <v>0</v>
      </c>
      <c r="I12" s="88"/>
      <c r="J12" s="837" t="s">
        <v>630</v>
      </c>
      <c r="K12" s="837"/>
      <c r="L12" s="16"/>
      <c r="M12" s="16"/>
      <c r="N12" s="238"/>
      <c r="O12" s="18">
        <f>SUM(O13:O15)</f>
        <v>0</v>
      </c>
    </row>
    <row r="13" spans="1:15" s="12" customFormat="1" ht="25.15" customHeight="1">
      <c r="A13" s="51"/>
      <c r="B13" s="863">
        <f>'Cjenik M'!$B$47</f>
        <v>0</v>
      </c>
      <c r="C13" s="863"/>
      <c r="D13" s="52">
        <f>'Cjenik M'!$C$47</f>
        <v>0</v>
      </c>
      <c r="E13" s="613">
        <v>1</v>
      </c>
      <c r="F13" s="260">
        <f>'Cjenik M'!$D$47</f>
        <v>0</v>
      </c>
      <c r="G13" s="55">
        <f>E13*F13</f>
        <v>0</v>
      </c>
      <c r="I13" s="51"/>
      <c r="J13" s="863">
        <f>'Cjenik M'!$B$47</f>
        <v>0</v>
      </c>
      <c r="K13" s="863"/>
      <c r="L13" s="52">
        <f>'Cjenik M'!$C$47</f>
        <v>0</v>
      </c>
      <c r="M13" s="53">
        <v>0.25</v>
      </c>
      <c r="N13" s="260">
        <f>'Cjenik M'!$D$47</f>
        <v>0</v>
      </c>
      <c r="O13" s="55">
        <f>M13*N13</f>
        <v>0</v>
      </c>
    </row>
    <row r="14" spans="1:15" s="12" customFormat="1" ht="25.15" customHeight="1">
      <c r="A14" s="56"/>
      <c r="B14" s="834">
        <f>'Cjenik M'!$B$52</f>
        <v>0</v>
      </c>
      <c r="C14" s="834"/>
      <c r="D14" s="57">
        <f>'Cjenik M'!$C$52</f>
        <v>0</v>
      </c>
      <c r="E14" s="614">
        <v>3.2</v>
      </c>
      <c r="F14" s="263">
        <f>'Cjenik M'!$D$52</f>
        <v>0</v>
      </c>
      <c r="G14" s="60">
        <f>E14*F14</f>
        <v>0</v>
      </c>
      <c r="I14" s="56"/>
      <c r="J14" s="834">
        <f>'Cjenik M'!$B$52</f>
        <v>0</v>
      </c>
      <c r="K14" s="834"/>
      <c r="L14" s="57">
        <f>'Cjenik M'!$C$52</f>
        <v>0</v>
      </c>
      <c r="M14" s="58">
        <v>0.9</v>
      </c>
      <c r="N14" s="263">
        <f>'Cjenik M'!$D$52</f>
        <v>0</v>
      </c>
      <c r="O14" s="60">
        <f>M14*N14</f>
        <v>0</v>
      </c>
    </row>
    <row r="15" spans="1:15" s="12" customFormat="1" ht="25.15" customHeight="1" thickBot="1">
      <c r="A15" s="66"/>
      <c r="B15" s="859">
        <f>'Cjenik M'!$B$105</f>
        <v>0</v>
      </c>
      <c r="C15" s="859"/>
      <c r="D15" s="67">
        <f>'Cjenik M'!$C$105</f>
        <v>0</v>
      </c>
      <c r="E15" s="554">
        <v>0.08</v>
      </c>
      <c r="F15" s="262">
        <f>'Cjenik M'!$D$105</f>
        <v>0</v>
      </c>
      <c r="G15" s="70">
        <f>E15*F15</f>
        <v>0</v>
      </c>
      <c r="I15" s="66"/>
      <c r="J15" s="859">
        <f>'Cjenik M'!$B$105</f>
        <v>0</v>
      </c>
      <c r="K15" s="859"/>
      <c r="L15" s="67">
        <f>'Cjenik M'!$C$105</f>
        <v>0</v>
      </c>
      <c r="M15" s="68">
        <v>0.02</v>
      </c>
      <c r="N15" s="262">
        <f>'Cjenik M'!$D$105</f>
        <v>0</v>
      </c>
      <c r="O15" s="70">
        <f>M15*N15</f>
        <v>0</v>
      </c>
    </row>
    <row r="16" spans="1:15" ht="25.15" customHeight="1" thickTop="1" thickBot="1">
      <c r="E16" s="868" t="str">
        <f>'Obrazac kalkulacije'!$E$18</f>
        <v>Ukupno (kn):</v>
      </c>
      <c r="F16" s="868"/>
      <c r="G16" s="71">
        <f>ROUND(SUM(G8+G10+G12),2)</f>
        <v>237.48</v>
      </c>
      <c r="H16" s="269" t="e">
        <f>SUMIF(#REF!,$B4,#REF!)</f>
        <v>#REF!</v>
      </c>
      <c r="M16" s="868" t="str">
        <f>'Obrazac kalkulacije'!$E$18</f>
        <v>Ukupno (kn):</v>
      </c>
      <c r="N16" s="868"/>
      <c r="O16" s="71">
        <f>ROUND(SUM(O8+O10+O12),2)</f>
        <v>237.48</v>
      </c>
    </row>
    <row r="17" spans="1:15" ht="25.15" customHeight="1" thickTop="1" thickBot="1">
      <c r="E17" s="27" t="str">
        <f>'Obrazac kalkulacije'!$E$19</f>
        <v>PDV:</v>
      </c>
      <c r="F17" s="259">
        <f>'Obrazac kalkulacije'!$F$19</f>
        <v>0.25</v>
      </c>
      <c r="G17" s="29">
        <f>G16*F17</f>
        <v>59.37</v>
      </c>
      <c r="H17" s="270" t="e">
        <f>H16-G16</f>
        <v>#REF!</v>
      </c>
      <c r="M17" s="27" t="str">
        <f>'Obrazac kalkulacije'!$E$19</f>
        <v>PDV:</v>
      </c>
      <c r="N17" s="259">
        <f>'Obrazac kalkulacije'!$F$19</f>
        <v>0.25</v>
      </c>
      <c r="O17" s="29">
        <f>O16*N17</f>
        <v>59.37</v>
      </c>
    </row>
    <row r="18" spans="1:15" ht="25.15" customHeight="1" thickTop="1" thickBot="1">
      <c r="E18" s="840" t="str">
        <f>'Obrazac kalkulacije'!$E$20</f>
        <v>Sveukupno (kn):</v>
      </c>
      <c r="F18" s="840"/>
      <c r="G18" s="29">
        <f>ROUND(SUM(G16:G17),2)</f>
        <v>296.85000000000002</v>
      </c>
      <c r="H18" s="271" t="e">
        <f>G11+H17</f>
        <v>#REF!</v>
      </c>
      <c r="M18" s="840" t="str">
        <f>'Obrazac kalkulacije'!$E$20</f>
        <v>Sveukupno (kn):</v>
      </c>
      <c r="N18" s="840"/>
      <c r="O18" s="29">
        <f>ROUND(SUM(O16:O17),2)</f>
        <v>296.85000000000002</v>
      </c>
    </row>
    <row r="19" spans="1:15" ht="15" customHeight="1" thickTop="1"/>
    <row r="20" spans="1:15" ht="15" customHeight="1"/>
    <row r="21" spans="1:15" ht="15" customHeight="1"/>
    <row r="22" spans="1:15" ht="15" customHeight="1">
      <c r="C22" s="3" t="str">
        <f>'Obrazac kalkulacije'!$C$24</f>
        <v>IZVODITELJ:</v>
      </c>
      <c r="F22" s="841" t="str">
        <f>'Obrazac kalkulacije'!$F$24</f>
        <v>NARUČITELJ:</v>
      </c>
      <c r="G22" s="841"/>
      <c r="K22" s="3" t="str">
        <f>'Obrazac kalkulacije'!$C$24</f>
        <v>IZVODITELJ:</v>
      </c>
      <c r="N22" s="841" t="str">
        <f>'Obrazac kalkulacije'!$F$24</f>
        <v>NARUČITELJ:</v>
      </c>
      <c r="O22" s="841"/>
    </row>
    <row r="23" spans="1:15" ht="25.15" customHeight="1">
      <c r="C23" s="3" t="str">
        <f>'Obrazac kalkulacije'!$C$25</f>
        <v>__________________</v>
      </c>
      <c r="F23" s="841" t="str">
        <f>'Obrazac kalkulacije'!$F$25</f>
        <v>___________________</v>
      </c>
      <c r="G23" s="841"/>
      <c r="K23" s="3" t="str">
        <f>'Obrazac kalkulacije'!$C$25</f>
        <v>__________________</v>
      </c>
      <c r="N23" s="841" t="str">
        <f>'Obrazac kalkulacije'!$F$25</f>
        <v>___________________</v>
      </c>
      <c r="O23" s="841"/>
    </row>
    <row r="24" spans="1:15">
      <c r="F24" s="841"/>
      <c r="G24" s="841"/>
      <c r="N24" s="841"/>
      <c r="O24" s="841"/>
    </row>
    <row r="25" spans="1:15" ht="15" customHeight="1"/>
    <row r="26" spans="1:15" ht="15" customHeight="1">
      <c r="A26" s="144"/>
      <c r="B26" s="145" t="s">
        <v>762</v>
      </c>
      <c r="C26" s="836" t="s">
        <v>763</v>
      </c>
      <c r="D26" s="836"/>
      <c r="E26" s="836"/>
      <c r="F26" s="836"/>
      <c r="G26" s="836"/>
      <c r="I26" s="144"/>
      <c r="J26" s="145" t="s">
        <v>762</v>
      </c>
      <c r="K26" s="836" t="s">
        <v>763</v>
      </c>
      <c r="L26" s="836"/>
      <c r="M26" s="836"/>
      <c r="N26" s="836"/>
      <c r="O26" s="836"/>
    </row>
    <row r="27" spans="1:15" ht="15" customHeight="1">
      <c r="A27" s="38"/>
      <c r="B27" s="39" t="s">
        <v>764</v>
      </c>
      <c r="C27" s="860" t="s">
        <v>765</v>
      </c>
      <c r="D27" s="860"/>
      <c r="E27" s="860"/>
      <c r="F27" s="860"/>
      <c r="G27" s="860"/>
      <c r="I27" s="38"/>
      <c r="J27" s="39" t="s">
        <v>764</v>
      </c>
      <c r="K27" s="860" t="s">
        <v>765</v>
      </c>
      <c r="L27" s="860"/>
      <c r="M27" s="860"/>
      <c r="N27" s="860"/>
      <c r="O27" s="860"/>
    </row>
    <row r="28" spans="1:15" ht="150" customHeight="1">
      <c r="A28" s="40"/>
      <c r="B28" s="556" t="s">
        <v>769</v>
      </c>
      <c r="C28" s="852" t="s">
        <v>770</v>
      </c>
      <c r="D28" s="852"/>
      <c r="E28" s="852"/>
      <c r="F28" s="852"/>
      <c r="G28" s="852"/>
      <c r="I28" s="40"/>
      <c r="J28" s="41" t="s">
        <v>769</v>
      </c>
      <c r="K28" s="869" t="s">
        <v>771</v>
      </c>
      <c r="L28" s="869"/>
      <c r="M28" s="869"/>
      <c r="N28" s="869"/>
      <c r="O28" s="869"/>
    </row>
    <row r="29" spans="1:15" ht="15" customHeight="1" thickBot="1"/>
    <row r="30" spans="1:15" s="11" customFormat="1" ht="30" customHeight="1" thickTop="1" thickBot="1">
      <c r="A30" s="10"/>
      <c r="B30" s="835" t="s">
        <v>624</v>
      </c>
      <c r="C30" s="835"/>
      <c r="D30" s="10" t="s">
        <v>625</v>
      </c>
      <c r="E30" s="10" t="s">
        <v>626</v>
      </c>
      <c r="F30" s="10" t="s">
        <v>627</v>
      </c>
      <c r="G30" s="10" t="s">
        <v>628</v>
      </c>
      <c r="I30" s="10"/>
      <c r="J30" s="835" t="s">
        <v>624</v>
      </c>
      <c r="K30" s="835"/>
      <c r="L30" s="10" t="s">
        <v>625</v>
      </c>
      <c r="M30" s="10" t="s">
        <v>626</v>
      </c>
      <c r="N30" s="10" t="s">
        <v>627</v>
      </c>
      <c r="O30" s="10" t="s">
        <v>628</v>
      </c>
    </row>
    <row r="31" spans="1:15" s="12" customFormat="1" ht="4.5" customHeight="1" thickTop="1">
      <c r="A31" s="1"/>
      <c r="B31" s="42"/>
      <c r="C31" s="1"/>
      <c r="D31" s="11"/>
      <c r="E31" s="13"/>
      <c r="F31" s="258"/>
      <c r="G31" s="15"/>
      <c r="I31" s="1"/>
      <c r="J31" s="42"/>
      <c r="K31" s="1"/>
      <c r="L31" s="11"/>
      <c r="M31" s="13"/>
      <c r="N31" s="258"/>
      <c r="O31" s="15"/>
    </row>
    <row r="32" spans="1:15" s="12" customFormat="1" ht="25.15" customHeight="1">
      <c r="A32" s="16"/>
      <c r="B32" s="837" t="s">
        <v>565</v>
      </c>
      <c r="C32" s="837"/>
      <c r="D32" s="16"/>
      <c r="E32" s="16"/>
      <c r="F32" s="44"/>
      <c r="G32" s="18">
        <f>SUM(G33:G33)</f>
        <v>69.109740000000002</v>
      </c>
      <c r="I32" s="16"/>
      <c r="J32" s="837" t="s">
        <v>565</v>
      </c>
      <c r="K32" s="837"/>
      <c r="L32" s="16"/>
      <c r="M32" s="16"/>
      <c r="N32" s="44"/>
      <c r="O32" s="18">
        <f>SUM(O33:O33)</f>
        <v>69.109740000000002</v>
      </c>
    </row>
    <row r="33" spans="1:15" s="12" customFormat="1" ht="25.15" customHeight="1">
      <c r="A33" s="32"/>
      <c r="B33" s="854" t="s">
        <v>57</v>
      </c>
      <c r="C33" s="854"/>
      <c r="D33" s="33" t="s">
        <v>51</v>
      </c>
      <c r="E33" s="34">
        <v>0.65800000000000003</v>
      </c>
      <c r="F33" s="268">
        <f>SUMIF('Cjenik RS'!$C$11:$C$26,$B33,'Cjenik RS'!$D$11:$D$90)</f>
        <v>105.03</v>
      </c>
      <c r="G33" s="35">
        <f>+F33*E33</f>
        <v>69.109740000000002</v>
      </c>
      <c r="I33" s="32"/>
      <c r="J33" s="854" t="s">
        <v>57</v>
      </c>
      <c r="K33" s="854"/>
      <c r="L33" s="33" t="s">
        <v>51</v>
      </c>
      <c r="M33" s="34">
        <v>0.65800000000000003</v>
      </c>
      <c r="N33" s="268">
        <f>SUMIF('Cjenik RS'!$C$11:$C$26,J33,'Cjenik RS'!$D$11:$D$90)</f>
        <v>105.03</v>
      </c>
      <c r="O33" s="35">
        <f>+N33*M33</f>
        <v>69.109740000000002</v>
      </c>
    </row>
    <row r="34" spans="1:15" s="12" customFormat="1" ht="25.15" customHeight="1">
      <c r="A34" s="16"/>
      <c r="B34" s="837" t="s">
        <v>566</v>
      </c>
      <c r="C34" s="837"/>
      <c r="D34" s="16"/>
      <c r="E34" s="16"/>
      <c r="F34" s="238"/>
      <c r="G34" s="18">
        <f>SUM(G35:G35)</f>
        <v>9.8780000000000001</v>
      </c>
      <c r="I34" s="16"/>
      <c r="J34" s="837" t="s">
        <v>566</v>
      </c>
      <c r="K34" s="837"/>
      <c r="L34" s="16"/>
      <c r="M34" s="16"/>
      <c r="N34" s="238"/>
      <c r="O34" s="18">
        <f>SUM(O35:O35)</f>
        <v>9.8780000000000001</v>
      </c>
    </row>
    <row r="35" spans="1:15" s="12" customFormat="1" ht="25.15" customHeight="1">
      <c r="A35" s="16"/>
      <c r="B35" s="849" t="s">
        <v>69</v>
      </c>
      <c r="C35" s="849"/>
      <c r="D35" s="52" t="s">
        <v>51</v>
      </c>
      <c r="E35" s="86">
        <v>5.5E-2</v>
      </c>
      <c r="F35" s="260">
        <f>SUMIF('Cjenik VSO'!$B$9:$B$85,$B35,'Cjenik VSO'!$C$9:$C$85)</f>
        <v>179.6</v>
      </c>
      <c r="G35" s="54">
        <f>E35*F35</f>
        <v>9.8780000000000001</v>
      </c>
      <c r="I35" s="16"/>
      <c r="J35" s="849" t="s">
        <v>69</v>
      </c>
      <c r="K35" s="849"/>
      <c r="L35" s="52" t="s">
        <v>51</v>
      </c>
      <c r="M35" s="86">
        <v>5.5E-2</v>
      </c>
      <c r="N35" s="260">
        <f>SUMIF('Cjenik VSO'!$B$9:$B$85,$B35,'Cjenik VSO'!$C$9:$C$85)</f>
        <v>179.6</v>
      </c>
      <c r="O35" s="54">
        <f>M35*N35</f>
        <v>9.8780000000000001</v>
      </c>
    </row>
    <row r="36" spans="1:15" s="12" customFormat="1" ht="25.15" customHeight="1">
      <c r="A36" s="88"/>
      <c r="B36" s="837" t="s">
        <v>630</v>
      </c>
      <c r="C36" s="837"/>
      <c r="D36" s="16"/>
      <c r="E36" s="16"/>
      <c r="F36" s="238"/>
      <c r="G36" s="18">
        <f>SUM(G37)</f>
        <v>0</v>
      </c>
      <c r="I36" s="88"/>
      <c r="J36" s="837" t="s">
        <v>630</v>
      </c>
      <c r="K36" s="837"/>
      <c r="L36" s="16"/>
      <c r="M36" s="16"/>
      <c r="N36" s="238"/>
      <c r="O36" s="18">
        <f>SUM(O37)</f>
        <v>0</v>
      </c>
    </row>
    <row r="37" spans="1:15" s="12" customFormat="1" ht="25.15" customHeight="1" thickBot="1">
      <c r="A37" s="43"/>
      <c r="B37" s="863">
        <f>'Cjenik M'!$B$96</f>
        <v>0</v>
      </c>
      <c r="C37" s="863"/>
      <c r="D37" s="52">
        <f>'Cjenik M'!$C$96</f>
        <v>0</v>
      </c>
      <c r="E37" s="613">
        <v>1</v>
      </c>
      <c r="F37" s="260">
        <f>'Cjenik M'!$D$96</f>
        <v>0</v>
      </c>
      <c r="G37" s="55">
        <f>E37*F37</f>
        <v>0</v>
      </c>
      <c r="I37" s="43"/>
      <c r="J37" s="863">
        <f>'Cjenik M'!$B$96</f>
        <v>0</v>
      </c>
      <c r="K37" s="863"/>
      <c r="L37" s="52">
        <f>'Cjenik M'!$C$96</f>
        <v>0</v>
      </c>
      <c r="M37" s="53">
        <v>0.25</v>
      </c>
      <c r="N37" s="260">
        <f>'Cjenik M'!$D$96</f>
        <v>0</v>
      </c>
      <c r="O37" s="55">
        <f>M37*N37</f>
        <v>0</v>
      </c>
    </row>
    <row r="38" spans="1:15" ht="25.15" customHeight="1" thickTop="1" thickBot="1">
      <c r="B38" s="47"/>
      <c r="C38" s="24"/>
      <c r="D38" s="25"/>
      <c r="E38" s="850" t="str">
        <f>'Obrazac kalkulacije'!$E$18</f>
        <v>Ukupno (kn):</v>
      </c>
      <c r="F38" s="850"/>
      <c r="G38" s="26">
        <f>ROUND(SUM(G32+G34+G36),2)</f>
        <v>78.989999999999995</v>
      </c>
      <c r="H38" s="269" t="e">
        <f>SUMIF(#REF!,$B28,#REF!)</f>
        <v>#REF!</v>
      </c>
      <c r="J38" s="47"/>
      <c r="K38" s="24"/>
      <c r="L38" s="25"/>
      <c r="M38" s="850" t="str">
        <f>'Obrazac kalkulacije'!$E$18</f>
        <v>Ukupno (kn):</v>
      </c>
      <c r="N38" s="850"/>
      <c r="O38" s="26">
        <f>ROUND(SUM(O32+O34+O36),2)</f>
        <v>78.989999999999995</v>
      </c>
    </row>
    <row r="39" spans="1:15" ht="25.15" customHeight="1" thickTop="1" thickBot="1">
      <c r="E39" s="27" t="str">
        <f>'Obrazac kalkulacije'!$E$19</f>
        <v>PDV:</v>
      </c>
      <c r="F39" s="259">
        <f>'Obrazac kalkulacije'!$F$19</f>
        <v>0.25</v>
      </c>
      <c r="G39" s="29">
        <f>G38*F39</f>
        <v>19.747499999999999</v>
      </c>
      <c r="H39" s="270" t="e">
        <f>H38-G38</f>
        <v>#REF!</v>
      </c>
      <c r="M39" s="27" t="str">
        <f>'Obrazac kalkulacije'!$E$19</f>
        <v>PDV:</v>
      </c>
      <c r="N39" s="259">
        <f>'Obrazac kalkulacije'!$F$19</f>
        <v>0.25</v>
      </c>
      <c r="O39" s="29">
        <f>O38*N39</f>
        <v>19.747499999999999</v>
      </c>
    </row>
    <row r="40" spans="1:15" ht="25.15" customHeight="1" thickTop="1" thickBot="1">
      <c r="E40" s="840" t="str">
        <f>'Obrazac kalkulacije'!$E$20</f>
        <v>Sveukupno (kn):</v>
      </c>
      <c r="F40" s="840"/>
      <c r="G40" s="29">
        <f>ROUND(SUM(G38:G39),2)</f>
        <v>98.74</v>
      </c>
      <c r="H40" s="271" t="e">
        <f>G35+H39</f>
        <v>#REF!</v>
      </c>
      <c r="M40" s="840" t="str">
        <f>'Obrazac kalkulacije'!$E$20</f>
        <v>Sveukupno (kn):</v>
      </c>
      <c r="N40" s="840"/>
      <c r="O40" s="29">
        <f>ROUND(SUM(O38:O39),2)</f>
        <v>98.74</v>
      </c>
    </row>
    <row r="41" spans="1:15" ht="15" customHeight="1" thickTop="1"/>
    <row r="42" spans="1:15" ht="15" customHeight="1"/>
    <row r="43" spans="1:15" ht="15" customHeight="1"/>
    <row r="44" spans="1:15" ht="15" customHeight="1">
      <c r="C44" s="3" t="str">
        <f>'Obrazac kalkulacije'!$C$24</f>
        <v>IZVODITELJ:</v>
      </c>
      <c r="F44" s="841" t="str">
        <f>'Obrazac kalkulacije'!$F$24</f>
        <v>NARUČITELJ:</v>
      </c>
      <c r="G44" s="841"/>
      <c r="K44" s="3" t="str">
        <f>'Obrazac kalkulacije'!$C$24</f>
        <v>IZVODITELJ:</v>
      </c>
      <c r="N44" s="841" t="str">
        <f>'Obrazac kalkulacije'!$F$24</f>
        <v>NARUČITELJ:</v>
      </c>
      <c r="O44" s="841"/>
    </row>
    <row r="45" spans="1:15" ht="25.15" customHeight="1">
      <c r="C45" s="3" t="str">
        <f>'Obrazac kalkulacije'!$C$25</f>
        <v>__________________</v>
      </c>
      <c r="F45" s="841" t="str">
        <f>'Obrazac kalkulacije'!$F$25</f>
        <v>___________________</v>
      </c>
      <c r="G45" s="841"/>
      <c r="K45" s="3" t="str">
        <f>'Obrazac kalkulacije'!$C$25</f>
        <v>__________________</v>
      </c>
      <c r="N45" s="841" t="str">
        <f>'Obrazac kalkulacije'!$F$25</f>
        <v>___________________</v>
      </c>
      <c r="O45" s="841"/>
    </row>
    <row r="46" spans="1:15" ht="15" customHeight="1">
      <c r="F46" s="841"/>
      <c r="G46" s="841"/>
      <c r="N46" s="841"/>
      <c r="O46" s="841"/>
    </row>
    <row r="47" spans="1:15" ht="15" customHeight="1"/>
    <row r="48" spans="1:15" ht="15" customHeight="1">
      <c r="A48" s="144"/>
      <c r="B48" s="145" t="s">
        <v>762</v>
      </c>
      <c r="C48" s="836" t="s">
        <v>763</v>
      </c>
      <c r="D48" s="836"/>
      <c r="E48" s="836"/>
      <c r="F48" s="836"/>
      <c r="G48" s="836"/>
      <c r="I48" s="144"/>
      <c r="J48" s="145" t="s">
        <v>762</v>
      </c>
      <c r="K48" s="836" t="s">
        <v>763</v>
      </c>
      <c r="L48" s="836"/>
      <c r="M48" s="836"/>
      <c r="N48" s="836"/>
      <c r="O48" s="836"/>
    </row>
    <row r="49" spans="1:15" ht="15" customHeight="1">
      <c r="A49" s="38"/>
      <c r="B49" s="39" t="s">
        <v>764</v>
      </c>
      <c r="C49" s="860" t="s">
        <v>765</v>
      </c>
      <c r="D49" s="860"/>
      <c r="E49" s="860"/>
      <c r="F49" s="860"/>
      <c r="G49" s="860"/>
      <c r="I49" s="38"/>
      <c r="J49" s="39" t="s">
        <v>764</v>
      </c>
      <c r="K49" s="860" t="s">
        <v>765</v>
      </c>
      <c r="L49" s="860"/>
      <c r="M49" s="860"/>
      <c r="N49" s="860"/>
      <c r="O49" s="860"/>
    </row>
    <row r="50" spans="1:15" ht="150" customHeight="1">
      <c r="A50" s="40"/>
      <c r="B50" s="556" t="s">
        <v>772</v>
      </c>
      <c r="C50" s="852" t="s">
        <v>773</v>
      </c>
      <c r="D50" s="852"/>
      <c r="E50" s="852"/>
      <c r="F50" s="852"/>
      <c r="G50" s="852"/>
      <c r="I50" s="40"/>
      <c r="J50" s="41" t="s">
        <v>772</v>
      </c>
      <c r="K50" s="869" t="s">
        <v>774</v>
      </c>
      <c r="L50" s="869"/>
      <c r="M50" s="869"/>
      <c r="N50" s="869"/>
      <c r="O50" s="869"/>
    </row>
    <row r="51" spans="1:15" ht="15" customHeight="1" thickBot="1"/>
    <row r="52" spans="1:15" s="11" customFormat="1" ht="30" customHeight="1" thickTop="1" thickBot="1">
      <c r="A52" s="10"/>
      <c r="B52" s="835" t="s">
        <v>624</v>
      </c>
      <c r="C52" s="835"/>
      <c r="D52" s="10" t="s">
        <v>625</v>
      </c>
      <c r="E52" s="10" t="s">
        <v>626</v>
      </c>
      <c r="F52" s="10" t="s">
        <v>627</v>
      </c>
      <c r="G52" s="10" t="s">
        <v>628</v>
      </c>
      <c r="I52" s="10"/>
      <c r="J52" s="835" t="s">
        <v>624</v>
      </c>
      <c r="K52" s="835"/>
      <c r="L52" s="10" t="s">
        <v>625</v>
      </c>
      <c r="M52" s="10" t="s">
        <v>626</v>
      </c>
      <c r="N52" s="10" t="s">
        <v>627</v>
      </c>
      <c r="O52" s="10" t="s">
        <v>628</v>
      </c>
    </row>
    <row r="53" spans="1:15" s="12" customFormat="1" ht="4.5" customHeight="1" thickTop="1">
      <c r="A53" s="1"/>
      <c r="B53" s="42"/>
      <c r="C53" s="1"/>
      <c r="D53" s="11"/>
      <c r="E53" s="13"/>
      <c r="F53" s="258"/>
      <c r="G53" s="15"/>
      <c r="I53" s="1"/>
      <c r="J53" s="42"/>
      <c r="K53" s="1"/>
      <c r="L53" s="11"/>
      <c r="M53" s="13"/>
      <c r="N53" s="258"/>
      <c r="O53" s="15"/>
    </row>
    <row r="54" spans="1:15" s="12" customFormat="1" ht="25.15" customHeight="1">
      <c r="A54" s="16"/>
      <c r="B54" s="837" t="s">
        <v>565</v>
      </c>
      <c r="C54" s="837"/>
      <c r="D54" s="16"/>
      <c r="E54" s="16"/>
      <c r="F54" s="44"/>
      <c r="G54" s="18">
        <f>SUM(G55:G55)</f>
        <v>24.997139999999998</v>
      </c>
      <c r="I54" s="16"/>
      <c r="J54" s="837" t="s">
        <v>565</v>
      </c>
      <c r="K54" s="837"/>
      <c r="L54" s="16"/>
      <c r="M54" s="16"/>
      <c r="N54" s="44"/>
      <c r="O54" s="18">
        <f>SUM(O55:O55)</f>
        <v>24.997139999999998</v>
      </c>
    </row>
    <row r="55" spans="1:15" s="12" customFormat="1" ht="25.15" customHeight="1">
      <c r="A55" s="32"/>
      <c r="B55" s="854" t="s">
        <v>57</v>
      </c>
      <c r="C55" s="854"/>
      <c r="D55" s="33" t="s">
        <v>51</v>
      </c>
      <c r="E55" s="34">
        <v>0.23799999999999999</v>
      </c>
      <c r="F55" s="268">
        <f>SUMIF('Cjenik RS'!$C$11:$C$26,$B55,'Cjenik RS'!$D$11:$D$90)</f>
        <v>105.03</v>
      </c>
      <c r="G55" s="35">
        <f>+F55*E55</f>
        <v>24.997139999999998</v>
      </c>
      <c r="H55" s="679"/>
      <c r="I55" s="32"/>
      <c r="J55" s="854" t="s">
        <v>57</v>
      </c>
      <c r="K55" s="854"/>
      <c r="L55" s="33" t="s">
        <v>51</v>
      </c>
      <c r="M55" s="34">
        <v>0.23799999999999999</v>
      </c>
      <c r="N55" s="268">
        <f>SUMIF('Cjenik RS'!$C$11:$C$26,J55,'Cjenik RS'!$D$11:$D$90)</f>
        <v>105.03</v>
      </c>
      <c r="O55" s="35">
        <f>+N55*M55</f>
        <v>24.997139999999998</v>
      </c>
    </row>
    <row r="56" spans="1:15" s="12" customFormat="1" ht="25.15" customHeight="1">
      <c r="A56" s="16"/>
      <c r="B56" s="837" t="s">
        <v>566</v>
      </c>
      <c r="C56" s="837"/>
      <c r="D56" s="16"/>
      <c r="E56" s="16"/>
      <c r="F56" s="238"/>
      <c r="G56" s="18">
        <f>SUM(G57:G57)</f>
        <v>7.1840000000000002</v>
      </c>
      <c r="I56" s="16"/>
      <c r="J56" s="837" t="s">
        <v>566</v>
      </c>
      <c r="K56" s="837"/>
      <c r="L56" s="16"/>
      <c r="M56" s="16"/>
      <c r="N56" s="238"/>
      <c r="O56" s="18">
        <f>SUM(O57:O57)</f>
        <v>7.1840000000000002</v>
      </c>
    </row>
    <row r="57" spans="1:15" s="12" customFormat="1" ht="25.15" customHeight="1">
      <c r="A57" s="16"/>
      <c r="B57" s="849" t="s">
        <v>69</v>
      </c>
      <c r="C57" s="849"/>
      <c r="D57" s="52" t="s">
        <v>51</v>
      </c>
      <c r="E57" s="86">
        <v>0.04</v>
      </c>
      <c r="F57" s="260">
        <f>SUMIF('Cjenik VSO'!$B$9:$B$85,$B57,'Cjenik VSO'!$C$9:$C$85)</f>
        <v>179.6</v>
      </c>
      <c r="G57" s="54">
        <f>E57*F57</f>
        <v>7.1840000000000002</v>
      </c>
      <c r="I57" s="16"/>
      <c r="J57" s="849" t="s">
        <v>69</v>
      </c>
      <c r="K57" s="849"/>
      <c r="L57" s="52" t="s">
        <v>51</v>
      </c>
      <c r="M57" s="86">
        <v>0.04</v>
      </c>
      <c r="N57" s="260">
        <f>SUMIF('Cjenik VSO'!$B$9:$B$85,$B57,'Cjenik VSO'!$C$9:$C$85)</f>
        <v>179.6</v>
      </c>
      <c r="O57" s="54">
        <f>M57*N57</f>
        <v>7.1840000000000002</v>
      </c>
    </row>
    <row r="58" spans="1:15" s="12" customFormat="1" ht="25.15" customHeight="1">
      <c r="A58" s="16"/>
      <c r="B58" s="837" t="s">
        <v>630</v>
      </c>
      <c r="C58" s="837"/>
      <c r="D58" s="16"/>
      <c r="E58" s="16"/>
      <c r="F58" s="238"/>
      <c r="G58" s="18">
        <f>SUM(G59:G59)</f>
        <v>0</v>
      </c>
      <c r="I58" s="16"/>
      <c r="J58" s="837" t="s">
        <v>630</v>
      </c>
      <c r="K58" s="837"/>
      <c r="L58" s="16"/>
      <c r="M58" s="16"/>
      <c r="N58" s="238"/>
      <c r="O58" s="18">
        <f>SUM(O59:O59)</f>
        <v>0</v>
      </c>
    </row>
    <row r="59" spans="1:15" s="12" customFormat="1" ht="25.15" customHeight="1" thickBot="1">
      <c r="A59" s="43"/>
      <c r="B59" s="863">
        <f>'Cjenik M'!$B$57</f>
        <v>0</v>
      </c>
      <c r="C59" s="863"/>
      <c r="D59" s="52">
        <f>'Cjenik M'!$C$57</f>
        <v>0</v>
      </c>
      <c r="E59" s="613">
        <v>1</v>
      </c>
      <c r="F59" s="260">
        <f>'Cjenik M'!$D$57</f>
        <v>0</v>
      </c>
      <c r="G59" s="55">
        <f>E59*F59</f>
        <v>0</v>
      </c>
      <c r="I59" s="43"/>
      <c r="J59" s="863">
        <f>'Cjenik M'!$B$57</f>
        <v>0</v>
      </c>
      <c r="K59" s="863"/>
      <c r="L59" s="52">
        <f>'Cjenik M'!$C$57</f>
        <v>0</v>
      </c>
      <c r="M59" s="53">
        <v>0.25</v>
      </c>
      <c r="N59" s="260">
        <f>'Cjenik M'!$D$57</f>
        <v>0</v>
      </c>
      <c r="O59" s="55">
        <f>M59*N59</f>
        <v>0</v>
      </c>
    </row>
    <row r="60" spans="1:15" ht="25.15" customHeight="1" thickTop="1" thickBot="1">
      <c r="B60" s="47"/>
      <c r="C60" s="24"/>
      <c r="D60" s="25"/>
      <c r="E60" s="850" t="str">
        <f>'Obrazac kalkulacije'!$E$18</f>
        <v>Ukupno (kn):</v>
      </c>
      <c r="F60" s="850"/>
      <c r="G60" s="26">
        <f>ROUND(SUM(G54+G56+G58),2)</f>
        <v>32.18</v>
      </c>
      <c r="H60" s="269" t="e">
        <f>SUMIF(#REF!,$B50,#REF!)</f>
        <v>#REF!</v>
      </c>
      <c r="J60" s="47"/>
      <c r="K60" s="24"/>
      <c r="L60" s="25"/>
      <c r="M60" s="850" t="str">
        <f>'Obrazac kalkulacije'!$E$18</f>
        <v>Ukupno (kn):</v>
      </c>
      <c r="N60" s="850"/>
      <c r="O60" s="26">
        <f>ROUND(SUM(O54+O56+O58),2)</f>
        <v>32.18</v>
      </c>
    </row>
    <row r="61" spans="1:15" ht="25.15" customHeight="1" thickTop="1" thickBot="1">
      <c r="E61" s="27" t="str">
        <f>'Obrazac kalkulacije'!$E$19</f>
        <v>PDV:</v>
      </c>
      <c r="F61" s="259">
        <f>'Obrazac kalkulacije'!$F$19</f>
        <v>0.25</v>
      </c>
      <c r="G61" s="29">
        <f>G60*F61</f>
        <v>8.0449999999999999</v>
      </c>
      <c r="H61" s="270" t="e">
        <f>H60-G60</f>
        <v>#REF!</v>
      </c>
      <c r="M61" s="27" t="str">
        <f>'Obrazac kalkulacije'!$E$19</f>
        <v>PDV:</v>
      </c>
      <c r="N61" s="259">
        <f>'Obrazac kalkulacije'!$F$19</f>
        <v>0.25</v>
      </c>
      <c r="O61" s="29">
        <f>O60*N61</f>
        <v>8.0449999999999999</v>
      </c>
    </row>
    <row r="62" spans="1:15" ht="25.15" customHeight="1" thickTop="1" thickBot="1">
      <c r="E62" s="840" t="str">
        <f>'Obrazac kalkulacije'!$E$20</f>
        <v>Sveukupno (kn):</v>
      </c>
      <c r="F62" s="840"/>
      <c r="G62" s="29">
        <f>ROUND(SUM(G60:G61),2)</f>
        <v>40.229999999999997</v>
      </c>
      <c r="H62" s="271" t="e">
        <f>G57+H61</f>
        <v>#REF!</v>
      </c>
      <c r="M62" s="840" t="str">
        <f>'Obrazac kalkulacije'!$E$20</f>
        <v>Sveukupno (kn):</v>
      </c>
      <c r="N62" s="840"/>
      <c r="O62" s="29">
        <f>ROUND(SUM(O60:O61),2)</f>
        <v>40.229999999999997</v>
      </c>
    </row>
    <row r="63" spans="1:15" ht="15" customHeight="1" thickTop="1"/>
    <row r="64" spans="1:15" ht="15" customHeight="1"/>
    <row r="65" spans="1:15" ht="15" customHeight="1"/>
    <row r="66" spans="1:15" ht="15" customHeight="1">
      <c r="C66" s="3" t="str">
        <f>'Obrazac kalkulacije'!$C$24</f>
        <v>IZVODITELJ:</v>
      </c>
      <c r="F66" s="841" t="str">
        <f>'Obrazac kalkulacije'!$F$24</f>
        <v>NARUČITELJ:</v>
      </c>
      <c r="G66" s="841"/>
      <c r="K66" s="3" t="str">
        <f>'Obrazac kalkulacije'!$C$24</f>
        <v>IZVODITELJ:</v>
      </c>
      <c r="N66" s="841" t="str">
        <f>'Obrazac kalkulacije'!$F$24</f>
        <v>NARUČITELJ:</v>
      </c>
      <c r="O66" s="841"/>
    </row>
    <row r="67" spans="1:15" ht="25.15" customHeight="1">
      <c r="C67" s="3" t="str">
        <f>'Obrazac kalkulacije'!$C$25</f>
        <v>__________________</v>
      </c>
      <c r="F67" s="841" t="str">
        <f>'Obrazac kalkulacije'!$F$25</f>
        <v>___________________</v>
      </c>
      <c r="G67" s="841"/>
      <c r="K67" s="3" t="str">
        <f>'Obrazac kalkulacije'!$C$25</f>
        <v>__________________</v>
      </c>
      <c r="N67" s="841" t="str">
        <f>'Obrazac kalkulacije'!$F$25</f>
        <v>___________________</v>
      </c>
      <c r="O67" s="841"/>
    </row>
    <row r="68" spans="1:15" ht="15" customHeight="1">
      <c r="F68" s="841"/>
      <c r="G68" s="841"/>
      <c r="N68" s="841"/>
      <c r="O68" s="841"/>
    </row>
    <row r="69" spans="1:15" ht="15" customHeight="1"/>
    <row r="70" spans="1:15" ht="15" customHeight="1">
      <c r="A70" s="144"/>
      <c r="B70" s="145" t="s">
        <v>762</v>
      </c>
      <c r="C70" s="836" t="s">
        <v>763</v>
      </c>
      <c r="D70" s="836"/>
      <c r="E70" s="836"/>
      <c r="F70" s="836"/>
      <c r="G70" s="836"/>
      <c r="I70" s="144"/>
      <c r="J70" s="145" t="s">
        <v>762</v>
      </c>
      <c r="K70" s="836" t="s">
        <v>763</v>
      </c>
      <c r="L70" s="836"/>
      <c r="M70" s="836"/>
      <c r="N70" s="836"/>
      <c r="O70" s="836"/>
    </row>
    <row r="71" spans="1:15" ht="15" customHeight="1">
      <c r="A71" s="38"/>
      <c r="B71" s="39" t="s">
        <v>764</v>
      </c>
      <c r="C71" s="860" t="s">
        <v>765</v>
      </c>
      <c r="D71" s="860"/>
      <c r="E71" s="860"/>
      <c r="F71" s="860"/>
      <c r="G71" s="860"/>
      <c r="I71" s="38"/>
      <c r="J71" s="39" t="s">
        <v>764</v>
      </c>
      <c r="K71" s="860" t="s">
        <v>765</v>
      </c>
      <c r="L71" s="860"/>
      <c r="M71" s="860"/>
      <c r="N71" s="860"/>
      <c r="O71" s="860"/>
    </row>
    <row r="72" spans="1:15" ht="150" customHeight="1">
      <c r="A72" s="40"/>
      <c r="B72" s="556" t="s">
        <v>775</v>
      </c>
      <c r="C72" s="852" t="s">
        <v>776</v>
      </c>
      <c r="D72" s="852"/>
      <c r="E72" s="852"/>
      <c r="F72" s="852"/>
      <c r="G72" s="852"/>
      <c r="I72" s="40"/>
      <c r="J72" s="41" t="s">
        <v>775</v>
      </c>
      <c r="K72" s="869" t="s">
        <v>777</v>
      </c>
      <c r="L72" s="869"/>
      <c r="M72" s="869"/>
      <c r="N72" s="869"/>
      <c r="O72" s="869"/>
    </row>
    <row r="73" spans="1:15" ht="15" customHeight="1" thickBot="1"/>
    <row r="74" spans="1:15" s="11" customFormat="1" ht="30" customHeight="1" thickTop="1" thickBot="1">
      <c r="A74" s="10"/>
      <c r="B74" s="835" t="s">
        <v>624</v>
      </c>
      <c r="C74" s="835"/>
      <c r="D74" s="10" t="s">
        <v>625</v>
      </c>
      <c r="E74" s="10" t="s">
        <v>626</v>
      </c>
      <c r="F74" s="10" t="s">
        <v>627</v>
      </c>
      <c r="G74" s="10" t="s">
        <v>628</v>
      </c>
      <c r="I74" s="10"/>
      <c r="J74" s="835" t="s">
        <v>624</v>
      </c>
      <c r="K74" s="835"/>
      <c r="L74" s="10" t="s">
        <v>625</v>
      </c>
      <c r="M74" s="10" t="s">
        <v>626</v>
      </c>
      <c r="N74" s="10" t="s">
        <v>627</v>
      </c>
      <c r="O74" s="10" t="s">
        <v>628</v>
      </c>
    </row>
    <row r="75" spans="1:15" s="12" customFormat="1" ht="4.5" customHeight="1" thickTop="1">
      <c r="A75" s="1"/>
      <c r="B75" s="42"/>
      <c r="C75" s="1"/>
      <c r="D75" s="11"/>
      <c r="E75" s="13"/>
      <c r="F75" s="258"/>
      <c r="G75" s="15"/>
      <c r="I75" s="1"/>
      <c r="J75" s="42"/>
      <c r="K75" s="1"/>
      <c r="L75" s="11"/>
      <c r="M75" s="13"/>
      <c r="N75" s="258"/>
      <c r="O75" s="15"/>
    </row>
    <row r="76" spans="1:15" s="12" customFormat="1" ht="25.15" customHeight="1">
      <c r="A76" s="16"/>
      <c r="B76" s="837" t="s">
        <v>565</v>
      </c>
      <c r="C76" s="837"/>
      <c r="D76" s="16"/>
      <c r="E76" s="16"/>
      <c r="F76" s="44"/>
      <c r="G76" s="18">
        <f>SUM(G77:G77)</f>
        <v>50.414400000000001</v>
      </c>
      <c r="I76" s="16"/>
      <c r="J76" s="837" t="s">
        <v>565</v>
      </c>
      <c r="K76" s="837"/>
      <c r="L76" s="16"/>
      <c r="M76" s="16"/>
      <c r="N76" s="44"/>
      <c r="O76" s="18">
        <f>SUM(O77:O77)</f>
        <v>50.414400000000001</v>
      </c>
    </row>
    <row r="77" spans="1:15" s="12" customFormat="1" ht="25.15" customHeight="1">
      <c r="A77" s="32"/>
      <c r="B77" s="854" t="s">
        <v>57</v>
      </c>
      <c r="C77" s="854"/>
      <c r="D77" s="33" t="s">
        <v>51</v>
      </c>
      <c r="E77" s="34">
        <v>0.48</v>
      </c>
      <c r="F77" s="268">
        <f>SUMIF('Cjenik RS'!$C$11:$C$26,$B77,'Cjenik RS'!$D$11:$D$90)</f>
        <v>105.03</v>
      </c>
      <c r="G77" s="35">
        <f>+F77*E77</f>
        <v>50.414400000000001</v>
      </c>
      <c r="I77" s="32"/>
      <c r="J77" s="854" t="s">
        <v>57</v>
      </c>
      <c r="K77" s="854"/>
      <c r="L77" s="33" t="s">
        <v>51</v>
      </c>
      <c r="M77" s="34">
        <v>0.48</v>
      </c>
      <c r="N77" s="268">
        <f>SUMIF('Cjenik RS'!$C$11:$C$26,J77,'Cjenik RS'!$D$11:$D$90)</f>
        <v>105.03</v>
      </c>
      <c r="O77" s="35">
        <f>+N77*M77</f>
        <v>50.414400000000001</v>
      </c>
    </row>
    <row r="78" spans="1:15" s="12" customFormat="1" ht="25.15" customHeight="1">
      <c r="A78" s="16"/>
      <c r="B78" s="837" t="s">
        <v>566</v>
      </c>
      <c r="C78" s="837"/>
      <c r="D78" s="16"/>
      <c r="E78" s="16"/>
      <c r="F78" s="238"/>
      <c r="G78" s="18">
        <f>SUM(G79:G79)</f>
        <v>7.1840000000000002</v>
      </c>
      <c r="I78" s="16"/>
      <c r="J78" s="837" t="s">
        <v>566</v>
      </c>
      <c r="K78" s="837"/>
      <c r="L78" s="16"/>
      <c r="M78" s="16"/>
      <c r="N78" s="238"/>
      <c r="O78" s="18">
        <f>SUM(O79:O79)</f>
        <v>7.1840000000000002</v>
      </c>
    </row>
    <row r="79" spans="1:15" s="12" customFormat="1" ht="25.15" customHeight="1">
      <c r="A79" s="16"/>
      <c r="B79" s="849" t="s">
        <v>69</v>
      </c>
      <c r="C79" s="849"/>
      <c r="D79" s="52" t="s">
        <v>51</v>
      </c>
      <c r="E79" s="86">
        <v>0.04</v>
      </c>
      <c r="F79" s="260">
        <f>SUMIF('Cjenik VSO'!$B$9:$B$85,$B79,'Cjenik VSO'!$C$9:$C$85)</f>
        <v>179.6</v>
      </c>
      <c r="G79" s="54">
        <f>E79*F79</f>
        <v>7.1840000000000002</v>
      </c>
      <c r="I79" s="16"/>
      <c r="J79" s="849" t="s">
        <v>69</v>
      </c>
      <c r="K79" s="849"/>
      <c r="L79" s="52" t="s">
        <v>51</v>
      </c>
      <c r="M79" s="86">
        <v>0.04</v>
      </c>
      <c r="N79" s="260">
        <f>SUMIF('Cjenik VSO'!$B$9:$B$85,$B79,'Cjenik VSO'!$C$9:$C$85)</f>
        <v>179.6</v>
      </c>
      <c r="O79" s="54">
        <f>M79*N79</f>
        <v>7.1840000000000002</v>
      </c>
    </row>
    <row r="80" spans="1:15" s="12" customFormat="1" ht="25.15" customHeight="1">
      <c r="A80" s="16"/>
      <c r="B80" s="837" t="s">
        <v>630</v>
      </c>
      <c r="C80" s="837"/>
      <c r="D80" s="16"/>
      <c r="E80" s="16"/>
      <c r="F80" s="238"/>
      <c r="G80" s="18">
        <f>SUM(G81:G83)</f>
        <v>0</v>
      </c>
      <c r="I80" s="16"/>
      <c r="J80" s="837" t="s">
        <v>630</v>
      </c>
      <c r="K80" s="837"/>
      <c r="L80" s="16"/>
      <c r="M80" s="16"/>
      <c r="N80" s="238"/>
      <c r="O80" s="18">
        <f>SUM(O81:O83)</f>
        <v>0</v>
      </c>
    </row>
    <row r="81" spans="1:15" s="12" customFormat="1" ht="25.15" customHeight="1">
      <c r="A81" s="51"/>
      <c r="B81" s="863">
        <f>'Cjenik M'!$B$58</f>
        <v>0</v>
      </c>
      <c r="C81" s="863"/>
      <c r="D81" s="52">
        <f>'Cjenik M'!$C$58</f>
        <v>0</v>
      </c>
      <c r="E81" s="613">
        <v>1</v>
      </c>
      <c r="F81" s="260">
        <f>'Cjenik M'!$D$58</f>
        <v>0</v>
      </c>
      <c r="G81" s="55">
        <f>E81*F81</f>
        <v>0</v>
      </c>
      <c r="I81" s="51"/>
      <c r="J81" s="863">
        <f>'Cjenik M'!$B$58</f>
        <v>0</v>
      </c>
      <c r="K81" s="863"/>
      <c r="L81" s="52">
        <f>'Cjenik M'!$C$58</f>
        <v>0</v>
      </c>
      <c r="M81" s="53">
        <v>0.33300000000000002</v>
      </c>
      <c r="N81" s="260">
        <f>'Cjenik M'!$D$58</f>
        <v>0</v>
      </c>
      <c r="O81" s="55">
        <f>M81*N81</f>
        <v>0</v>
      </c>
    </row>
    <row r="82" spans="1:15" s="12" customFormat="1" ht="25.15" customHeight="1">
      <c r="A82" s="56"/>
      <c r="B82" s="834">
        <f>'Cjenik M'!$B$98</f>
        <v>0</v>
      </c>
      <c r="C82" s="834"/>
      <c r="D82" s="57">
        <f>'Cjenik M'!$C$98</f>
        <v>0</v>
      </c>
      <c r="E82" s="614">
        <v>0.75</v>
      </c>
      <c r="F82" s="263">
        <f>'Cjenik M'!$D$98</f>
        <v>0</v>
      </c>
      <c r="G82" s="60">
        <f>E82*F82</f>
        <v>0</v>
      </c>
      <c r="I82" s="56"/>
      <c r="J82" s="834">
        <f>'Cjenik M'!$B$98</f>
        <v>0</v>
      </c>
      <c r="K82" s="834"/>
      <c r="L82" s="57">
        <f>'Cjenik M'!$C$98</f>
        <v>0</v>
      </c>
      <c r="M82" s="58">
        <v>0.25</v>
      </c>
      <c r="N82" s="263">
        <f>'Cjenik M'!$D$98</f>
        <v>0</v>
      </c>
      <c r="O82" s="60">
        <f>M82*N82</f>
        <v>0</v>
      </c>
    </row>
    <row r="83" spans="1:15" s="12" customFormat="1" ht="25.15" customHeight="1" thickBot="1">
      <c r="A83" s="66"/>
      <c r="B83" s="859">
        <f>'Cjenik M'!$B$70</f>
        <v>0</v>
      </c>
      <c r="C83" s="859"/>
      <c r="D83" s="67">
        <f>'Cjenik M'!$C$70</f>
        <v>0</v>
      </c>
      <c r="E83" s="554">
        <v>0.6</v>
      </c>
      <c r="F83" s="262">
        <f>'Cjenik M'!$D$70</f>
        <v>0</v>
      </c>
      <c r="G83" s="70">
        <f>E83*F83</f>
        <v>0</v>
      </c>
      <c r="I83" s="66"/>
      <c r="J83" s="859">
        <f>'Cjenik M'!$B$70</f>
        <v>0</v>
      </c>
      <c r="K83" s="859"/>
      <c r="L83" s="67">
        <f>'Cjenik M'!$C$70</f>
        <v>0</v>
      </c>
      <c r="M83" s="68">
        <v>0.2</v>
      </c>
      <c r="N83" s="262">
        <f>'Cjenik M'!$D$70</f>
        <v>0</v>
      </c>
      <c r="O83" s="70">
        <f>M83*N83</f>
        <v>0</v>
      </c>
    </row>
    <row r="84" spans="1:15" ht="25.15" customHeight="1" thickTop="1" thickBot="1">
      <c r="B84" s="47"/>
      <c r="C84" s="24"/>
      <c r="D84" s="25"/>
      <c r="E84" s="850" t="str">
        <f>'Obrazac kalkulacije'!$E$18</f>
        <v>Ukupno (kn):</v>
      </c>
      <c r="F84" s="850"/>
      <c r="G84" s="26">
        <f>ROUND(SUM(G76+G78+G80),2)</f>
        <v>57.6</v>
      </c>
      <c r="H84" s="269" t="e">
        <f>SUMIF(#REF!,$B72,#REF!)</f>
        <v>#REF!</v>
      </c>
      <c r="J84" s="47"/>
      <c r="K84" s="24"/>
      <c r="L84" s="25"/>
      <c r="M84" s="850" t="str">
        <f>'Obrazac kalkulacije'!$E$18</f>
        <v>Ukupno (kn):</v>
      </c>
      <c r="N84" s="850"/>
      <c r="O84" s="26">
        <f>ROUND(SUM(O76+O78+O80),2)</f>
        <v>57.6</v>
      </c>
    </row>
    <row r="85" spans="1:15" ht="25.15" customHeight="1" thickTop="1" thickBot="1">
      <c r="E85" s="27" t="str">
        <f>'Obrazac kalkulacije'!$E$19</f>
        <v>PDV:</v>
      </c>
      <c r="F85" s="259">
        <f>'Obrazac kalkulacije'!$F$19</f>
        <v>0.25</v>
      </c>
      <c r="G85" s="29">
        <f>G84*F85</f>
        <v>14.4</v>
      </c>
      <c r="H85" s="270" t="e">
        <f>H84-G84</f>
        <v>#REF!</v>
      </c>
      <c r="M85" s="27" t="str">
        <f>'Obrazac kalkulacije'!$E$19</f>
        <v>PDV:</v>
      </c>
      <c r="N85" s="259">
        <f>'Obrazac kalkulacije'!$F$19</f>
        <v>0.25</v>
      </c>
      <c r="O85" s="29">
        <f>O84*N85</f>
        <v>14.4</v>
      </c>
    </row>
    <row r="86" spans="1:15" ht="25.15" customHeight="1" thickTop="1" thickBot="1">
      <c r="E86" s="840" t="str">
        <f>'Obrazac kalkulacije'!$E$20</f>
        <v>Sveukupno (kn):</v>
      </c>
      <c r="F86" s="840"/>
      <c r="G86" s="29">
        <f>ROUND(SUM(G84:G85),2)</f>
        <v>72</v>
      </c>
      <c r="H86" s="271" t="e">
        <f>G79+H85</f>
        <v>#REF!</v>
      </c>
      <c r="M86" s="840" t="str">
        <f>'Obrazac kalkulacije'!$E$20</f>
        <v>Sveukupno (kn):</v>
      </c>
      <c r="N86" s="840"/>
      <c r="O86" s="29">
        <f>ROUND(SUM(O84:O85),2)</f>
        <v>72</v>
      </c>
    </row>
    <row r="87" spans="1:15" ht="15" customHeight="1" thickTop="1"/>
    <row r="88" spans="1:15" ht="15" customHeight="1"/>
    <row r="89" spans="1:15" ht="15" customHeight="1"/>
    <row r="90" spans="1:15" ht="15" customHeight="1">
      <c r="C90" s="3" t="str">
        <f>'Obrazac kalkulacije'!$C$24</f>
        <v>IZVODITELJ:</v>
      </c>
      <c r="F90" s="841" t="str">
        <f>'Obrazac kalkulacije'!$F$24</f>
        <v>NARUČITELJ:</v>
      </c>
      <c r="G90" s="841"/>
      <c r="K90" s="3" t="str">
        <f>'Obrazac kalkulacije'!$C$24</f>
        <v>IZVODITELJ:</v>
      </c>
      <c r="N90" s="841" t="str">
        <f>'Obrazac kalkulacije'!$F$24</f>
        <v>NARUČITELJ:</v>
      </c>
      <c r="O90" s="841"/>
    </row>
    <row r="91" spans="1:15" ht="25.15" customHeight="1">
      <c r="C91" s="3" t="str">
        <f>'Obrazac kalkulacije'!$C$25</f>
        <v>__________________</v>
      </c>
      <c r="F91" s="841" t="str">
        <f>'Obrazac kalkulacije'!$F$25</f>
        <v>___________________</v>
      </c>
      <c r="G91" s="841"/>
      <c r="K91" s="3" t="str">
        <f>'Obrazac kalkulacije'!$C$25</f>
        <v>__________________</v>
      </c>
      <c r="N91" s="841" t="str">
        <f>'Obrazac kalkulacije'!$F$25</f>
        <v>___________________</v>
      </c>
      <c r="O91" s="841"/>
    </row>
    <row r="92" spans="1:15" ht="15" customHeight="1">
      <c r="F92" s="841"/>
      <c r="G92" s="841"/>
      <c r="N92" s="841"/>
      <c r="O92" s="841"/>
    </row>
    <row r="93" spans="1:15" ht="15" customHeight="1"/>
    <row r="94" spans="1:15" ht="15" customHeight="1">
      <c r="A94" s="144"/>
      <c r="B94" s="145" t="s">
        <v>762</v>
      </c>
      <c r="C94" s="836" t="s">
        <v>763</v>
      </c>
      <c r="D94" s="836"/>
      <c r="E94" s="836"/>
      <c r="F94" s="836"/>
      <c r="G94" s="836"/>
      <c r="I94" s="144"/>
      <c r="J94" s="145" t="s">
        <v>762</v>
      </c>
      <c r="K94" s="836" t="s">
        <v>763</v>
      </c>
      <c r="L94" s="836"/>
      <c r="M94" s="836"/>
      <c r="N94" s="836"/>
      <c r="O94" s="836"/>
    </row>
    <row r="95" spans="1:15" ht="15" customHeight="1">
      <c r="A95" s="38"/>
      <c r="B95" s="39" t="s">
        <v>764</v>
      </c>
      <c r="C95" s="860" t="s">
        <v>765</v>
      </c>
      <c r="D95" s="860"/>
      <c r="E95" s="860"/>
      <c r="F95" s="860"/>
      <c r="G95" s="860"/>
      <c r="I95" s="38"/>
      <c r="J95" s="39" t="s">
        <v>764</v>
      </c>
      <c r="K95" s="860" t="s">
        <v>765</v>
      </c>
      <c r="L95" s="860"/>
      <c r="M95" s="860"/>
      <c r="N95" s="860"/>
      <c r="O95" s="860"/>
    </row>
    <row r="96" spans="1:15" ht="150" customHeight="1">
      <c r="A96" s="40"/>
      <c r="B96" s="556" t="s">
        <v>778</v>
      </c>
      <c r="C96" s="852" t="s">
        <v>779</v>
      </c>
      <c r="D96" s="852"/>
      <c r="E96" s="852"/>
      <c r="F96" s="852"/>
      <c r="G96" s="852"/>
      <c r="I96" s="40"/>
      <c r="J96" s="41" t="s">
        <v>778</v>
      </c>
      <c r="K96" s="869" t="s">
        <v>780</v>
      </c>
      <c r="L96" s="869"/>
      <c r="M96" s="869"/>
      <c r="N96" s="869"/>
      <c r="O96" s="869"/>
    </row>
    <row r="97" spans="1:15" ht="15" customHeight="1" thickBot="1"/>
    <row r="98" spans="1:15" s="11" customFormat="1" ht="30" customHeight="1" thickTop="1" thickBot="1">
      <c r="A98" s="10"/>
      <c r="B98" s="835" t="s">
        <v>624</v>
      </c>
      <c r="C98" s="835"/>
      <c r="D98" s="10" t="s">
        <v>625</v>
      </c>
      <c r="E98" s="10" t="s">
        <v>626</v>
      </c>
      <c r="F98" s="10" t="s">
        <v>627</v>
      </c>
      <c r="G98" s="10" t="s">
        <v>628</v>
      </c>
      <c r="I98" s="10"/>
      <c r="J98" s="835" t="s">
        <v>624</v>
      </c>
      <c r="K98" s="835"/>
      <c r="L98" s="10" t="s">
        <v>625</v>
      </c>
      <c r="M98" s="10" t="s">
        <v>626</v>
      </c>
      <c r="N98" s="10" t="s">
        <v>627</v>
      </c>
      <c r="O98" s="10" t="s">
        <v>628</v>
      </c>
    </row>
    <row r="99" spans="1:15" s="12" customFormat="1" ht="4.5" customHeight="1" thickTop="1">
      <c r="A99" s="1"/>
      <c r="B99" s="42"/>
      <c r="C99" s="1"/>
      <c r="D99" s="11"/>
      <c r="E99" s="13"/>
      <c r="F99" s="258"/>
      <c r="G99" s="15"/>
      <c r="I99" s="1"/>
      <c r="J99" s="42"/>
      <c r="K99" s="1"/>
      <c r="L99" s="11"/>
      <c r="M99" s="13"/>
      <c r="N99" s="258"/>
      <c r="O99" s="15"/>
    </row>
    <row r="100" spans="1:15" s="12" customFormat="1" ht="25.15" customHeight="1">
      <c r="A100" s="16"/>
      <c r="B100" s="837" t="s">
        <v>565</v>
      </c>
      <c r="C100" s="837"/>
      <c r="D100" s="16"/>
      <c r="E100" s="16"/>
      <c r="F100" s="44"/>
      <c r="G100" s="18">
        <f>SUM(G101:G101)</f>
        <v>98.728200000000001</v>
      </c>
      <c r="I100" s="16"/>
      <c r="J100" s="837" t="s">
        <v>565</v>
      </c>
      <c r="K100" s="837"/>
      <c r="L100" s="16"/>
      <c r="M100" s="16"/>
      <c r="N100" s="44"/>
      <c r="O100" s="18">
        <f>SUM(O101:O101)</f>
        <v>98.728200000000001</v>
      </c>
    </row>
    <row r="101" spans="1:15" s="12" customFormat="1" ht="25.15" customHeight="1">
      <c r="A101" s="32"/>
      <c r="B101" s="854" t="s">
        <v>57</v>
      </c>
      <c r="C101" s="854"/>
      <c r="D101" s="33" t="s">
        <v>51</v>
      </c>
      <c r="E101" s="34">
        <v>0.94</v>
      </c>
      <c r="F101" s="268">
        <f>SUMIF('Cjenik RS'!$C$11:$C$26,$B101,'Cjenik RS'!$D$11:$D$90)</f>
        <v>105.03</v>
      </c>
      <c r="G101" s="35">
        <f>+F101*E101</f>
        <v>98.728200000000001</v>
      </c>
      <c r="I101" s="32"/>
      <c r="J101" s="854" t="s">
        <v>57</v>
      </c>
      <c r="K101" s="854"/>
      <c r="L101" s="33" t="s">
        <v>51</v>
      </c>
      <c r="M101" s="34">
        <v>0.94</v>
      </c>
      <c r="N101" s="268">
        <f>SUMIF('Cjenik RS'!$C$11:$C$26,J101,'Cjenik RS'!$D$11:$D$90)</f>
        <v>105.03</v>
      </c>
      <c r="O101" s="35">
        <f>+N101*M101</f>
        <v>98.728200000000001</v>
      </c>
    </row>
    <row r="102" spans="1:15" s="12" customFormat="1" ht="25.15" customHeight="1">
      <c r="A102" s="16"/>
      <c r="B102" s="837" t="s">
        <v>566</v>
      </c>
      <c r="C102" s="837"/>
      <c r="D102" s="16"/>
      <c r="E102" s="16"/>
      <c r="F102" s="238"/>
      <c r="G102" s="18">
        <f>SUM(G103:G103)</f>
        <v>36.638399999999997</v>
      </c>
      <c r="I102" s="16"/>
      <c r="J102" s="837" t="s">
        <v>566</v>
      </c>
      <c r="K102" s="837"/>
      <c r="L102" s="16"/>
      <c r="M102" s="16"/>
      <c r="N102" s="238"/>
      <c r="O102" s="18">
        <f>SUM(O103:O103)</f>
        <v>36.638399999999997</v>
      </c>
    </row>
    <row r="103" spans="1:15" s="12" customFormat="1" ht="25.15" customHeight="1">
      <c r="A103" s="16"/>
      <c r="B103" s="849" t="s">
        <v>69</v>
      </c>
      <c r="C103" s="849"/>
      <c r="D103" s="52" t="s">
        <v>51</v>
      </c>
      <c r="E103" s="86">
        <v>0.20399999999999999</v>
      </c>
      <c r="F103" s="260">
        <f>SUMIF('Cjenik VSO'!$B$9:$B$85,$B103,'Cjenik VSO'!$C$9:$C$85)</f>
        <v>179.6</v>
      </c>
      <c r="G103" s="54">
        <f>E103*F103</f>
        <v>36.638399999999997</v>
      </c>
      <c r="I103" s="16"/>
      <c r="J103" s="849" t="s">
        <v>69</v>
      </c>
      <c r="K103" s="849"/>
      <c r="L103" s="52" t="s">
        <v>51</v>
      </c>
      <c r="M103" s="86">
        <v>0.20399999999999999</v>
      </c>
      <c r="N103" s="260">
        <f>SUMIF('Cjenik VSO'!$B$9:$B$85,$B103,'Cjenik VSO'!$C$9:$C$85)</f>
        <v>179.6</v>
      </c>
      <c r="O103" s="54">
        <f>M103*N103</f>
        <v>36.638399999999997</v>
      </c>
    </row>
    <row r="104" spans="1:15" s="12" customFormat="1" ht="25.15" customHeight="1">
      <c r="A104" s="16"/>
      <c r="B104" s="837" t="s">
        <v>630</v>
      </c>
      <c r="C104" s="837"/>
      <c r="D104" s="16"/>
      <c r="E104" s="16"/>
      <c r="F104" s="238"/>
      <c r="G104" s="18">
        <f>SUM(G105:G105)</f>
        <v>0</v>
      </c>
      <c r="I104" s="16"/>
      <c r="J104" s="837" t="s">
        <v>630</v>
      </c>
      <c r="K104" s="837"/>
      <c r="L104" s="16"/>
      <c r="M104" s="16"/>
      <c r="N104" s="238"/>
      <c r="O104" s="18">
        <f>SUM(O105:O105)</f>
        <v>0</v>
      </c>
    </row>
    <row r="105" spans="1:15" s="12" customFormat="1" ht="25.15" customHeight="1" thickBot="1">
      <c r="A105" s="66"/>
      <c r="B105" s="859">
        <f>'Cjenik M'!$B$31</f>
        <v>0</v>
      </c>
      <c r="C105" s="859"/>
      <c r="D105" s="67">
        <f>'Cjenik M'!$C$31</f>
        <v>0</v>
      </c>
      <c r="E105" s="554">
        <v>0.03</v>
      </c>
      <c r="F105" s="262">
        <f>'Cjenik M'!$D$31</f>
        <v>0</v>
      </c>
      <c r="G105" s="70">
        <f>E105*F105</f>
        <v>0</v>
      </c>
      <c r="I105" s="66"/>
      <c r="J105" s="859">
        <f>'Cjenik M'!$B$31</f>
        <v>0</v>
      </c>
      <c r="K105" s="859"/>
      <c r="L105" s="67">
        <f>'Cjenik M'!$C$31</f>
        <v>0</v>
      </c>
      <c r="M105" s="68">
        <v>5.0000000000000001E-3</v>
      </c>
      <c r="N105" s="262">
        <f>'Cjenik M'!$D$31</f>
        <v>0</v>
      </c>
      <c r="O105" s="70">
        <f>M105*N105</f>
        <v>0</v>
      </c>
    </row>
    <row r="106" spans="1:15" ht="25.15" customHeight="1" thickTop="1" thickBot="1">
      <c r="B106" s="47"/>
      <c r="C106" s="24"/>
      <c r="D106" s="25"/>
      <c r="E106" s="850" t="str">
        <f>'Obrazac kalkulacije'!$E$18</f>
        <v>Ukupno (kn):</v>
      </c>
      <c r="F106" s="850"/>
      <c r="G106" s="26">
        <f>ROUND(SUM(G100+G102+G104),2)</f>
        <v>135.37</v>
      </c>
      <c r="H106" s="269" t="e">
        <f>SUMIF(#REF!,$B96,#REF!)</f>
        <v>#REF!</v>
      </c>
      <c r="J106" s="47"/>
      <c r="K106" s="24"/>
      <c r="L106" s="25"/>
      <c r="M106" s="850" t="str">
        <f>'Obrazac kalkulacije'!$E$18</f>
        <v>Ukupno (kn):</v>
      </c>
      <c r="N106" s="850"/>
      <c r="O106" s="26">
        <f>ROUND(SUM(O100+O102+O104),2)</f>
        <v>135.37</v>
      </c>
    </row>
    <row r="107" spans="1:15" ht="25.15" customHeight="1" thickTop="1" thickBot="1">
      <c r="E107" s="27" t="str">
        <f>'Obrazac kalkulacije'!$E$19</f>
        <v>PDV:</v>
      </c>
      <c r="F107" s="259">
        <f>'Obrazac kalkulacije'!$F$19</f>
        <v>0.25</v>
      </c>
      <c r="G107" s="29">
        <f>G106*F107</f>
        <v>33.842500000000001</v>
      </c>
      <c r="H107" s="270" t="e">
        <f>H106-G106</f>
        <v>#REF!</v>
      </c>
      <c r="M107" s="27" t="str">
        <f>'Obrazac kalkulacije'!$E$19</f>
        <v>PDV:</v>
      </c>
      <c r="N107" s="259">
        <f>'Obrazac kalkulacije'!$F$19</f>
        <v>0.25</v>
      </c>
      <c r="O107" s="29">
        <f>O106*N107</f>
        <v>33.842500000000001</v>
      </c>
    </row>
    <row r="108" spans="1:15" ht="25.15" customHeight="1" thickTop="1" thickBot="1">
      <c r="E108" s="840" t="str">
        <f>'Obrazac kalkulacije'!$E$20</f>
        <v>Sveukupno (kn):</v>
      </c>
      <c r="F108" s="840"/>
      <c r="G108" s="29">
        <f>ROUND(SUM(G106:G107),2)</f>
        <v>169.21</v>
      </c>
      <c r="H108" s="271" t="e">
        <f>G103+H107</f>
        <v>#REF!</v>
      </c>
      <c r="M108" s="840" t="str">
        <f>'Obrazac kalkulacije'!$E$20</f>
        <v>Sveukupno (kn):</v>
      </c>
      <c r="N108" s="840"/>
      <c r="O108" s="29">
        <f>ROUND(SUM(O106:O107),2)</f>
        <v>169.21</v>
      </c>
    </row>
    <row r="109" spans="1:15" ht="15" customHeight="1" thickTop="1"/>
    <row r="110" spans="1:15" ht="15" customHeight="1"/>
    <row r="111" spans="1:15" ht="15" customHeight="1"/>
    <row r="112" spans="1:15" ht="15" customHeight="1">
      <c r="C112" s="3" t="str">
        <f>'Obrazac kalkulacije'!$C$24</f>
        <v>IZVODITELJ:</v>
      </c>
      <c r="F112" s="841" t="str">
        <f>'Obrazac kalkulacije'!$F$24</f>
        <v>NARUČITELJ:</v>
      </c>
      <c r="G112" s="841"/>
      <c r="K112" s="3" t="str">
        <f>'Obrazac kalkulacije'!$C$24</f>
        <v>IZVODITELJ:</v>
      </c>
      <c r="N112" s="841" t="str">
        <f>'Obrazac kalkulacije'!$F$24</f>
        <v>NARUČITELJ:</v>
      </c>
      <c r="O112" s="841"/>
    </row>
    <row r="113" spans="1:15" ht="25.15" customHeight="1">
      <c r="C113" s="3" t="str">
        <f>'Obrazac kalkulacije'!$C$25</f>
        <v>__________________</v>
      </c>
      <c r="F113" s="841" t="str">
        <f>'Obrazac kalkulacije'!$F$25</f>
        <v>___________________</v>
      </c>
      <c r="G113" s="841"/>
      <c r="K113" s="3" t="str">
        <f>'Obrazac kalkulacije'!$C$25</f>
        <v>__________________</v>
      </c>
      <c r="N113" s="841" t="str">
        <f>'Obrazac kalkulacije'!$F$25</f>
        <v>___________________</v>
      </c>
      <c r="O113" s="841"/>
    </row>
    <row r="114" spans="1:15" ht="15" customHeight="1">
      <c r="F114" s="841"/>
      <c r="G114" s="841"/>
      <c r="N114" s="841"/>
      <c r="O114" s="841"/>
    </row>
    <row r="115" spans="1:15" ht="15" customHeight="1"/>
    <row r="116" spans="1:15" ht="15" customHeight="1">
      <c r="A116" s="274"/>
      <c r="B116" s="145" t="s">
        <v>762</v>
      </c>
      <c r="C116" s="836" t="s">
        <v>763</v>
      </c>
      <c r="D116" s="836"/>
      <c r="E116" s="836"/>
      <c r="F116" s="836"/>
      <c r="G116" s="836"/>
      <c r="I116" s="144"/>
      <c r="J116" s="145" t="s">
        <v>762</v>
      </c>
      <c r="K116" s="836" t="s">
        <v>763</v>
      </c>
      <c r="L116" s="836"/>
      <c r="M116" s="836"/>
      <c r="N116" s="836"/>
      <c r="O116" s="836"/>
    </row>
    <row r="117" spans="1:15" ht="15" customHeight="1">
      <c r="A117" s="275"/>
      <c r="B117" s="39" t="s">
        <v>781</v>
      </c>
      <c r="C117" s="860" t="s">
        <v>782</v>
      </c>
      <c r="D117" s="860"/>
      <c r="E117" s="860"/>
      <c r="F117" s="860"/>
      <c r="G117" s="860"/>
      <c r="I117" s="38"/>
      <c r="J117" s="39" t="s">
        <v>781</v>
      </c>
      <c r="K117" s="860" t="s">
        <v>782</v>
      </c>
      <c r="L117" s="860"/>
      <c r="M117" s="860"/>
      <c r="N117" s="860"/>
      <c r="O117" s="860"/>
    </row>
    <row r="118" spans="1:15" ht="150" customHeight="1">
      <c r="A118" s="276"/>
      <c r="B118" s="556" t="s">
        <v>783</v>
      </c>
      <c r="C118" s="852" t="s">
        <v>784</v>
      </c>
      <c r="D118" s="852"/>
      <c r="E118" s="852"/>
      <c r="F118" s="852"/>
      <c r="G118" s="852"/>
      <c r="I118" s="40"/>
      <c r="J118" s="41" t="s">
        <v>783</v>
      </c>
      <c r="K118" s="869" t="s">
        <v>785</v>
      </c>
      <c r="L118" s="869"/>
      <c r="M118" s="869"/>
      <c r="N118" s="869"/>
      <c r="O118" s="869"/>
    </row>
    <row r="119" spans="1:15" ht="15" customHeight="1" thickBot="1">
      <c r="A119" s="277"/>
    </row>
    <row r="120" spans="1:15" ht="25.15" customHeight="1" thickTop="1" thickBot="1">
      <c r="A120" s="277"/>
      <c r="C120" s="615"/>
      <c r="E120" s="850" t="str">
        <f>'Obrazac kalkulacije'!$E$18</f>
        <v>Ukupno (kn):</v>
      </c>
      <c r="F120" s="850"/>
      <c r="G120" s="31">
        <v>1</v>
      </c>
      <c r="M120" s="850" t="str">
        <f>'Obrazac kalkulacije'!$E$18</f>
        <v>Ukupno (kn):</v>
      </c>
      <c r="N120" s="850"/>
      <c r="O120" s="31">
        <v>1</v>
      </c>
    </row>
    <row r="121" spans="1:15" ht="25.15" customHeight="1" thickTop="1" thickBot="1">
      <c r="A121" s="277"/>
      <c r="E121" s="27" t="str">
        <f>'Obrazac kalkulacije'!$E$19</f>
        <v>PDV:</v>
      </c>
      <c r="F121" s="259">
        <f>'Obrazac kalkulacije'!$F$19</f>
        <v>0.25</v>
      </c>
      <c r="G121" s="29">
        <f>G120*F121</f>
        <v>0.25</v>
      </c>
      <c r="M121" s="27" t="str">
        <f>'Obrazac kalkulacije'!$E$19</f>
        <v>PDV:</v>
      </c>
      <c r="N121" s="259">
        <f>'Obrazac kalkulacije'!$F$19</f>
        <v>0.25</v>
      </c>
      <c r="O121" s="29">
        <f>O120*N121</f>
        <v>0.25</v>
      </c>
    </row>
    <row r="122" spans="1:15" ht="25.15" customHeight="1" thickTop="1" thickBot="1">
      <c r="A122" s="277"/>
      <c r="E122" s="840" t="str">
        <f>'Obrazac kalkulacije'!$E$20</f>
        <v>Sveukupno (kn):</v>
      </c>
      <c r="F122" s="840"/>
      <c r="G122" s="29">
        <f>ROUND(SUM(G120:G121),2)</f>
        <v>1.25</v>
      </c>
      <c r="M122" s="840" t="str">
        <f>'Obrazac kalkulacije'!$E$20</f>
        <v>Sveukupno (kn):</v>
      </c>
      <c r="N122" s="840"/>
      <c r="O122" s="29">
        <f>ROUND(SUM(O120:O121),2)</f>
        <v>1.25</v>
      </c>
    </row>
    <row r="123" spans="1:15" ht="15" customHeight="1" thickTop="1">
      <c r="A123" s="277"/>
      <c r="B123" s="278"/>
      <c r="C123" s="279"/>
      <c r="D123" s="280"/>
      <c r="E123" s="281"/>
      <c r="F123" s="283"/>
      <c r="G123" s="282"/>
    </row>
    <row r="124" spans="1:15" ht="15" customHeight="1">
      <c r="A124" s="277"/>
      <c r="B124" s="278"/>
      <c r="C124" s="279"/>
      <c r="D124" s="280"/>
      <c r="E124" s="281"/>
      <c r="F124" s="283"/>
      <c r="G124" s="282"/>
    </row>
    <row r="125" spans="1:15" ht="15" customHeight="1">
      <c r="A125" s="277"/>
      <c r="B125" s="278"/>
      <c r="C125" s="279"/>
      <c r="D125" s="280"/>
      <c r="E125" s="281"/>
      <c r="F125" s="283"/>
      <c r="G125" s="282"/>
    </row>
    <row r="126" spans="1:15" ht="15" customHeight="1">
      <c r="A126" s="277"/>
      <c r="B126" s="278"/>
      <c r="C126" s="3" t="str">
        <f>'Obrazac kalkulacije'!$C$24</f>
        <v>IZVODITELJ:</v>
      </c>
      <c r="F126" s="841" t="str">
        <f>'Obrazac kalkulacije'!$F$24</f>
        <v>NARUČITELJ:</v>
      </c>
      <c r="G126" s="841"/>
      <c r="K126" s="3" t="str">
        <f>'Obrazac kalkulacije'!$C$24</f>
        <v>IZVODITELJ:</v>
      </c>
      <c r="N126" s="841" t="str">
        <f>'Obrazac kalkulacije'!$F$24</f>
        <v>NARUČITELJ:</v>
      </c>
      <c r="O126" s="841"/>
    </row>
    <row r="127" spans="1:15" ht="25.15" customHeight="1">
      <c r="A127" s="277"/>
      <c r="B127" s="278"/>
      <c r="C127" s="3" t="str">
        <f>'Obrazac kalkulacije'!$C$25</f>
        <v>__________________</v>
      </c>
      <c r="F127" s="841" t="str">
        <f>'Obrazac kalkulacije'!$F$25</f>
        <v>___________________</v>
      </c>
      <c r="G127" s="841"/>
      <c r="K127" s="3" t="str">
        <f>'Obrazac kalkulacije'!$C$25</f>
        <v>__________________</v>
      </c>
      <c r="N127" s="841" t="str">
        <f>'Obrazac kalkulacije'!$F$25</f>
        <v>___________________</v>
      </c>
      <c r="O127" s="841"/>
    </row>
    <row r="128" spans="1:15" ht="15" customHeight="1">
      <c r="A128" s="277"/>
      <c r="B128" s="278"/>
      <c r="C128" s="279"/>
      <c r="D128" s="280"/>
      <c r="E128" s="281"/>
      <c r="F128" s="874"/>
      <c r="G128" s="874"/>
      <c r="N128" s="841"/>
      <c r="O128" s="841"/>
    </row>
    <row r="129" spans="1:15" ht="15" customHeight="1"/>
    <row r="130" spans="1:15" ht="15" customHeight="1">
      <c r="A130" s="144"/>
      <c r="B130" s="145" t="s">
        <v>762</v>
      </c>
      <c r="C130" s="836" t="s">
        <v>763</v>
      </c>
      <c r="D130" s="836"/>
      <c r="E130" s="836"/>
      <c r="F130" s="836"/>
      <c r="G130" s="836"/>
      <c r="I130" s="144"/>
      <c r="J130" s="145" t="s">
        <v>762</v>
      </c>
      <c r="K130" s="836" t="s">
        <v>763</v>
      </c>
      <c r="L130" s="836"/>
      <c r="M130" s="836"/>
      <c r="N130" s="836"/>
      <c r="O130" s="836"/>
    </row>
    <row r="131" spans="1:15" ht="15" customHeight="1">
      <c r="A131" s="38"/>
      <c r="B131" s="39" t="s">
        <v>786</v>
      </c>
      <c r="C131" s="860" t="s">
        <v>787</v>
      </c>
      <c r="D131" s="860"/>
      <c r="E131" s="860"/>
      <c r="F131" s="860"/>
      <c r="G131" s="860"/>
      <c r="I131" s="38"/>
      <c r="J131" s="39" t="s">
        <v>786</v>
      </c>
      <c r="K131" s="860" t="s">
        <v>787</v>
      </c>
      <c r="L131" s="860"/>
      <c r="M131" s="860"/>
      <c r="N131" s="860"/>
      <c r="O131" s="860"/>
    </row>
    <row r="132" spans="1:15" ht="150" customHeight="1">
      <c r="A132" s="40"/>
      <c r="B132" s="556" t="s">
        <v>788</v>
      </c>
      <c r="C132" s="852" t="s">
        <v>789</v>
      </c>
      <c r="D132" s="852"/>
      <c r="E132" s="852"/>
      <c r="F132" s="852"/>
      <c r="G132" s="852"/>
      <c r="I132" s="40"/>
      <c r="J132" s="41" t="s">
        <v>788</v>
      </c>
      <c r="K132" s="869" t="s">
        <v>789</v>
      </c>
      <c r="L132" s="869"/>
      <c r="M132" s="869"/>
      <c r="N132" s="869"/>
      <c r="O132" s="869"/>
    </row>
    <row r="133" spans="1:15" ht="15" customHeight="1" thickBot="1"/>
    <row r="134" spans="1:15" s="11" customFormat="1" ht="30" customHeight="1" thickTop="1" thickBot="1">
      <c r="A134" s="10"/>
      <c r="B134" s="835" t="s">
        <v>624</v>
      </c>
      <c r="C134" s="835"/>
      <c r="D134" s="10" t="s">
        <v>625</v>
      </c>
      <c r="E134" s="10" t="s">
        <v>626</v>
      </c>
      <c r="F134" s="10" t="s">
        <v>627</v>
      </c>
      <c r="G134" s="10" t="s">
        <v>628</v>
      </c>
      <c r="I134" s="10"/>
      <c r="J134" s="835" t="s">
        <v>624</v>
      </c>
      <c r="K134" s="835"/>
      <c r="L134" s="10" t="s">
        <v>625</v>
      </c>
      <c r="M134" s="10" t="s">
        <v>626</v>
      </c>
      <c r="N134" s="10" t="s">
        <v>627</v>
      </c>
      <c r="O134" s="10" t="s">
        <v>628</v>
      </c>
    </row>
    <row r="135" spans="1:15" s="12" customFormat="1" ht="4.5" customHeight="1" thickTop="1">
      <c r="A135" s="1"/>
      <c r="B135" s="42"/>
      <c r="C135" s="1"/>
      <c r="D135" s="11"/>
      <c r="E135" s="13"/>
      <c r="F135" s="258"/>
      <c r="G135" s="15"/>
      <c r="I135" s="1"/>
      <c r="J135" s="42"/>
      <c r="K135" s="1"/>
      <c r="L135" s="11"/>
      <c r="M135" s="13"/>
      <c r="N135" s="258"/>
      <c r="O135" s="15"/>
    </row>
    <row r="136" spans="1:15" s="12" customFormat="1" ht="25.15" customHeight="1">
      <c r="A136" s="16"/>
      <c r="B136" s="837" t="s">
        <v>565</v>
      </c>
      <c r="C136" s="837"/>
      <c r="D136" s="16"/>
      <c r="E136" s="16"/>
      <c r="F136" s="44"/>
      <c r="G136" s="18">
        <f>SUM(G137:G137)</f>
        <v>701.60039999999992</v>
      </c>
      <c r="I136" s="16"/>
      <c r="J136" s="837" t="s">
        <v>565</v>
      </c>
      <c r="K136" s="837"/>
      <c r="L136" s="16"/>
      <c r="M136" s="16"/>
      <c r="N136" s="44"/>
      <c r="O136" s="18">
        <f>SUM(O137:O137)</f>
        <v>701.60039999999992</v>
      </c>
    </row>
    <row r="137" spans="1:15" s="12" customFormat="1" ht="25.15" customHeight="1">
      <c r="A137" s="32"/>
      <c r="B137" s="854" t="s">
        <v>57</v>
      </c>
      <c r="C137" s="854"/>
      <c r="D137" s="33" t="s">
        <v>51</v>
      </c>
      <c r="E137" s="34">
        <v>6.68</v>
      </c>
      <c r="F137" s="238">
        <f>SUMIF('Cjenik RS'!$C$11:$C$26,$B137,'Cjenik RS'!$D$11:$D$90)</f>
        <v>105.03</v>
      </c>
      <c r="G137" s="35">
        <f>+F137*E137</f>
        <v>701.60039999999992</v>
      </c>
      <c r="I137" s="32"/>
      <c r="J137" s="854" t="s">
        <v>57</v>
      </c>
      <c r="K137" s="854"/>
      <c r="L137" s="33" t="s">
        <v>51</v>
      </c>
      <c r="M137" s="34">
        <v>6.68</v>
      </c>
      <c r="N137" s="268">
        <f>SUMIF('Cjenik RS'!$C$11:$C$26,J137,'Cjenik RS'!$D$11:$D$90)</f>
        <v>105.03</v>
      </c>
      <c r="O137" s="35">
        <f>+N137*M137</f>
        <v>701.60039999999992</v>
      </c>
    </row>
    <row r="138" spans="1:15" s="12" customFormat="1" ht="25.15" customHeight="1">
      <c r="A138" s="16"/>
      <c r="B138" s="837" t="s">
        <v>566</v>
      </c>
      <c r="C138" s="837"/>
      <c r="D138" s="16"/>
      <c r="E138" s="16"/>
      <c r="F138" s="238"/>
      <c r="G138" s="18">
        <f>SUM(G139:G140)</f>
        <v>394.03365724000003</v>
      </c>
      <c r="I138" s="16"/>
      <c r="J138" s="837" t="s">
        <v>566</v>
      </c>
      <c r="K138" s="837"/>
      <c r="L138" s="16"/>
      <c r="M138" s="16"/>
      <c r="N138" s="238"/>
      <c r="O138" s="18">
        <f>SUM(O139:O140)</f>
        <v>394.03365724000003</v>
      </c>
    </row>
    <row r="139" spans="1:15" s="12" customFormat="1" ht="25.15" customHeight="1">
      <c r="A139" s="51"/>
      <c r="B139" s="849" t="s">
        <v>69</v>
      </c>
      <c r="C139" s="849"/>
      <c r="D139" s="52" t="s">
        <v>51</v>
      </c>
      <c r="E139" s="86">
        <v>1.1111</v>
      </c>
      <c r="F139" s="260">
        <f>SUMIF('Cjenik VSO'!$B$9:$B$85,$B139,'Cjenik VSO'!$C$9:$C$85)</f>
        <v>179.6</v>
      </c>
      <c r="G139" s="54">
        <f>E139*F139</f>
        <v>199.55355999999998</v>
      </c>
      <c r="I139" s="51"/>
      <c r="J139" s="849" t="s">
        <v>69</v>
      </c>
      <c r="K139" s="849"/>
      <c r="L139" s="52" t="s">
        <v>51</v>
      </c>
      <c r="M139" s="86">
        <v>1.1111</v>
      </c>
      <c r="N139" s="260">
        <f>SUMIF('Cjenik VSO'!$B$9:$B$85,$B139,'Cjenik VSO'!$C$9:$C$85)</f>
        <v>179.6</v>
      </c>
      <c r="O139" s="54">
        <f>M139*N139</f>
        <v>199.55355999999998</v>
      </c>
    </row>
    <row r="140" spans="1:15" s="12" customFormat="1" ht="25.15" customHeight="1">
      <c r="A140" s="61"/>
      <c r="B140" s="855" t="s">
        <v>73</v>
      </c>
      <c r="C140" s="855"/>
      <c r="D140" s="62" t="s">
        <v>51</v>
      </c>
      <c r="E140" s="87">
        <v>0.66666700000000001</v>
      </c>
      <c r="F140" s="261">
        <f>SUMIF('Cjenik VSO'!$B$9:$B$85,$B140,'Cjenik VSO'!$C$9:$C$85)</f>
        <v>291.72000000000003</v>
      </c>
      <c r="G140" s="64">
        <f>E140*F140</f>
        <v>194.48009724000002</v>
      </c>
      <c r="I140" s="61"/>
      <c r="J140" s="855" t="s">
        <v>73</v>
      </c>
      <c r="K140" s="855"/>
      <c r="L140" s="62" t="s">
        <v>51</v>
      </c>
      <c r="M140" s="87">
        <v>0.66666700000000001</v>
      </c>
      <c r="N140" s="261">
        <f>SUMIF('Cjenik VSO'!$B$9:$B$85,$B140,'Cjenik VSO'!$C$9:$C$85)</f>
        <v>291.72000000000003</v>
      </c>
      <c r="O140" s="64">
        <f>M140*N140</f>
        <v>194.48009724000002</v>
      </c>
    </row>
    <row r="141" spans="1:15" s="12" customFormat="1" ht="25.15" customHeight="1">
      <c r="A141" s="16"/>
      <c r="B141" s="837" t="s">
        <v>630</v>
      </c>
      <c r="C141" s="837"/>
      <c r="D141" s="16"/>
      <c r="E141" s="16"/>
      <c r="F141" s="238"/>
      <c r="G141" s="18">
        <f>SUM(G142:G142)</f>
        <v>0</v>
      </c>
      <c r="I141" s="16"/>
      <c r="J141" s="837" t="s">
        <v>630</v>
      </c>
      <c r="K141" s="837"/>
      <c r="L141" s="16"/>
      <c r="M141" s="16"/>
      <c r="N141" s="238"/>
      <c r="O141" s="18">
        <f>SUM(O142:O142)</f>
        <v>0</v>
      </c>
    </row>
    <row r="142" spans="1:15" s="12" customFormat="1" ht="25.15" customHeight="1" thickBot="1">
      <c r="A142" s="66"/>
      <c r="B142" s="859">
        <f>'Cjenik M'!$B$87</f>
        <v>0</v>
      </c>
      <c r="C142" s="859"/>
      <c r="D142" s="67">
        <f>'Cjenik M'!$C$87</f>
        <v>0</v>
      </c>
      <c r="E142" s="68">
        <v>1</v>
      </c>
      <c r="F142" s="262">
        <f>'Cjenik M'!$D$87</f>
        <v>0</v>
      </c>
      <c r="G142" s="70">
        <f>E142*F142</f>
        <v>0</v>
      </c>
      <c r="I142" s="66"/>
      <c r="J142" s="859">
        <f>'Cjenik M'!$B$87</f>
        <v>0</v>
      </c>
      <c r="K142" s="859"/>
      <c r="L142" s="67">
        <f>'Cjenik M'!$C$87</f>
        <v>0</v>
      </c>
      <c r="M142" s="68">
        <v>1</v>
      </c>
      <c r="N142" s="262">
        <f>'Cjenik M'!$D$87</f>
        <v>0</v>
      </c>
      <c r="O142" s="70">
        <f>M142*N142</f>
        <v>0</v>
      </c>
    </row>
    <row r="143" spans="1:15" ht="25.15" customHeight="1" thickTop="1" thickBot="1">
      <c r="B143" s="47"/>
      <c r="C143" s="24"/>
      <c r="D143" s="25"/>
      <c r="E143" s="850" t="str">
        <f>'Obrazac kalkulacije'!$E$18</f>
        <v>Ukupno (kn):</v>
      </c>
      <c r="F143" s="850"/>
      <c r="G143" s="26">
        <f>ROUND(SUM(G136+G138+G141),2)</f>
        <v>1095.6300000000001</v>
      </c>
      <c r="H143" s="269" t="e">
        <f>SUMIF(#REF!,$B132,#REF!)</f>
        <v>#REF!</v>
      </c>
      <c r="J143" s="47"/>
      <c r="K143" s="24"/>
      <c r="L143" s="25"/>
      <c r="M143" s="850" t="str">
        <f>'Obrazac kalkulacije'!$E$18</f>
        <v>Ukupno (kn):</v>
      </c>
      <c r="N143" s="850"/>
      <c r="O143" s="26">
        <f>ROUND(SUM(O136+O138+O141),2)</f>
        <v>1095.6300000000001</v>
      </c>
    </row>
    <row r="144" spans="1:15" ht="25.15" customHeight="1" thickTop="1" thickBot="1">
      <c r="E144" s="27" t="str">
        <f>'Obrazac kalkulacije'!$E$19</f>
        <v>PDV:</v>
      </c>
      <c r="F144" s="259">
        <f>'Obrazac kalkulacije'!$F$19</f>
        <v>0.25</v>
      </c>
      <c r="G144" s="29">
        <f>G143*F144</f>
        <v>273.90750000000003</v>
      </c>
      <c r="H144" s="270" t="e">
        <f>H143-G143</f>
        <v>#REF!</v>
      </c>
      <c r="M144" s="27" t="str">
        <f>'Obrazac kalkulacije'!$E$19</f>
        <v>PDV:</v>
      </c>
      <c r="N144" s="259">
        <f>'Obrazac kalkulacije'!$F$19</f>
        <v>0.25</v>
      </c>
      <c r="O144" s="29">
        <f>O143*N144</f>
        <v>273.90750000000003</v>
      </c>
    </row>
    <row r="145" spans="1:15" ht="25.15" customHeight="1" thickTop="1" thickBot="1">
      <c r="E145" s="840" t="str">
        <f>'Obrazac kalkulacije'!$E$20</f>
        <v>Sveukupno (kn):</v>
      </c>
      <c r="F145" s="840"/>
      <c r="G145" s="29">
        <f>ROUND(SUM(G143:G144),2)</f>
        <v>1369.54</v>
      </c>
      <c r="H145" s="271" t="e">
        <f>G140+H144</f>
        <v>#REF!</v>
      </c>
      <c r="M145" s="840" t="str">
        <f>'Obrazac kalkulacije'!$E$20</f>
        <v>Sveukupno (kn):</v>
      </c>
      <c r="N145" s="840"/>
      <c r="O145" s="29">
        <f>ROUND(SUM(O143:O144),2)</f>
        <v>1369.54</v>
      </c>
    </row>
    <row r="146" spans="1:15" ht="15" customHeight="1" thickTop="1"/>
    <row r="147" spans="1:15" ht="15" customHeight="1"/>
    <row r="148" spans="1:15" ht="15" customHeight="1"/>
    <row r="149" spans="1:15" ht="15" customHeight="1">
      <c r="C149" s="3" t="str">
        <f>'Obrazac kalkulacije'!$C$24</f>
        <v>IZVODITELJ:</v>
      </c>
      <c r="F149" s="841" t="str">
        <f>'Obrazac kalkulacije'!$F$24</f>
        <v>NARUČITELJ:</v>
      </c>
      <c r="G149" s="841"/>
      <c r="K149" s="3" t="str">
        <f>'Obrazac kalkulacije'!$C$24</f>
        <v>IZVODITELJ:</v>
      </c>
      <c r="N149" s="841" t="str">
        <f>'Obrazac kalkulacije'!$F$24</f>
        <v>NARUČITELJ:</v>
      </c>
      <c r="O149" s="841"/>
    </row>
    <row r="150" spans="1:15" ht="25.15" customHeight="1">
      <c r="C150" s="3" t="str">
        <f>'Obrazac kalkulacije'!$C$25</f>
        <v>__________________</v>
      </c>
      <c r="F150" s="841" t="str">
        <f>'Obrazac kalkulacije'!$F$25</f>
        <v>___________________</v>
      </c>
      <c r="G150" s="841"/>
      <c r="K150" s="3" t="str">
        <f>'Obrazac kalkulacije'!$C$25</f>
        <v>__________________</v>
      </c>
      <c r="N150" s="841" t="str">
        <f>'Obrazac kalkulacije'!$F$25</f>
        <v>___________________</v>
      </c>
      <c r="O150" s="841"/>
    </row>
    <row r="151" spans="1:15" ht="15" customHeight="1">
      <c r="F151" s="841"/>
      <c r="G151" s="841"/>
      <c r="N151" s="841"/>
      <c r="O151" s="841"/>
    </row>
    <row r="152" spans="1:15" ht="15" customHeight="1"/>
    <row r="153" spans="1:15" ht="15" customHeight="1">
      <c r="A153" s="144"/>
      <c r="B153" s="145" t="s">
        <v>762</v>
      </c>
      <c r="C153" s="836" t="s">
        <v>763</v>
      </c>
      <c r="D153" s="836"/>
      <c r="E153" s="836"/>
      <c r="F153" s="836"/>
      <c r="G153" s="836"/>
      <c r="I153" s="144"/>
      <c r="J153" s="145" t="s">
        <v>762</v>
      </c>
      <c r="K153" s="836" t="s">
        <v>763</v>
      </c>
      <c r="L153" s="836"/>
      <c r="M153" s="836"/>
      <c r="N153" s="836"/>
      <c r="O153" s="836"/>
    </row>
    <row r="154" spans="1:15" ht="15" customHeight="1">
      <c r="A154" s="38"/>
      <c r="B154" s="39" t="s">
        <v>786</v>
      </c>
      <c r="C154" s="860" t="s">
        <v>787</v>
      </c>
      <c r="D154" s="860"/>
      <c r="E154" s="860"/>
      <c r="F154" s="860"/>
      <c r="G154" s="860"/>
      <c r="I154" s="38"/>
      <c r="J154" s="39" t="s">
        <v>786</v>
      </c>
      <c r="K154" s="860" t="s">
        <v>787</v>
      </c>
      <c r="L154" s="860"/>
      <c r="M154" s="860"/>
      <c r="N154" s="860"/>
      <c r="O154" s="860"/>
    </row>
    <row r="155" spans="1:15" ht="150" customHeight="1">
      <c r="A155" s="40"/>
      <c r="B155" s="556" t="s">
        <v>790</v>
      </c>
      <c r="C155" s="852" t="s">
        <v>791</v>
      </c>
      <c r="D155" s="852"/>
      <c r="E155" s="852"/>
      <c r="F155" s="852"/>
      <c r="G155" s="852"/>
      <c r="I155" s="40"/>
      <c r="J155" s="41" t="s">
        <v>790</v>
      </c>
      <c r="K155" s="869" t="s">
        <v>791</v>
      </c>
      <c r="L155" s="869"/>
      <c r="M155" s="869"/>
      <c r="N155" s="869"/>
      <c r="O155" s="869"/>
    </row>
    <row r="156" spans="1:15" ht="15" customHeight="1" thickBot="1"/>
    <row r="157" spans="1:15" s="11" customFormat="1" ht="30" customHeight="1" thickTop="1" thickBot="1">
      <c r="A157" s="10"/>
      <c r="B157" s="835" t="s">
        <v>624</v>
      </c>
      <c r="C157" s="835"/>
      <c r="D157" s="10" t="s">
        <v>625</v>
      </c>
      <c r="E157" s="10" t="s">
        <v>626</v>
      </c>
      <c r="F157" s="10" t="s">
        <v>627</v>
      </c>
      <c r="G157" s="10" t="s">
        <v>628</v>
      </c>
      <c r="I157" s="10"/>
      <c r="J157" s="835" t="s">
        <v>624</v>
      </c>
      <c r="K157" s="835"/>
      <c r="L157" s="10" t="s">
        <v>625</v>
      </c>
      <c r="M157" s="10" t="s">
        <v>626</v>
      </c>
      <c r="N157" s="10" t="s">
        <v>627</v>
      </c>
      <c r="O157" s="10" t="s">
        <v>628</v>
      </c>
    </row>
    <row r="158" spans="1:15" s="12" customFormat="1" ht="4.5" customHeight="1" thickTop="1">
      <c r="A158" s="1"/>
      <c r="B158" s="42"/>
      <c r="C158" s="1"/>
      <c r="D158" s="11"/>
      <c r="E158" s="13"/>
      <c r="F158" s="258"/>
      <c r="G158" s="15"/>
      <c r="I158" s="1"/>
      <c r="J158" s="42"/>
      <c r="K158" s="1"/>
      <c r="L158" s="11"/>
      <c r="M158" s="13"/>
      <c r="N158" s="258"/>
      <c r="O158" s="15"/>
    </row>
    <row r="159" spans="1:15" s="12" customFormat="1" ht="25.15" customHeight="1">
      <c r="A159" s="16"/>
      <c r="B159" s="837" t="s">
        <v>566</v>
      </c>
      <c r="C159" s="837"/>
      <c r="D159" s="16"/>
      <c r="E159" s="16"/>
      <c r="F159" s="238"/>
      <c r="G159" s="18">
        <f>SUM(G160:G161)</f>
        <v>220.51999999999998</v>
      </c>
      <c r="I159" s="16"/>
      <c r="J159" s="837" t="s">
        <v>566</v>
      </c>
      <c r="K159" s="837"/>
      <c r="L159" s="16"/>
      <c r="M159" s="16"/>
      <c r="N159" s="238"/>
      <c r="O159" s="18">
        <f>SUM(O160:O161)</f>
        <v>220.51999999999998</v>
      </c>
    </row>
    <row r="160" spans="1:15" s="12" customFormat="1" ht="25.15" customHeight="1">
      <c r="A160" s="93"/>
      <c r="B160" s="893" t="s">
        <v>69</v>
      </c>
      <c r="C160" s="893"/>
      <c r="D160" s="82" t="s">
        <v>51</v>
      </c>
      <c r="E160" s="151">
        <v>1</v>
      </c>
      <c r="F160" s="267">
        <f>SUMIF('Cjenik VSO'!$B$9:$B$85,$B160,'Cjenik VSO'!$C$9:$C$85)</f>
        <v>179.6</v>
      </c>
      <c r="G160" s="83">
        <f>E160*F160</f>
        <v>179.6</v>
      </c>
      <c r="I160" s="93"/>
      <c r="J160" s="893" t="s">
        <v>69</v>
      </c>
      <c r="K160" s="893"/>
      <c r="L160" s="82" t="s">
        <v>51</v>
      </c>
      <c r="M160" s="151">
        <v>1</v>
      </c>
      <c r="N160" s="267">
        <f>SUMIF('Cjenik VSO'!$B$9:$B$85,$B160,'Cjenik VSO'!$C$9:$C$85)</f>
        <v>179.6</v>
      </c>
      <c r="O160" s="83">
        <f>M160*N160</f>
        <v>179.6</v>
      </c>
    </row>
    <row r="161" spans="1:15" s="12" customFormat="1" ht="25.15" customHeight="1" thickBot="1">
      <c r="A161" s="66"/>
      <c r="B161" s="858" t="s">
        <v>792</v>
      </c>
      <c r="C161" s="858"/>
      <c r="D161" s="67" t="s">
        <v>51</v>
      </c>
      <c r="E161" s="103">
        <v>1</v>
      </c>
      <c r="F161" s="262">
        <f>SUM('Cjenik VSO'!C42)</f>
        <v>40.92</v>
      </c>
      <c r="G161" s="69">
        <f>E161*F161</f>
        <v>40.92</v>
      </c>
      <c r="I161" s="66"/>
      <c r="J161" s="858" t="s">
        <v>792</v>
      </c>
      <c r="K161" s="858"/>
      <c r="L161" s="67" t="s">
        <v>51</v>
      </c>
      <c r="M161" s="103">
        <v>1</v>
      </c>
      <c r="N161" s="262">
        <f>SUMIF('Cjenik VSO'!$B$9:$B$85,$B161,'Cjenik VSO'!$C$9:$C$85)</f>
        <v>40.92</v>
      </c>
      <c r="O161" s="69">
        <f>M161*N161</f>
        <v>40.92</v>
      </c>
    </row>
    <row r="162" spans="1:15" ht="25.15" customHeight="1" thickTop="1" thickBot="1">
      <c r="E162" s="868" t="str">
        <f>'Obrazac kalkulacije'!$E$18</f>
        <v>Ukupno (kn):</v>
      </c>
      <c r="F162" s="868"/>
      <c r="G162" s="71">
        <f>ROUND(SUM(+G159),2)</f>
        <v>220.52</v>
      </c>
      <c r="H162" s="269" t="e">
        <f>SUMIF(#REF!,$B155,#REF!)</f>
        <v>#REF!</v>
      </c>
      <c r="M162" s="868" t="str">
        <f>'Obrazac kalkulacije'!$E$18</f>
        <v>Ukupno (kn):</v>
      </c>
      <c r="N162" s="868"/>
      <c r="O162" s="71">
        <f>ROUND(SUM(+O159),2)</f>
        <v>220.52</v>
      </c>
    </row>
    <row r="163" spans="1:15" ht="25.15" customHeight="1" thickTop="1" thickBot="1">
      <c r="E163" s="27" t="str">
        <f>'Obrazac kalkulacije'!$E$19</f>
        <v>PDV:</v>
      </c>
      <c r="F163" s="259">
        <f>'Obrazac kalkulacije'!$F$19</f>
        <v>0.25</v>
      </c>
      <c r="G163" s="29">
        <f>G162*F163</f>
        <v>55.13</v>
      </c>
      <c r="H163" s="270" t="e">
        <f>H162-G162</f>
        <v>#REF!</v>
      </c>
      <c r="M163" s="27" t="str">
        <f>'Obrazac kalkulacije'!$E$19</f>
        <v>PDV:</v>
      </c>
      <c r="N163" s="259">
        <f>'Obrazac kalkulacije'!$F$19</f>
        <v>0.25</v>
      </c>
      <c r="O163" s="29">
        <f>O162*N163</f>
        <v>55.13</v>
      </c>
    </row>
    <row r="164" spans="1:15" ht="25.15" customHeight="1" thickTop="1" thickBot="1">
      <c r="E164" s="840" t="str">
        <f>'Obrazac kalkulacije'!$E$20</f>
        <v>Sveukupno (kn):</v>
      </c>
      <c r="F164" s="840"/>
      <c r="G164" s="29">
        <f>ROUND(SUM(G162:G163),2)</f>
        <v>275.64999999999998</v>
      </c>
      <c r="H164" s="271" t="e">
        <f>G159+H163</f>
        <v>#REF!</v>
      </c>
      <c r="M164" s="840" t="str">
        <f>'Obrazac kalkulacije'!$E$20</f>
        <v>Sveukupno (kn):</v>
      </c>
      <c r="N164" s="840"/>
      <c r="O164" s="29">
        <f>ROUND(SUM(O162:O163),2)</f>
        <v>275.64999999999998</v>
      </c>
    </row>
    <row r="165" spans="1:15" ht="15" customHeight="1" thickTop="1"/>
    <row r="166" spans="1:15" ht="15" customHeight="1"/>
    <row r="167" spans="1:15" ht="15" customHeight="1"/>
    <row r="168" spans="1:15" ht="15" customHeight="1">
      <c r="C168" s="3" t="str">
        <f>'Obrazac kalkulacije'!$C$24</f>
        <v>IZVODITELJ:</v>
      </c>
      <c r="F168" s="841" t="str">
        <f>'Obrazac kalkulacije'!$F$24</f>
        <v>NARUČITELJ:</v>
      </c>
      <c r="G168" s="841"/>
      <c r="K168" s="3" t="str">
        <f>'Obrazac kalkulacije'!$C$24</f>
        <v>IZVODITELJ:</v>
      </c>
      <c r="N168" s="841" t="str">
        <f>'Obrazac kalkulacije'!$F$24</f>
        <v>NARUČITELJ:</v>
      </c>
      <c r="O168" s="841"/>
    </row>
    <row r="169" spans="1:15" ht="25.15" customHeight="1">
      <c r="C169" s="3" t="str">
        <f>'Obrazac kalkulacije'!$C$25</f>
        <v>__________________</v>
      </c>
      <c r="F169" s="841" t="str">
        <f>'Obrazac kalkulacije'!$F$25</f>
        <v>___________________</v>
      </c>
      <c r="G169" s="841"/>
      <c r="K169" s="3" t="str">
        <f>'Obrazac kalkulacije'!$C$25</f>
        <v>__________________</v>
      </c>
      <c r="N169" s="841" t="str">
        <f>'Obrazac kalkulacije'!$F$25</f>
        <v>___________________</v>
      </c>
      <c r="O169" s="841"/>
    </row>
    <row r="170" spans="1:15" ht="15" customHeight="1">
      <c r="F170" s="841"/>
      <c r="G170" s="841"/>
      <c r="N170" s="841"/>
      <c r="O170" s="841"/>
    </row>
    <row r="171" spans="1:15" ht="15" customHeight="1"/>
    <row r="172" spans="1:15" ht="15" customHeight="1">
      <c r="A172" s="144"/>
      <c r="B172" s="145" t="s">
        <v>762</v>
      </c>
      <c r="C172" s="836" t="s">
        <v>763</v>
      </c>
      <c r="D172" s="836"/>
      <c r="E172" s="836"/>
      <c r="F172" s="836"/>
      <c r="G172" s="836"/>
      <c r="I172" s="144"/>
      <c r="J172" s="145" t="s">
        <v>762</v>
      </c>
      <c r="K172" s="836" t="s">
        <v>763</v>
      </c>
      <c r="L172" s="836"/>
      <c r="M172" s="836"/>
      <c r="N172" s="836"/>
      <c r="O172" s="836"/>
    </row>
    <row r="173" spans="1:15" ht="15" customHeight="1">
      <c r="A173" s="38"/>
      <c r="B173" s="39" t="s">
        <v>786</v>
      </c>
      <c r="C173" s="860" t="s">
        <v>787</v>
      </c>
      <c r="D173" s="860"/>
      <c r="E173" s="860"/>
      <c r="F173" s="860"/>
      <c r="G173" s="860"/>
      <c r="I173" s="38"/>
      <c r="J173" s="39" t="s">
        <v>786</v>
      </c>
      <c r="K173" s="860" t="s">
        <v>787</v>
      </c>
      <c r="L173" s="860"/>
      <c r="M173" s="860"/>
      <c r="N173" s="860"/>
      <c r="O173" s="860"/>
    </row>
    <row r="174" spans="1:15" ht="150" customHeight="1">
      <c r="A174" s="40"/>
      <c r="B174" s="556" t="s">
        <v>793</v>
      </c>
      <c r="C174" s="852" t="s">
        <v>794</v>
      </c>
      <c r="D174" s="852"/>
      <c r="E174" s="852"/>
      <c r="F174" s="852"/>
      <c r="G174" s="852"/>
      <c r="I174" s="40"/>
      <c r="J174" s="41" t="s">
        <v>793</v>
      </c>
      <c r="K174" s="869" t="s">
        <v>794</v>
      </c>
      <c r="L174" s="869"/>
      <c r="M174" s="869"/>
      <c r="N174" s="869"/>
      <c r="O174" s="869"/>
    </row>
    <row r="175" spans="1:15" ht="15" customHeight="1" thickBot="1"/>
    <row r="176" spans="1:15" s="11" customFormat="1" ht="30" customHeight="1" thickTop="1" thickBot="1">
      <c r="A176" s="10"/>
      <c r="B176" s="835" t="s">
        <v>624</v>
      </c>
      <c r="C176" s="835"/>
      <c r="D176" s="10" t="s">
        <v>625</v>
      </c>
      <c r="E176" s="10" t="s">
        <v>626</v>
      </c>
      <c r="F176" s="10" t="s">
        <v>627</v>
      </c>
      <c r="G176" s="10" t="s">
        <v>628</v>
      </c>
      <c r="I176" s="10"/>
      <c r="J176" s="835" t="s">
        <v>624</v>
      </c>
      <c r="K176" s="835"/>
      <c r="L176" s="10" t="s">
        <v>625</v>
      </c>
      <c r="M176" s="10" t="s">
        <v>626</v>
      </c>
      <c r="N176" s="10" t="s">
        <v>627</v>
      </c>
      <c r="O176" s="10" t="s">
        <v>628</v>
      </c>
    </row>
    <row r="177" spans="1:15" s="12" customFormat="1" ht="4.5" customHeight="1" thickTop="1">
      <c r="A177" s="1"/>
      <c r="B177" s="42"/>
      <c r="C177" s="1"/>
      <c r="D177" s="11"/>
      <c r="E177" s="13"/>
      <c r="F177" s="258"/>
      <c r="G177" s="15"/>
      <c r="I177" s="1"/>
      <c r="J177" s="42"/>
      <c r="K177" s="1"/>
      <c r="L177" s="11"/>
      <c r="M177" s="13"/>
      <c r="N177" s="258"/>
      <c r="O177" s="15"/>
    </row>
    <row r="178" spans="1:15" s="12" customFormat="1" ht="25.15" customHeight="1">
      <c r="A178" s="16"/>
      <c r="B178" s="837" t="s">
        <v>566</v>
      </c>
      <c r="C178" s="837"/>
      <c r="D178" s="16"/>
      <c r="E178" s="16"/>
      <c r="F178" s="238"/>
      <c r="G178" s="18">
        <f>SUM(G179:G182)</f>
        <v>535.76</v>
      </c>
      <c r="I178" s="16"/>
      <c r="J178" s="837" t="s">
        <v>566</v>
      </c>
      <c r="K178" s="837"/>
      <c r="L178" s="16"/>
      <c r="M178" s="16"/>
      <c r="N178" s="238"/>
      <c r="O178" s="18">
        <f>SUM(O179:O182)</f>
        <v>500.51734976</v>
      </c>
    </row>
    <row r="179" spans="1:15" s="12" customFormat="1" ht="25.15" customHeight="1">
      <c r="A179" s="51"/>
      <c r="B179" s="849" t="s">
        <v>74</v>
      </c>
      <c r="C179" s="849"/>
      <c r="D179" s="52" t="s">
        <v>51</v>
      </c>
      <c r="E179" s="86">
        <v>1</v>
      </c>
      <c r="F179" s="260">
        <f>SUMIF('Cjenik VSO'!$B$9:$B$85,$B179,'Cjenik VSO'!$C$9:$C$85)</f>
        <v>355.64</v>
      </c>
      <c r="G179" s="54">
        <f>E179*F179</f>
        <v>355.64</v>
      </c>
      <c r="I179" s="51"/>
      <c r="J179" s="849" t="s">
        <v>74</v>
      </c>
      <c r="K179" s="849"/>
      <c r="L179" s="52" t="s">
        <v>51</v>
      </c>
      <c r="M179" s="86">
        <v>1</v>
      </c>
      <c r="N179" s="260">
        <f>SUMIF('Cjenik VSO'!$B$9:$B$85,$B179,'Cjenik VSO'!$C$9:$C$85)</f>
        <v>355.64</v>
      </c>
      <c r="O179" s="54">
        <f>M179*N179</f>
        <v>355.64</v>
      </c>
    </row>
    <row r="180" spans="1:15" s="12" customFormat="1" ht="25.15" customHeight="1">
      <c r="A180" s="56"/>
      <c r="B180" s="839" t="s">
        <v>795</v>
      </c>
      <c r="C180" s="839"/>
      <c r="D180" s="57" t="s">
        <v>51</v>
      </c>
      <c r="E180" s="92">
        <v>1</v>
      </c>
      <c r="F180" s="263">
        <f>SUMIF('Cjenik VSO'!$B$9:$B$85,$B180,'Cjenik VSO'!$C$9:$C$85)</f>
        <v>60.68</v>
      </c>
      <c r="G180" s="59">
        <f>E180*F180</f>
        <v>60.68</v>
      </c>
      <c r="I180" s="56"/>
      <c r="J180" s="839" t="s">
        <v>795</v>
      </c>
      <c r="K180" s="839"/>
      <c r="L180" s="57" t="s">
        <v>51</v>
      </c>
      <c r="M180" s="92">
        <v>1</v>
      </c>
      <c r="N180" s="263">
        <f>SUMIF('Cjenik VSO'!$B$9:$B$85,$B180,'Cjenik VSO'!$C$9:$C$85)</f>
        <v>60.68</v>
      </c>
      <c r="O180" s="59">
        <f>M180*N180</f>
        <v>60.68</v>
      </c>
    </row>
    <row r="181" spans="1:15" s="12" customFormat="1" ht="25.15" customHeight="1">
      <c r="A181" s="56"/>
      <c r="B181" s="839" t="s">
        <v>796</v>
      </c>
      <c r="C181" s="839"/>
      <c r="D181" s="57" t="s">
        <v>51</v>
      </c>
      <c r="E181" s="92">
        <v>1</v>
      </c>
      <c r="F181" s="263">
        <f>SUMIF('Cjenik VSO'!$B$9:$B$85,$B181,'Cjenik VSO'!$C$9:$C$85)</f>
        <v>119.44</v>
      </c>
      <c r="G181" s="59">
        <f>E181*F181</f>
        <v>119.44</v>
      </c>
      <c r="I181" s="56"/>
      <c r="J181" s="839" t="s">
        <v>796</v>
      </c>
      <c r="K181" s="839"/>
      <c r="L181" s="57" t="s">
        <v>51</v>
      </c>
      <c r="M181" s="92">
        <v>0.62539699999999998</v>
      </c>
      <c r="N181" s="263">
        <f>SUMIF('Cjenik VSO'!$B$9:$B$85,$B181,'Cjenik VSO'!$C$9:$C$85)</f>
        <v>119.44</v>
      </c>
      <c r="O181" s="59">
        <f>M181*N181</f>
        <v>74.697417680000001</v>
      </c>
    </row>
    <row r="182" spans="1:15" s="12" customFormat="1" ht="25.15" customHeight="1" thickBot="1">
      <c r="A182" s="66"/>
      <c r="B182" s="858" t="s">
        <v>797</v>
      </c>
      <c r="C182" s="858"/>
      <c r="D182" s="67" t="s">
        <v>51</v>
      </c>
      <c r="E182" s="103">
        <v>0</v>
      </c>
      <c r="F182" s="262">
        <f>SUMIF('Cjenik VSO'!$B$9:$B$85,$B182,'Cjenik VSO'!$C$9:$C$85)</f>
        <v>25.36</v>
      </c>
      <c r="G182" s="69">
        <f>E182*F182</f>
        <v>0</v>
      </c>
      <c r="I182" s="66"/>
      <c r="J182" s="858" t="s">
        <v>797</v>
      </c>
      <c r="K182" s="858"/>
      <c r="L182" s="67" t="s">
        <v>51</v>
      </c>
      <c r="M182" s="103">
        <v>0.37460300000000002</v>
      </c>
      <c r="N182" s="262">
        <f>SUMIF('Cjenik VSO'!$B$9:$B$85,$B182,'Cjenik VSO'!$C$9:$C$85)</f>
        <v>25.36</v>
      </c>
      <c r="O182" s="69">
        <f>M182*N182</f>
        <v>9.4999320800000007</v>
      </c>
    </row>
    <row r="183" spans="1:15" ht="25.15" customHeight="1" thickTop="1" thickBot="1">
      <c r="E183" s="868" t="str">
        <f>'Obrazac kalkulacije'!$E$18</f>
        <v>Ukupno (kn):</v>
      </c>
      <c r="F183" s="868"/>
      <c r="G183" s="71">
        <f>ROUND(SUM(G178),2)</f>
        <v>535.76</v>
      </c>
      <c r="H183" s="269" t="e">
        <f>SUMIF(#REF!,$B174,#REF!)</f>
        <v>#REF!</v>
      </c>
      <c r="M183" s="868" t="str">
        <f>'Obrazac kalkulacije'!$E$18</f>
        <v>Ukupno (kn):</v>
      </c>
      <c r="N183" s="868"/>
      <c r="O183" s="71">
        <f>ROUND(SUM(O178),2)</f>
        <v>500.52</v>
      </c>
    </row>
    <row r="184" spans="1:15" ht="25.15" customHeight="1" thickTop="1" thickBot="1">
      <c r="E184" s="27" t="str">
        <f>'Obrazac kalkulacije'!$E$19</f>
        <v>PDV:</v>
      </c>
      <c r="F184" s="259">
        <f>'Obrazac kalkulacije'!$F$19</f>
        <v>0.25</v>
      </c>
      <c r="G184" s="29">
        <f>G183*F184</f>
        <v>133.94</v>
      </c>
      <c r="H184" s="270" t="e">
        <f>H183-G183</f>
        <v>#REF!</v>
      </c>
      <c r="M184" s="27" t="str">
        <f>'Obrazac kalkulacije'!$E$19</f>
        <v>PDV:</v>
      </c>
      <c r="N184" s="259">
        <f>'Obrazac kalkulacije'!$F$19</f>
        <v>0.25</v>
      </c>
      <c r="O184" s="29">
        <f>O183*N184</f>
        <v>125.13</v>
      </c>
    </row>
    <row r="185" spans="1:15" ht="25.15" customHeight="1" thickTop="1" thickBot="1">
      <c r="E185" s="840" t="str">
        <f>'Obrazac kalkulacije'!$E$20</f>
        <v>Sveukupno (kn):</v>
      </c>
      <c r="F185" s="840"/>
      <c r="G185" s="29">
        <f>ROUND(SUM(G183:G184),2)</f>
        <v>669.7</v>
      </c>
      <c r="H185" s="271" t="e">
        <f>G181+H184</f>
        <v>#REF!</v>
      </c>
      <c r="M185" s="840" t="str">
        <f>'Obrazac kalkulacije'!$E$20</f>
        <v>Sveukupno (kn):</v>
      </c>
      <c r="N185" s="840"/>
      <c r="O185" s="29">
        <f>ROUND(SUM(O183:O184),2)</f>
        <v>625.65</v>
      </c>
    </row>
    <row r="186" spans="1:15" ht="15" customHeight="1" thickTop="1"/>
    <row r="187" spans="1:15" ht="15" customHeight="1"/>
    <row r="188" spans="1:15" ht="15" customHeight="1"/>
    <row r="189" spans="1:15" ht="15" customHeight="1">
      <c r="C189" s="3" t="str">
        <f>'Obrazac kalkulacije'!$C$24</f>
        <v>IZVODITELJ:</v>
      </c>
      <c r="F189" s="841" t="str">
        <f>'Obrazac kalkulacije'!$F$24</f>
        <v>NARUČITELJ:</v>
      </c>
      <c r="G189" s="841"/>
      <c r="K189" s="3" t="str">
        <f>'Obrazac kalkulacije'!$C$24</f>
        <v>IZVODITELJ:</v>
      </c>
      <c r="N189" s="841" t="str">
        <f>'Obrazac kalkulacije'!$F$24</f>
        <v>NARUČITELJ:</v>
      </c>
      <c r="O189" s="841"/>
    </row>
    <row r="190" spans="1:15" ht="25.15" customHeight="1">
      <c r="C190" s="3" t="str">
        <f>'Obrazac kalkulacije'!$C$25</f>
        <v>__________________</v>
      </c>
      <c r="F190" s="841" t="str">
        <f>'Obrazac kalkulacije'!$F$25</f>
        <v>___________________</v>
      </c>
      <c r="G190" s="841"/>
      <c r="K190" s="3" t="str">
        <f>'Obrazac kalkulacije'!$C$25</f>
        <v>__________________</v>
      </c>
      <c r="N190" s="841" t="str">
        <f>'Obrazac kalkulacije'!$F$25</f>
        <v>___________________</v>
      </c>
      <c r="O190" s="841"/>
    </row>
    <row r="191" spans="1:15" ht="15" customHeight="1">
      <c r="F191" s="841"/>
      <c r="G191" s="841"/>
      <c r="N191" s="841"/>
      <c r="O191" s="841"/>
    </row>
    <row r="192" spans="1:15" ht="15" customHeight="1"/>
    <row r="193" spans="1:15" ht="15" customHeight="1">
      <c r="A193" s="144"/>
      <c r="B193" s="145" t="s">
        <v>762</v>
      </c>
      <c r="C193" s="836" t="s">
        <v>763</v>
      </c>
      <c r="D193" s="836"/>
      <c r="E193" s="836"/>
      <c r="F193" s="836"/>
      <c r="G193" s="836"/>
      <c r="I193" s="144"/>
      <c r="J193" s="145" t="s">
        <v>762</v>
      </c>
      <c r="K193" s="836" t="s">
        <v>763</v>
      </c>
      <c r="L193" s="836"/>
      <c r="M193" s="836"/>
      <c r="N193" s="836"/>
      <c r="O193" s="836"/>
    </row>
    <row r="194" spans="1:15" ht="15" customHeight="1">
      <c r="A194" s="38"/>
      <c r="B194" s="39" t="s">
        <v>786</v>
      </c>
      <c r="C194" s="860" t="s">
        <v>787</v>
      </c>
      <c r="D194" s="860"/>
      <c r="E194" s="860"/>
      <c r="F194" s="860"/>
      <c r="G194" s="860"/>
      <c r="I194" s="38"/>
      <c r="J194" s="39" t="s">
        <v>786</v>
      </c>
      <c r="K194" s="860" t="s">
        <v>787</v>
      </c>
      <c r="L194" s="860"/>
      <c r="M194" s="860"/>
      <c r="N194" s="860"/>
      <c r="O194" s="860"/>
    </row>
    <row r="195" spans="1:15" ht="150" customHeight="1">
      <c r="A195" s="40"/>
      <c r="B195" s="556" t="s">
        <v>798</v>
      </c>
      <c r="C195" s="852" t="s">
        <v>799</v>
      </c>
      <c r="D195" s="852"/>
      <c r="E195" s="852"/>
      <c r="F195" s="852"/>
      <c r="G195" s="852"/>
      <c r="I195" s="40"/>
      <c r="J195" s="41" t="s">
        <v>798</v>
      </c>
      <c r="K195" s="869" t="s">
        <v>799</v>
      </c>
      <c r="L195" s="869"/>
      <c r="M195" s="869"/>
      <c r="N195" s="869"/>
      <c r="O195" s="869"/>
    </row>
    <row r="196" spans="1:15" ht="15" customHeight="1" thickBot="1"/>
    <row r="197" spans="1:15" s="11" customFormat="1" ht="30" customHeight="1" thickTop="1" thickBot="1">
      <c r="A197" s="10"/>
      <c r="B197" s="835" t="s">
        <v>624</v>
      </c>
      <c r="C197" s="835"/>
      <c r="D197" s="10" t="s">
        <v>625</v>
      </c>
      <c r="E197" s="10" t="s">
        <v>626</v>
      </c>
      <c r="F197" s="10" t="s">
        <v>627</v>
      </c>
      <c r="G197" s="10" t="s">
        <v>628</v>
      </c>
      <c r="I197" s="10"/>
      <c r="J197" s="835" t="s">
        <v>624</v>
      </c>
      <c r="K197" s="835"/>
      <c r="L197" s="10" t="s">
        <v>625</v>
      </c>
      <c r="M197" s="10" t="s">
        <v>626</v>
      </c>
      <c r="N197" s="10" t="s">
        <v>627</v>
      </c>
      <c r="O197" s="10" t="s">
        <v>628</v>
      </c>
    </row>
    <row r="198" spans="1:15" s="12" customFormat="1" ht="4.5" customHeight="1" thickTop="1">
      <c r="A198" s="1"/>
      <c r="B198" s="42"/>
      <c r="C198" s="1"/>
      <c r="D198" s="11"/>
      <c r="E198" s="13"/>
      <c r="F198" s="258"/>
      <c r="G198" s="15"/>
      <c r="I198" s="1"/>
      <c r="J198" s="42"/>
      <c r="K198" s="1"/>
      <c r="L198" s="11"/>
      <c r="M198" s="13"/>
      <c r="N198" s="258"/>
      <c r="O198" s="15"/>
    </row>
    <row r="199" spans="1:15" s="12" customFormat="1" ht="25.15" customHeight="1">
      <c r="A199" s="16"/>
      <c r="B199" s="837" t="s">
        <v>566</v>
      </c>
      <c r="C199" s="837"/>
      <c r="D199" s="16"/>
      <c r="E199" s="16"/>
      <c r="F199" s="238"/>
      <c r="G199" s="18">
        <f>SUM(G200:G200)</f>
        <v>279.37</v>
      </c>
      <c r="I199" s="16"/>
      <c r="J199" s="837" t="s">
        <v>566</v>
      </c>
      <c r="K199" s="837"/>
      <c r="L199" s="16"/>
      <c r="M199" s="16"/>
      <c r="N199" s="238"/>
      <c r="O199" s="18">
        <f>SUM(O200:O200)</f>
        <v>279.37</v>
      </c>
    </row>
    <row r="200" spans="1:15" s="12" customFormat="1" ht="25.15" customHeight="1" thickBot="1">
      <c r="A200" s="43"/>
      <c r="B200" s="849" t="s">
        <v>97</v>
      </c>
      <c r="C200" s="849"/>
      <c r="D200" s="52" t="s">
        <v>51</v>
      </c>
      <c r="E200" s="86">
        <v>1</v>
      </c>
      <c r="F200" s="260">
        <f>SUMIF('Cjenik VSO'!$B$9:$B$85,$B200,'Cjenik VSO'!$C$9:$C$85)</f>
        <v>279.37</v>
      </c>
      <c r="G200" s="54">
        <f>E200*F200</f>
        <v>279.37</v>
      </c>
      <c r="I200" s="43"/>
      <c r="J200" s="849" t="s">
        <v>97</v>
      </c>
      <c r="K200" s="849"/>
      <c r="L200" s="52" t="s">
        <v>51</v>
      </c>
      <c r="M200" s="86">
        <v>1</v>
      </c>
      <c r="N200" s="260">
        <f>SUMIF('Cjenik VSO'!$B$9:$B$85,$B200,'Cjenik VSO'!$C$9:$C$85)</f>
        <v>279.37</v>
      </c>
      <c r="O200" s="54">
        <f>M200*N200</f>
        <v>279.37</v>
      </c>
    </row>
    <row r="201" spans="1:15" ht="25.15" customHeight="1" thickTop="1" thickBot="1">
      <c r="B201" s="47"/>
      <c r="C201" s="24"/>
      <c r="D201" s="25"/>
      <c r="E201" s="850" t="str">
        <f>'Obrazac kalkulacije'!$E$18</f>
        <v>Ukupno (kn):</v>
      </c>
      <c r="F201" s="850"/>
      <c r="G201" s="26">
        <f>ROUND(SUM(G199),2)</f>
        <v>279.37</v>
      </c>
      <c r="H201" s="269" t="e">
        <f>SUMIF(#REF!,$B195,#REF!)</f>
        <v>#REF!</v>
      </c>
      <c r="J201" s="47"/>
      <c r="K201" s="24"/>
      <c r="L201" s="25"/>
      <c r="M201" s="850" t="str">
        <f>'Obrazac kalkulacije'!$E$18</f>
        <v>Ukupno (kn):</v>
      </c>
      <c r="N201" s="850"/>
      <c r="O201" s="26">
        <f>ROUND(SUM(O199),2)</f>
        <v>279.37</v>
      </c>
    </row>
    <row r="202" spans="1:15" ht="25.15" customHeight="1" thickTop="1" thickBot="1">
      <c r="E202" s="27" t="str">
        <f>'Obrazac kalkulacije'!$E$19</f>
        <v>PDV:</v>
      </c>
      <c r="F202" s="259">
        <f>'Obrazac kalkulacije'!$F$19</f>
        <v>0.25</v>
      </c>
      <c r="G202" s="29">
        <f>G201*F202</f>
        <v>69.842500000000001</v>
      </c>
      <c r="H202" s="270" t="e">
        <f>H201-G201</f>
        <v>#REF!</v>
      </c>
      <c r="M202" s="27" t="str">
        <f>'Obrazac kalkulacije'!$E$19</f>
        <v>PDV:</v>
      </c>
      <c r="N202" s="259">
        <f>'Obrazac kalkulacije'!$F$19</f>
        <v>0.25</v>
      </c>
      <c r="O202" s="29">
        <f>O201*N202</f>
        <v>69.842500000000001</v>
      </c>
    </row>
    <row r="203" spans="1:15" ht="25.15" customHeight="1" thickTop="1" thickBot="1">
      <c r="E203" s="840" t="str">
        <f>'Obrazac kalkulacije'!$E$20</f>
        <v>Sveukupno (kn):</v>
      </c>
      <c r="F203" s="840"/>
      <c r="G203" s="29">
        <f>ROUND(SUM(G201:G202),2)</f>
        <v>349.21</v>
      </c>
      <c r="H203" s="271" t="e">
        <f>G199+H202</f>
        <v>#REF!</v>
      </c>
      <c r="M203" s="840" t="str">
        <f>'Obrazac kalkulacije'!$E$20</f>
        <v>Sveukupno (kn):</v>
      </c>
      <c r="N203" s="840"/>
      <c r="O203" s="29">
        <f>ROUND(SUM(O201:O202),2)</f>
        <v>349.21</v>
      </c>
    </row>
    <row r="204" spans="1:15" ht="15" customHeight="1" thickTop="1"/>
    <row r="205" spans="1:15" ht="15" customHeight="1"/>
    <row r="206" spans="1:15" ht="15" customHeight="1"/>
    <row r="207" spans="1:15" ht="15" customHeight="1">
      <c r="C207" s="3" t="str">
        <f>'Obrazac kalkulacije'!$C$24</f>
        <v>IZVODITELJ:</v>
      </c>
      <c r="F207" s="841" t="str">
        <f>'Obrazac kalkulacije'!$F$24</f>
        <v>NARUČITELJ:</v>
      </c>
      <c r="G207" s="841"/>
      <c r="K207" s="3" t="str">
        <f>'Obrazac kalkulacije'!$C$24</f>
        <v>IZVODITELJ:</v>
      </c>
      <c r="N207" s="841" t="str">
        <f>'Obrazac kalkulacije'!$F$24</f>
        <v>NARUČITELJ:</v>
      </c>
      <c r="O207" s="841"/>
    </row>
    <row r="208" spans="1:15" ht="25.15" customHeight="1">
      <c r="C208" s="3" t="str">
        <f>'Obrazac kalkulacije'!$C$25</f>
        <v>__________________</v>
      </c>
      <c r="F208" s="841" t="str">
        <f>'Obrazac kalkulacije'!$F$25</f>
        <v>___________________</v>
      </c>
      <c r="G208" s="841"/>
      <c r="K208" s="3" t="str">
        <f>'Obrazac kalkulacije'!$C$25</f>
        <v>__________________</v>
      </c>
      <c r="N208" s="841" t="str">
        <f>'Obrazac kalkulacije'!$F$25</f>
        <v>___________________</v>
      </c>
      <c r="O208" s="841"/>
    </row>
    <row r="209" spans="1:15" ht="15" customHeight="1">
      <c r="F209" s="841"/>
      <c r="G209" s="841"/>
      <c r="N209" s="841"/>
      <c r="O209" s="841"/>
    </row>
    <row r="210" spans="1:15" ht="15" customHeight="1"/>
    <row r="211" spans="1:15" ht="15" customHeight="1">
      <c r="A211" s="144"/>
      <c r="B211" s="145" t="s">
        <v>762</v>
      </c>
      <c r="C211" s="836" t="s">
        <v>763</v>
      </c>
      <c r="D211" s="836"/>
      <c r="E211" s="836"/>
      <c r="F211" s="836"/>
      <c r="G211" s="836"/>
      <c r="I211" s="144"/>
      <c r="J211" s="145" t="s">
        <v>762</v>
      </c>
      <c r="K211" s="836" t="s">
        <v>763</v>
      </c>
      <c r="L211" s="836"/>
      <c r="M211" s="836"/>
      <c r="N211" s="836"/>
      <c r="O211" s="836"/>
    </row>
    <row r="212" spans="1:15" ht="15" customHeight="1">
      <c r="A212" s="38"/>
      <c r="B212" s="39" t="s">
        <v>786</v>
      </c>
      <c r="C212" s="860" t="s">
        <v>787</v>
      </c>
      <c r="D212" s="860"/>
      <c r="E212" s="860"/>
      <c r="F212" s="860"/>
      <c r="G212" s="860"/>
      <c r="I212" s="38"/>
      <c r="J212" s="39" t="s">
        <v>786</v>
      </c>
      <c r="K212" s="860" t="s">
        <v>787</v>
      </c>
      <c r="L212" s="860"/>
      <c r="M212" s="860"/>
      <c r="N212" s="860"/>
      <c r="O212" s="860"/>
    </row>
    <row r="213" spans="1:15" ht="150" customHeight="1">
      <c r="A213" s="40"/>
      <c r="B213" s="556" t="s">
        <v>800</v>
      </c>
      <c r="C213" s="852" t="s">
        <v>801</v>
      </c>
      <c r="D213" s="852"/>
      <c r="E213" s="852"/>
      <c r="F213" s="852"/>
      <c r="G213" s="852"/>
      <c r="I213" s="40"/>
      <c r="J213" s="41" t="s">
        <v>800</v>
      </c>
      <c r="K213" s="869" t="s">
        <v>802</v>
      </c>
      <c r="L213" s="869"/>
      <c r="M213" s="869"/>
      <c r="N213" s="869"/>
      <c r="O213" s="869"/>
    </row>
    <row r="214" spans="1:15" ht="15" customHeight="1" thickBot="1"/>
    <row r="215" spans="1:15" s="11" customFormat="1" ht="30" customHeight="1" thickTop="1" thickBot="1">
      <c r="A215" s="10"/>
      <c r="B215" s="835" t="s">
        <v>624</v>
      </c>
      <c r="C215" s="835"/>
      <c r="D215" s="10" t="s">
        <v>625</v>
      </c>
      <c r="E215" s="10" t="s">
        <v>626</v>
      </c>
      <c r="F215" s="10" t="s">
        <v>627</v>
      </c>
      <c r="G215" s="10" t="s">
        <v>628</v>
      </c>
      <c r="I215" s="10"/>
      <c r="J215" s="835" t="s">
        <v>624</v>
      </c>
      <c r="K215" s="835"/>
      <c r="L215" s="10" t="s">
        <v>625</v>
      </c>
      <c r="M215" s="10" t="s">
        <v>626</v>
      </c>
      <c r="N215" s="10" t="s">
        <v>627</v>
      </c>
      <c r="O215" s="10" t="s">
        <v>628</v>
      </c>
    </row>
    <row r="216" spans="1:15" s="12" customFormat="1" ht="4.5" customHeight="1" thickTop="1">
      <c r="A216" s="1"/>
      <c r="B216" s="42"/>
      <c r="C216" s="1"/>
      <c r="D216" s="11"/>
      <c r="E216" s="13"/>
      <c r="F216" s="258"/>
      <c r="G216" s="15"/>
      <c r="I216" s="1"/>
      <c r="J216" s="42"/>
      <c r="K216" s="1"/>
      <c r="L216" s="11"/>
      <c r="M216" s="13"/>
      <c r="N216" s="258"/>
      <c r="O216" s="15"/>
    </row>
    <row r="217" spans="1:15" s="12" customFormat="1" ht="25.15" customHeight="1">
      <c r="A217" s="16"/>
      <c r="B217" s="837" t="s">
        <v>566</v>
      </c>
      <c r="C217" s="837"/>
      <c r="D217" s="16"/>
      <c r="E217" s="16"/>
      <c r="F217" s="238"/>
      <c r="G217" s="18">
        <f>SUM(G218:G221)</f>
        <v>388.92</v>
      </c>
      <c r="I217" s="16"/>
      <c r="J217" s="837" t="s">
        <v>566</v>
      </c>
      <c r="K217" s="837"/>
      <c r="L217" s="16"/>
      <c r="M217" s="16"/>
      <c r="N217" s="238"/>
      <c r="O217" s="18">
        <f>SUM(O218:O221)</f>
        <v>159.03712964000002</v>
      </c>
    </row>
    <row r="218" spans="1:15" s="12" customFormat="1" ht="25.15" customHeight="1">
      <c r="A218" s="51"/>
      <c r="B218" s="849" t="s">
        <v>803</v>
      </c>
      <c r="C218" s="849"/>
      <c r="D218" s="52" t="s">
        <v>51</v>
      </c>
      <c r="E218" s="86">
        <v>1</v>
      </c>
      <c r="F218" s="260">
        <f>'Cjenik VSO'!C44</f>
        <v>293.52999999999997</v>
      </c>
      <c r="G218" s="54">
        <f>E218*F218</f>
        <v>293.52999999999997</v>
      </c>
      <c r="I218" s="51"/>
      <c r="J218" s="849" t="s">
        <v>60</v>
      </c>
      <c r="K218" s="849"/>
      <c r="L218" s="52" t="s">
        <v>51</v>
      </c>
      <c r="M218" s="86">
        <v>1</v>
      </c>
      <c r="N218" s="260">
        <f>SUMIF('Cjenik VSO'!$B$9:$B$85,$B218,'Cjenik VSO'!$C$9:$C$85)</f>
        <v>0</v>
      </c>
      <c r="O218" s="54">
        <f>M218*N218</f>
        <v>0</v>
      </c>
    </row>
    <row r="219" spans="1:15" s="12" customFormat="1" ht="25.15" customHeight="1">
      <c r="A219" s="56"/>
      <c r="B219" s="839" t="s">
        <v>796</v>
      </c>
      <c r="C219" s="839"/>
      <c r="D219" s="57" t="s">
        <v>51</v>
      </c>
      <c r="E219" s="92">
        <v>0.5</v>
      </c>
      <c r="F219" s="263">
        <f>'Cjenik VSO'!C40</f>
        <v>119.44</v>
      </c>
      <c r="G219" s="59">
        <f>E219*F219</f>
        <v>59.72</v>
      </c>
      <c r="I219" s="56"/>
      <c r="J219" s="839" t="s">
        <v>796</v>
      </c>
      <c r="K219" s="839"/>
      <c r="L219" s="57" t="s">
        <v>51</v>
      </c>
      <c r="M219" s="92">
        <v>1</v>
      </c>
      <c r="N219" s="263">
        <f>SUMIF('Cjenik VSO'!$B$9:$B$85,$B219,'Cjenik VSO'!$C$9:$C$85)</f>
        <v>119.44</v>
      </c>
      <c r="O219" s="59">
        <f>M219*N219</f>
        <v>119.44</v>
      </c>
    </row>
    <row r="220" spans="1:15" s="12" customFormat="1" ht="25.15" customHeight="1">
      <c r="A220" s="56"/>
      <c r="B220" s="839" t="s">
        <v>804</v>
      </c>
      <c r="C220" s="839"/>
      <c r="D220" s="57" t="s">
        <v>51</v>
      </c>
      <c r="E220" s="92">
        <v>1</v>
      </c>
      <c r="F220" s="263">
        <f>SUMIF('Cjenik VSO'!$B$9:$B$85,$B220,'Cjenik VSO'!$C$9:$C$85)</f>
        <v>35.67</v>
      </c>
      <c r="G220" s="59">
        <f>E220*F220</f>
        <v>35.67</v>
      </c>
      <c r="I220" s="56"/>
      <c r="J220" s="839" t="s">
        <v>795</v>
      </c>
      <c r="K220" s="839"/>
      <c r="L220" s="57" t="s">
        <v>51</v>
      </c>
      <c r="M220" s="92">
        <v>1</v>
      </c>
      <c r="N220" s="263">
        <f>SUMIF('Cjenik VSO'!$B$9:$B$85,$B220,'Cjenik VSO'!$C$9:$C$85)</f>
        <v>35.67</v>
      </c>
      <c r="O220" s="59">
        <f>M220*N220</f>
        <v>35.67</v>
      </c>
    </row>
    <row r="221" spans="1:15" s="12" customFormat="1" ht="25.15" customHeight="1">
      <c r="A221" s="66"/>
      <c r="B221" s="858" t="s">
        <v>805</v>
      </c>
      <c r="C221" s="858"/>
      <c r="D221" s="67" t="s">
        <v>51</v>
      </c>
      <c r="E221" s="92">
        <v>0</v>
      </c>
      <c r="F221" s="263">
        <f>SUMIF('Cjenik VSO'!$B$9:$B$85,$B221,'Cjenik VSO'!$C$9:$C$85)</f>
        <v>92.68</v>
      </c>
      <c r="G221" s="59">
        <f>E221*F221</f>
        <v>0</v>
      </c>
      <c r="I221" s="66"/>
      <c r="J221" s="858" t="s">
        <v>805</v>
      </c>
      <c r="K221" s="858"/>
      <c r="L221" s="67" t="s">
        <v>51</v>
      </c>
      <c r="M221" s="103">
        <v>4.2373000000000001E-2</v>
      </c>
      <c r="N221" s="262">
        <f>SUMIF('Cjenik VSO'!$B$9:$B$85,$B221,'Cjenik VSO'!$C$9:$C$85)</f>
        <v>92.68</v>
      </c>
      <c r="O221" s="69">
        <f>M221*N221</f>
        <v>3.9271296400000004</v>
      </c>
    </row>
    <row r="222" spans="1:15" ht="25.15" customHeight="1">
      <c r="B222" s="47"/>
      <c r="C222" s="24"/>
      <c r="D222" s="25"/>
      <c r="E222" s="850" t="str">
        <f>'Obrazac kalkulacije'!$E$18</f>
        <v>Ukupno (kn):</v>
      </c>
      <c r="F222" s="850"/>
      <c r="G222" s="26">
        <f>ROUND(SUM(G217),2)</f>
        <v>388.92</v>
      </c>
      <c r="H222" s="269" t="e">
        <f>SUMIF(#REF!,$B213,#REF!)</f>
        <v>#REF!</v>
      </c>
      <c r="J222" s="47"/>
      <c r="K222" s="24"/>
      <c r="L222" s="25"/>
      <c r="M222" s="850" t="str">
        <f>'Obrazac kalkulacije'!$E$18</f>
        <v>Ukupno (kn):</v>
      </c>
      <c r="N222" s="850"/>
      <c r="O222" s="26">
        <f>ROUND(SUM(O217),2)</f>
        <v>159.04</v>
      </c>
    </row>
    <row r="223" spans="1:15" ht="25.15" customHeight="1" thickTop="1" thickBot="1">
      <c r="E223" s="27" t="str">
        <f>'Obrazac kalkulacije'!$E$19</f>
        <v>PDV:</v>
      </c>
      <c r="F223" s="259">
        <f>'Obrazac kalkulacije'!$F$19</f>
        <v>0.25</v>
      </c>
      <c r="G223" s="29">
        <f>G222*F223</f>
        <v>97.23</v>
      </c>
      <c r="H223" s="270" t="e">
        <f>H222-G222</f>
        <v>#REF!</v>
      </c>
      <c r="M223" s="27" t="str">
        <f>'Obrazac kalkulacije'!$E$19</f>
        <v>PDV:</v>
      </c>
      <c r="N223" s="259">
        <f>'Obrazac kalkulacije'!$F$19</f>
        <v>0.25</v>
      </c>
      <c r="O223" s="29">
        <f>O222*N223</f>
        <v>39.76</v>
      </c>
    </row>
    <row r="224" spans="1:15" ht="25.15" customHeight="1" thickTop="1" thickBot="1">
      <c r="E224" s="840" t="str">
        <f>'Obrazac kalkulacije'!$E$20</f>
        <v>Sveukupno (kn):</v>
      </c>
      <c r="F224" s="840"/>
      <c r="G224" s="29">
        <f>ROUND(SUM(G222:G223),2)</f>
        <v>486.15</v>
      </c>
      <c r="H224" s="271" t="e">
        <f>G220+H223</f>
        <v>#REF!</v>
      </c>
      <c r="M224" s="840" t="str">
        <f>'Obrazac kalkulacije'!$E$20</f>
        <v>Sveukupno (kn):</v>
      </c>
      <c r="N224" s="840"/>
      <c r="O224" s="29">
        <f>ROUND(SUM(O222:O223),2)</f>
        <v>198.8</v>
      </c>
    </row>
    <row r="225" spans="1:15" ht="15" customHeight="1" thickTop="1"/>
    <row r="226" spans="1:15" ht="15" customHeight="1"/>
    <row r="227" spans="1:15" ht="15" customHeight="1"/>
    <row r="228" spans="1:15" ht="15" customHeight="1">
      <c r="C228" s="3" t="str">
        <f>'Obrazac kalkulacije'!$C$24</f>
        <v>IZVODITELJ:</v>
      </c>
      <c r="F228" s="841" t="str">
        <f>'Obrazac kalkulacije'!$F$24</f>
        <v>NARUČITELJ:</v>
      </c>
      <c r="G228" s="841"/>
      <c r="K228" s="3" t="str">
        <f>'Obrazac kalkulacije'!$C$24</f>
        <v>IZVODITELJ:</v>
      </c>
      <c r="N228" s="841" t="str">
        <f>'Obrazac kalkulacije'!$F$24</f>
        <v>NARUČITELJ:</v>
      </c>
      <c r="O228" s="841"/>
    </row>
    <row r="229" spans="1:15" ht="25.15" customHeight="1">
      <c r="C229" s="3" t="str">
        <f>'Obrazac kalkulacije'!$C$25</f>
        <v>__________________</v>
      </c>
      <c r="F229" s="841" t="str">
        <f>'Obrazac kalkulacije'!$F$25</f>
        <v>___________________</v>
      </c>
      <c r="G229" s="841"/>
      <c r="K229" s="3" t="str">
        <f>'Obrazac kalkulacije'!$C$25</f>
        <v>__________________</v>
      </c>
      <c r="N229" s="841" t="str">
        <f>'Obrazac kalkulacije'!$F$25</f>
        <v>___________________</v>
      </c>
      <c r="O229" s="841"/>
    </row>
    <row r="230" spans="1:15" ht="15" customHeight="1">
      <c r="F230" s="841"/>
      <c r="G230" s="841"/>
      <c r="N230" s="841"/>
      <c r="O230" s="841"/>
    </row>
    <row r="231" spans="1:15" ht="15" customHeight="1"/>
    <row r="232" spans="1:15" ht="15" customHeight="1">
      <c r="A232" s="144"/>
      <c r="B232" s="145" t="s">
        <v>762</v>
      </c>
      <c r="C232" s="836" t="s">
        <v>763</v>
      </c>
      <c r="D232" s="836"/>
      <c r="E232" s="836"/>
      <c r="F232" s="836"/>
      <c r="G232" s="836"/>
      <c r="I232" s="144"/>
      <c r="J232" s="145" t="s">
        <v>762</v>
      </c>
      <c r="K232" s="836" t="s">
        <v>763</v>
      </c>
      <c r="L232" s="836"/>
      <c r="M232" s="836"/>
      <c r="N232" s="836"/>
      <c r="O232" s="836"/>
    </row>
    <row r="233" spans="1:15" ht="15" customHeight="1">
      <c r="A233" s="38"/>
      <c r="B233" s="39" t="s">
        <v>786</v>
      </c>
      <c r="C233" s="860" t="s">
        <v>787</v>
      </c>
      <c r="D233" s="860"/>
      <c r="E233" s="860"/>
      <c r="F233" s="860"/>
      <c r="G233" s="860"/>
      <c r="I233" s="38"/>
      <c r="J233" s="39" t="s">
        <v>786</v>
      </c>
      <c r="K233" s="860" t="s">
        <v>787</v>
      </c>
      <c r="L233" s="860"/>
      <c r="M233" s="860"/>
      <c r="N233" s="860"/>
      <c r="O233" s="860"/>
    </row>
    <row r="234" spans="1:15" ht="34.5" customHeight="1">
      <c r="A234" s="40"/>
      <c r="B234" s="556" t="s">
        <v>806</v>
      </c>
      <c r="C234" s="852" t="s">
        <v>807</v>
      </c>
      <c r="D234" s="852"/>
      <c r="E234" s="852"/>
      <c r="F234" s="852"/>
      <c r="G234" s="852"/>
      <c r="I234" s="40"/>
      <c r="J234" s="41" t="s">
        <v>800</v>
      </c>
      <c r="K234" s="869" t="s">
        <v>802</v>
      </c>
      <c r="L234" s="869"/>
      <c r="M234" s="869"/>
      <c r="N234" s="869"/>
      <c r="O234" s="869"/>
    </row>
    <row r="235" spans="1:15" ht="15" customHeight="1"/>
    <row r="236" spans="1:15" s="11" customFormat="1" ht="31.5" customHeight="1">
      <c r="A236" s="10"/>
      <c r="B236" s="835" t="s">
        <v>624</v>
      </c>
      <c r="C236" s="835"/>
      <c r="D236" s="10" t="s">
        <v>625</v>
      </c>
      <c r="E236" s="10" t="s">
        <v>626</v>
      </c>
      <c r="F236" s="10" t="s">
        <v>627</v>
      </c>
      <c r="G236" s="10" t="s">
        <v>628</v>
      </c>
      <c r="I236" s="10"/>
      <c r="J236" s="835" t="s">
        <v>624</v>
      </c>
      <c r="K236" s="835"/>
      <c r="L236" s="10" t="s">
        <v>625</v>
      </c>
      <c r="M236" s="10" t="s">
        <v>626</v>
      </c>
      <c r="N236" s="10" t="s">
        <v>627</v>
      </c>
      <c r="O236" s="10" t="s">
        <v>628</v>
      </c>
    </row>
    <row r="237" spans="1:15" s="12" customFormat="1" ht="4.5" customHeight="1">
      <c r="A237" s="1"/>
      <c r="B237" s="42"/>
      <c r="C237" s="1"/>
      <c r="D237" s="11"/>
      <c r="E237" s="13"/>
      <c r="F237" s="258"/>
      <c r="G237" s="15"/>
      <c r="I237" s="1"/>
      <c r="J237" s="42"/>
      <c r="K237" s="1"/>
      <c r="L237" s="11"/>
      <c r="M237" s="13"/>
      <c r="N237" s="258"/>
      <c r="O237" s="15"/>
    </row>
    <row r="238" spans="1:15" s="12" customFormat="1" ht="25.15" customHeight="1">
      <c r="A238" s="16"/>
      <c r="B238" s="837" t="s">
        <v>566</v>
      </c>
      <c r="C238" s="837"/>
      <c r="D238" s="16"/>
      <c r="E238" s="16"/>
      <c r="F238" s="238"/>
      <c r="G238" s="18">
        <f>SUM(G239:G242)</f>
        <v>530.18000000000006</v>
      </c>
      <c r="I238" s="16"/>
      <c r="J238" s="837" t="s">
        <v>566</v>
      </c>
      <c r="K238" s="837"/>
      <c r="L238" s="16"/>
      <c r="M238" s="16"/>
      <c r="N238" s="238"/>
      <c r="O238" s="18">
        <f>SUM(O239:O242)</f>
        <v>487.76712964000001</v>
      </c>
    </row>
    <row r="239" spans="1:15" s="12" customFormat="1" ht="25.15" customHeight="1">
      <c r="A239" s="51"/>
      <c r="B239" s="849" t="s">
        <v>60</v>
      </c>
      <c r="C239" s="849"/>
      <c r="D239" s="52" t="s">
        <v>51</v>
      </c>
      <c r="E239" s="86">
        <v>1</v>
      </c>
      <c r="F239" s="260">
        <f>SUMIF('Cjenik VSO'!$B$9:$B$85,$B239,'Cjenik VSO'!$C$9:$C$85)</f>
        <v>328.73</v>
      </c>
      <c r="G239" s="54">
        <f>E239*F239</f>
        <v>328.73</v>
      </c>
      <c r="I239" s="51"/>
      <c r="J239" s="849" t="s">
        <v>60</v>
      </c>
      <c r="K239" s="849"/>
      <c r="L239" s="52" t="s">
        <v>51</v>
      </c>
      <c r="M239" s="86">
        <v>1</v>
      </c>
      <c r="N239" s="260">
        <f>SUMIF('Cjenik VSO'!$B$9:$B$85,$B239,'Cjenik VSO'!$C$9:$C$85)</f>
        <v>328.73</v>
      </c>
      <c r="O239" s="54">
        <f>M239*N239</f>
        <v>328.73</v>
      </c>
    </row>
    <row r="240" spans="1:15" s="12" customFormat="1" ht="25.15" customHeight="1">
      <c r="A240" s="56"/>
      <c r="B240" s="839" t="s">
        <v>796</v>
      </c>
      <c r="C240" s="839"/>
      <c r="D240" s="57" t="s">
        <v>51</v>
      </c>
      <c r="E240" s="92">
        <v>1</v>
      </c>
      <c r="F240" s="263">
        <f>SUMIF('Cjenik VSO'!$B$9:$B$85,$B240,'Cjenik VSO'!$C$9:$C$85)</f>
        <v>119.44</v>
      </c>
      <c r="G240" s="59">
        <f>E240*F240</f>
        <v>119.44</v>
      </c>
      <c r="I240" s="56"/>
      <c r="J240" s="839" t="s">
        <v>796</v>
      </c>
      <c r="K240" s="839"/>
      <c r="L240" s="57" t="s">
        <v>51</v>
      </c>
      <c r="M240" s="92">
        <v>1</v>
      </c>
      <c r="N240" s="263">
        <f>SUMIF('Cjenik VSO'!$B$9:$B$85,$B240,'Cjenik VSO'!$C$9:$C$85)</f>
        <v>119.44</v>
      </c>
      <c r="O240" s="59">
        <f>M240*N240</f>
        <v>119.44</v>
      </c>
    </row>
    <row r="241" spans="1:15" s="12" customFormat="1" ht="25.15" customHeight="1">
      <c r="A241" s="56"/>
      <c r="B241" s="839" t="s">
        <v>804</v>
      </c>
      <c r="C241" s="839"/>
      <c r="D241" s="57" t="s">
        <v>51</v>
      </c>
      <c r="E241" s="92">
        <v>1</v>
      </c>
      <c r="F241" s="263">
        <f>SUMIF('Cjenik VSO'!$B$9:$B$85,$B241,'Cjenik VSO'!$C$9:$C$85)</f>
        <v>35.67</v>
      </c>
      <c r="G241" s="59">
        <f>E241*F241</f>
        <v>35.67</v>
      </c>
      <c r="I241" s="56"/>
      <c r="J241" s="839" t="s">
        <v>795</v>
      </c>
      <c r="K241" s="839"/>
      <c r="L241" s="57" t="s">
        <v>51</v>
      </c>
      <c r="M241" s="92">
        <v>1</v>
      </c>
      <c r="N241" s="263">
        <f>SUMIF('Cjenik VSO'!$B$9:$B$85,$B241,'Cjenik VSO'!$C$9:$C$85)</f>
        <v>35.67</v>
      </c>
      <c r="O241" s="59">
        <f>M241*N241</f>
        <v>35.67</v>
      </c>
    </row>
    <row r="242" spans="1:15" s="12" customFormat="1" ht="25.15" customHeight="1">
      <c r="A242" s="66"/>
      <c r="B242" s="858" t="s">
        <v>805</v>
      </c>
      <c r="C242" s="858"/>
      <c r="D242" s="67" t="s">
        <v>51</v>
      </c>
      <c r="E242" s="92">
        <v>0.5</v>
      </c>
      <c r="F242" s="263">
        <f>SUMIF('Cjenik VSO'!$B$9:$B$85,$B242,'Cjenik VSO'!$C$9:$C$85)</f>
        <v>92.68</v>
      </c>
      <c r="G242" s="59">
        <f>E242*F242</f>
        <v>46.34</v>
      </c>
      <c r="I242" s="66"/>
      <c r="J242" s="858" t="s">
        <v>805</v>
      </c>
      <c r="K242" s="858"/>
      <c r="L242" s="67" t="s">
        <v>51</v>
      </c>
      <c r="M242" s="103">
        <v>4.2373000000000001E-2</v>
      </c>
      <c r="N242" s="262">
        <f>SUMIF('Cjenik VSO'!$B$9:$B$85,$B242,'Cjenik VSO'!$C$9:$C$85)</f>
        <v>92.68</v>
      </c>
      <c r="O242" s="69">
        <f>M242*N242</f>
        <v>3.9271296400000004</v>
      </c>
    </row>
    <row r="243" spans="1:15" ht="25.15" customHeight="1">
      <c r="B243" s="47"/>
      <c r="C243" s="24"/>
      <c r="D243" s="25"/>
      <c r="E243" s="850" t="str">
        <f>'Obrazac kalkulacije'!$E$18</f>
        <v>Ukupno (kn):</v>
      </c>
      <c r="F243" s="850"/>
      <c r="G243" s="26">
        <f>ROUND(SUM(G238),2)</f>
        <v>530.17999999999995</v>
      </c>
      <c r="H243" s="269" t="e">
        <f>SUMIF(#REF!,$B234,#REF!)</f>
        <v>#REF!</v>
      </c>
      <c r="J243" s="47"/>
      <c r="K243" s="24"/>
      <c r="L243" s="25"/>
      <c r="M243" s="850" t="str">
        <f>'Obrazac kalkulacije'!$E$18</f>
        <v>Ukupno (kn):</v>
      </c>
      <c r="N243" s="850"/>
      <c r="O243" s="26">
        <f>ROUND(SUM(O238),2)</f>
        <v>487.77</v>
      </c>
    </row>
    <row r="244" spans="1:15" ht="25.15" customHeight="1">
      <c r="E244" s="27" t="str">
        <f>'Obrazac kalkulacije'!$E$19</f>
        <v>PDV:</v>
      </c>
      <c r="F244" s="259">
        <f>'Obrazac kalkulacije'!$F$19</f>
        <v>0.25</v>
      </c>
      <c r="G244" s="29">
        <f>G243*F244</f>
        <v>132.54499999999999</v>
      </c>
      <c r="H244" s="270" t="e">
        <f>H243-G243</f>
        <v>#REF!</v>
      </c>
      <c r="M244" s="27" t="str">
        <f>'Obrazac kalkulacije'!$E$19</f>
        <v>PDV:</v>
      </c>
      <c r="N244" s="259">
        <f>'Obrazac kalkulacije'!$F$19</f>
        <v>0.25</v>
      </c>
      <c r="O244" s="29">
        <f>O243*N244</f>
        <v>121.9425</v>
      </c>
    </row>
    <row r="245" spans="1:15" ht="25.15" customHeight="1">
      <c r="E245" s="840" t="str">
        <f>'Obrazac kalkulacije'!$E$20</f>
        <v>Sveukupno (kn):</v>
      </c>
      <c r="F245" s="840"/>
      <c r="G245" s="29">
        <f>ROUND(SUM(G243:G244),2)</f>
        <v>662.73</v>
      </c>
      <c r="H245" s="271" t="e">
        <f>G241+H244</f>
        <v>#REF!</v>
      </c>
      <c r="M245" s="840" t="str">
        <f>'Obrazac kalkulacije'!$E$20</f>
        <v>Sveukupno (kn):</v>
      </c>
      <c r="N245" s="840"/>
      <c r="O245" s="29">
        <f>ROUND(SUM(O243:O244),2)</f>
        <v>609.71</v>
      </c>
    </row>
    <row r="246" spans="1:15" ht="15" customHeight="1"/>
    <row r="247" spans="1:15" ht="15" customHeight="1"/>
    <row r="248" spans="1:15" ht="15" customHeight="1"/>
    <row r="249" spans="1:15" ht="15" customHeight="1">
      <c r="C249" s="3" t="str">
        <f>'Obrazac kalkulacije'!$C$24</f>
        <v>IZVODITELJ:</v>
      </c>
      <c r="F249" s="841" t="str">
        <f>'Obrazac kalkulacije'!$F$24</f>
        <v>NARUČITELJ:</v>
      </c>
      <c r="G249" s="841"/>
      <c r="K249" s="3" t="str">
        <f>'Obrazac kalkulacije'!$C$24</f>
        <v>IZVODITELJ:</v>
      </c>
      <c r="N249" s="841" t="str">
        <f>'Obrazac kalkulacije'!$F$24</f>
        <v>NARUČITELJ:</v>
      </c>
      <c r="O249" s="841"/>
    </row>
    <row r="250" spans="1:15" ht="25.15" customHeight="1">
      <c r="C250" s="3" t="str">
        <f>'Obrazac kalkulacije'!$C$25</f>
        <v>__________________</v>
      </c>
      <c r="F250" s="841" t="str">
        <f>'Obrazac kalkulacije'!$F$25</f>
        <v>___________________</v>
      </c>
      <c r="G250" s="841"/>
      <c r="K250" s="3" t="str">
        <f>'Obrazac kalkulacije'!$C$25</f>
        <v>__________________</v>
      </c>
      <c r="N250" s="841" t="str">
        <f>'Obrazac kalkulacije'!$F$25</f>
        <v>___________________</v>
      </c>
      <c r="O250" s="841"/>
    </row>
    <row r="251" spans="1:15" ht="15" customHeight="1">
      <c r="F251" s="841"/>
      <c r="G251" s="841"/>
      <c r="N251" s="841"/>
      <c r="O251" s="841"/>
    </row>
    <row r="252" spans="1:15" ht="15" customHeight="1">
      <c r="A252" s="144"/>
      <c r="B252" s="145" t="s">
        <v>762</v>
      </c>
      <c r="C252" s="836" t="s">
        <v>763</v>
      </c>
      <c r="D252" s="836"/>
      <c r="E252" s="836"/>
      <c r="F252" s="836"/>
      <c r="G252" s="836"/>
      <c r="I252" s="144"/>
      <c r="J252" s="145" t="s">
        <v>762</v>
      </c>
      <c r="K252" s="836" t="s">
        <v>763</v>
      </c>
      <c r="L252" s="836"/>
      <c r="M252" s="836"/>
      <c r="N252" s="836"/>
      <c r="O252" s="836"/>
    </row>
    <row r="253" spans="1:15" ht="15" customHeight="1">
      <c r="A253" s="38"/>
      <c r="B253" s="39" t="s">
        <v>786</v>
      </c>
      <c r="C253" s="860" t="s">
        <v>787</v>
      </c>
      <c r="D253" s="860"/>
      <c r="E253" s="860"/>
      <c r="F253" s="860"/>
      <c r="G253" s="860"/>
      <c r="I253" s="38"/>
      <c r="J253" s="39" t="s">
        <v>786</v>
      </c>
      <c r="K253" s="860" t="s">
        <v>787</v>
      </c>
      <c r="L253" s="860"/>
      <c r="M253" s="860"/>
      <c r="N253" s="860"/>
      <c r="O253" s="860"/>
    </row>
    <row r="254" spans="1:15" ht="150" customHeight="1">
      <c r="A254" s="40"/>
      <c r="B254" s="556" t="s">
        <v>808</v>
      </c>
      <c r="C254" s="852" t="s">
        <v>809</v>
      </c>
      <c r="D254" s="852"/>
      <c r="E254" s="852"/>
      <c r="F254" s="852"/>
      <c r="G254" s="852"/>
      <c r="I254" s="40"/>
      <c r="J254" s="41" t="s">
        <v>806</v>
      </c>
      <c r="K254" s="869" t="s">
        <v>810</v>
      </c>
      <c r="L254" s="869"/>
      <c r="M254" s="869"/>
      <c r="N254" s="869"/>
      <c r="O254" s="869"/>
    </row>
    <row r="255" spans="1:15" ht="15" customHeight="1"/>
    <row r="256" spans="1:15" s="11" customFormat="1" ht="30" customHeight="1">
      <c r="A256" s="10"/>
      <c r="B256" s="835" t="s">
        <v>624</v>
      </c>
      <c r="C256" s="835"/>
      <c r="D256" s="10" t="s">
        <v>625</v>
      </c>
      <c r="E256" s="10" t="s">
        <v>626</v>
      </c>
      <c r="F256" s="10" t="s">
        <v>627</v>
      </c>
      <c r="G256" s="10" t="s">
        <v>628</v>
      </c>
      <c r="I256" s="10"/>
      <c r="J256" s="835" t="s">
        <v>624</v>
      </c>
      <c r="K256" s="835"/>
      <c r="L256" s="10" t="s">
        <v>625</v>
      </c>
      <c r="M256" s="10" t="s">
        <v>626</v>
      </c>
      <c r="N256" s="10" t="s">
        <v>627</v>
      </c>
      <c r="O256" s="10" t="s">
        <v>628</v>
      </c>
    </row>
    <row r="257" spans="1:15" s="12" customFormat="1" ht="4.5" customHeight="1">
      <c r="A257" s="1"/>
      <c r="B257" s="42"/>
      <c r="C257" s="1"/>
      <c r="D257" s="11"/>
      <c r="E257" s="13"/>
      <c r="F257" s="258"/>
      <c r="G257" s="15"/>
      <c r="I257" s="1"/>
      <c r="J257" s="42"/>
      <c r="K257" s="1"/>
      <c r="L257" s="11"/>
      <c r="M257" s="13"/>
      <c r="N257" s="258"/>
      <c r="O257" s="15"/>
    </row>
    <row r="258" spans="1:15" s="12" customFormat="1" ht="25.15" customHeight="1">
      <c r="A258" s="16"/>
      <c r="B258" s="837" t="s">
        <v>566</v>
      </c>
      <c r="C258" s="837"/>
      <c r="D258" s="16"/>
      <c r="E258" s="16"/>
      <c r="F258" s="238"/>
      <c r="G258" s="18">
        <f>SUM(G259:G259)</f>
        <v>0</v>
      </c>
      <c r="I258" s="16"/>
      <c r="J258" s="837" t="s">
        <v>566</v>
      </c>
      <c r="K258" s="837"/>
      <c r="L258" s="16"/>
      <c r="M258" s="16"/>
      <c r="N258" s="238"/>
      <c r="O258" s="18">
        <f>SUM(O259:O259)</f>
        <v>0</v>
      </c>
    </row>
    <row r="259" spans="1:15" s="12" customFormat="1" ht="25.15" customHeight="1">
      <c r="A259" s="43"/>
      <c r="B259" s="849" t="s">
        <v>811</v>
      </c>
      <c r="C259" s="849"/>
      <c r="D259" s="52" t="s">
        <v>51</v>
      </c>
      <c r="E259" s="86">
        <v>1</v>
      </c>
      <c r="F259" s="260">
        <f>SUMIF('Cjenik VSO (pomoćna)'!B9:B15,B259,'Cjenik VSO (pomoćna)'!C9:C15)</f>
        <v>0</v>
      </c>
      <c r="G259" s="54">
        <f>E259*F259</f>
        <v>0</v>
      </c>
      <c r="I259" s="43"/>
      <c r="J259" s="849" t="s">
        <v>811</v>
      </c>
      <c r="K259" s="849"/>
      <c r="L259" s="52" t="s">
        <v>51</v>
      </c>
      <c r="M259" s="86">
        <v>1</v>
      </c>
      <c r="N259" s="260">
        <f>SUMIF('Cjenik VSO (pomoćna)'!$B$9:$B$15,J259,'Cjenik VSO (pomoćna)'!$C$9:$C$15)</f>
        <v>0</v>
      </c>
      <c r="O259" s="54">
        <f>M259*N259</f>
        <v>0</v>
      </c>
    </row>
    <row r="260" spans="1:15" ht="25.15" customHeight="1">
      <c r="B260" s="47"/>
      <c r="C260" s="24"/>
      <c r="D260" s="25"/>
      <c r="E260" s="850" t="str">
        <f>'Obrazac kalkulacije'!$E$18</f>
        <v>Ukupno (kn):</v>
      </c>
      <c r="F260" s="850"/>
      <c r="G260" s="26">
        <f>ROUND(SUM(G258),2)</f>
        <v>0</v>
      </c>
      <c r="H260" s="269" t="e">
        <f>SUMIF(#REF!,$B254,#REF!)</f>
        <v>#REF!</v>
      </c>
      <c r="J260" s="47"/>
      <c r="K260" s="24"/>
      <c r="L260" s="25"/>
      <c r="M260" s="850" t="str">
        <f>'Obrazac kalkulacije'!$E$18</f>
        <v>Ukupno (kn):</v>
      </c>
      <c r="N260" s="850"/>
      <c r="O260" s="26">
        <f>ROUND(SUM(O258),2)</f>
        <v>0</v>
      </c>
    </row>
    <row r="261" spans="1:15" ht="25.15" customHeight="1">
      <c r="E261" s="27" t="str">
        <f>'Obrazac kalkulacije'!$E$19</f>
        <v>PDV:</v>
      </c>
      <c r="F261" s="259">
        <f>'Obrazac kalkulacije'!$F$19</f>
        <v>0.25</v>
      </c>
      <c r="G261" s="29">
        <f>G260*F261</f>
        <v>0</v>
      </c>
      <c r="H261" s="270" t="e">
        <f>H260-G260</f>
        <v>#REF!</v>
      </c>
      <c r="M261" s="27" t="str">
        <f>'Obrazac kalkulacije'!$E$19</f>
        <v>PDV:</v>
      </c>
      <c r="N261" s="259">
        <f>'Obrazac kalkulacije'!$F$19</f>
        <v>0.25</v>
      </c>
      <c r="O261" s="29">
        <f>O260*N261</f>
        <v>0</v>
      </c>
    </row>
    <row r="262" spans="1:15" ht="25.15" customHeight="1">
      <c r="E262" s="840" t="str">
        <f>'Obrazac kalkulacije'!$E$20</f>
        <v>Sveukupno (kn):</v>
      </c>
      <c r="F262" s="840"/>
      <c r="G262" s="29">
        <f>ROUND(SUM(G260:G261),2)</f>
        <v>0</v>
      </c>
      <c r="H262" s="271" t="e">
        <f>G258+H261</f>
        <v>#REF!</v>
      </c>
      <c r="M262" s="840" t="str">
        <f>'Obrazac kalkulacije'!$E$20</f>
        <v>Sveukupno (kn):</v>
      </c>
      <c r="N262" s="840"/>
      <c r="O262" s="29">
        <f>ROUND(SUM(O260:O261),2)</f>
        <v>0</v>
      </c>
    </row>
    <row r="263" spans="1:15" ht="15" customHeight="1"/>
    <row r="264" spans="1:15" ht="15" customHeight="1"/>
    <row r="265" spans="1:15" ht="15" customHeight="1"/>
    <row r="266" spans="1:15" ht="15" customHeight="1">
      <c r="C266" s="3" t="str">
        <f>'Obrazac kalkulacije'!$C$24</f>
        <v>IZVODITELJ:</v>
      </c>
      <c r="F266" s="841" t="str">
        <f>'Obrazac kalkulacije'!$F$24</f>
        <v>NARUČITELJ:</v>
      </c>
      <c r="G266" s="841"/>
      <c r="K266" s="3" t="str">
        <f>'Obrazac kalkulacije'!$C$24</f>
        <v>IZVODITELJ:</v>
      </c>
      <c r="N266" s="841" t="str">
        <f>'Obrazac kalkulacije'!$F$24</f>
        <v>NARUČITELJ:</v>
      </c>
      <c r="O266" s="841"/>
    </row>
    <row r="267" spans="1:15" ht="25.15" customHeight="1">
      <c r="C267" s="3" t="str">
        <f>'Obrazac kalkulacije'!$C$25</f>
        <v>__________________</v>
      </c>
      <c r="F267" s="841" t="str">
        <f>'Obrazac kalkulacije'!$F$25</f>
        <v>___________________</v>
      </c>
      <c r="G267" s="841"/>
      <c r="K267" s="3" t="str">
        <f>'Obrazac kalkulacije'!$C$25</f>
        <v>__________________</v>
      </c>
      <c r="N267" s="841" t="str">
        <f>'Obrazac kalkulacije'!$F$25</f>
        <v>___________________</v>
      </c>
      <c r="O267" s="841"/>
    </row>
    <row r="268" spans="1:15" ht="15" customHeight="1">
      <c r="F268" s="841"/>
      <c r="G268" s="841"/>
      <c r="N268" s="841"/>
      <c r="O268" s="841"/>
    </row>
    <row r="269" spans="1:15" ht="15" customHeight="1">
      <c r="A269" s="144"/>
      <c r="B269" s="145" t="s">
        <v>762</v>
      </c>
      <c r="C269" s="836" t="s">
        <v>763</v>
      </c>
      <c r="D269" s="836"/>
      <c r="E269" s="836"/>
      <c r="F269" s="836"/>
      <c r="G269" s="836"/>
      <c r="I269" s="144"/>
      <c r="J269" s="145" t="s">
        <v>762</v>
      </c>
      <c r="K269" s="836" t="s">
        <v>763</v>
      </c>
      <c r="L269" s="836"/>
      <c r="M269" s="836"/>
      <c r="N269" s="836"/>
      <c r="O269" s="836"/>
    </row>
    <row r="270" spans="1:15" ht="15" customHeight="1">
      <c r="A270" s="38"/>
      <c r="B270" s="39" t="s">
        <v>786</v>
      </c>
      <c r="C270" s="860" t="s">
        <v>787</v>
      </c>
      <c r="D270" s="860"/>
      <c r="E270" s="860"/>
      <c r="F270" s="860"/>
      <c r="G270" s="860"/>
      <c r="I270" s="38"/>
      <c r="J270" s="39" t="s">
        <v>786</v>
      </c>
      <c r="K270" s="860" t="s">
        <v>787</v>
      </c>
      <c r="L270" s="860"/>
      <c r="M270" s="860"/>
      <c r="N270" s="860"/>
      <c r="O270" s="860"/>
    </row>
    <row r="271" spans="1:15" ht="150" customHeight="1">
      <c r="A271" s="40"/>
      <c r="B271" s="556" t="s">
        <v>812</v>
      </c>
      <c r="C271" s="852" t="s">
        <v>810</v>
      </c>
      <c r="D271" s="852"/>
      <c r="E271" s="852"/>
      <c r="F271" s="852"/>
      <c r="G271" s="852"/>
      <c r="I271" s="40"/>
      <c r="J271" s="41" t="s">
        <v>806</v>
      </c>
      <c r="K271" s="869" t="s">
        <v>810</v>
      </c>
      <c r="L271" s="869"/>
      <c r="M271" s="869"/>
      <c r="N271" s="869"/>
      <c r="O271" s="869"/>
    </row>
    <row r="272" spans="1:15" ht="15" customHeight="1"/>
    <row r="273" spans="1:15" s="11" customFormat="1" ht="30" customHeight="1">
      <c r="A273" s="10"/>
      <c r="B273" s="835" t="s">
        <v>624</v>
      </c>
      <c r="C273" s="835"/>
      <c r="D273" s="10" t="s">
        <v>625</v>
      </c>
      <c r="E273" s="10" t="s">
        <v>626</v>
      </c>
      <c r="F273" s="10" t="s">
        <v>627</v>
      </c>
      <c r="G273" s="10" t="s">
        <v>628</v>
      </c>
      <c r="I273" s="10"/>
      <c r="J273" s="835" t="s">
        <v>624</v>
      </c>
      <c r="K273" s="835"/>
      <c r="L273" s="10" t="s">
        <v>625</v>
      </c>
      <c r="M273" s="10" t="s">
        <v>626</v>
      </c>
      <c r="N273" s="10" t="s">
        <v>627</v>
      </c>
      <c r="O273" s="10" t="s">
        <v>628</v>
      </c>
    </row>
    <row r="274" spans="1:15" s="12" customFormat="1" ht="4.5" customHeight="1">
      <c r="A274" s="1"/>
      <c r="B274" s="42"/>
      <c r="C274" s="1"/>
      <c r="D274" s="11"/>
      <c r="E274" s="13"/>
      <c r="F274" s="258"/>
      <c r="G274" s="15"/>
      <c r="I274" s="1"/>
      <c r="J274" s="42"/>
      <c r="K274" s="1"/>
      <c r="L274" s="11"/>
      <c r="M274" s="13"/>
      <c r="N274" s="258"/>
      <c r="O274" s="15"/>
    </row>
    <row r="275" spans="1:15" s="12" customFormat="1" ht="25.15" customHeight="1">
      <c r="A275" s="16"/>
      <c r="B275" s="837" t="s">
        <v>566</v>
      </c>
      <c r="C275" s="837"/>
      <c r="D275" s="16"/>
      <c r="E275" s="16"/>
      <c r="F275" s="238"/>
      <c r="G275" s="18">
        <f>SUM(G276:G276)</f>
        <v>860.54</v>
      </c>
      <c r="I275" s="16"/>
      <c r="J275" s="837" t="s">
        <v>566</v>
      </c>
      <c r="K275" s="837"/>
      <c r="L275" s="16"/>
      <c r="M275" s="16"/>
      <c r="N275" s="238"/>
      <c r="O275" s="18">
        <f>SUM(O276:O276)</f>
        <v>860.54</v>
      </c>
    </row>
    <row r="276" spans="1:15" s="12" customFormat="1" ht="25.15" customHeight="1">
      <c r="A276" s="43"/>
      <c r="B276" s="849" t="s">
        <v>813</v>
      </c>
      <c r="C276" s="849"/>
      <c r="D276" s="52" t="s">
        <v>51</v>
      </c>
      <c r="E276" s="86">
        <v>1</v>
      </c>
      <c r="F276" s="260">
        <f>SUMIF('Cjenik VSO'!$B$9:$B$85,$B276,'Cjenik VSO'!$C$9:$C$85)</f>
        <v>860.54</v>
      </c>
      <c r="G276" s="54">
        <f>E276*F276</f>
        <v>860.54</v>
      </c>
      <c r="I276" s="43"/>
      <c r="J276" s="849" t="s">
        <v>813</v>
      </c>
      <c r="K276" s="849"/>
      <c r="L276" s="52" t="s">
        <v>51</v>
      </c>
      <c r="M276" s="86">
        <v>1</v>
      </c>
      <c r="N276" s="260">
        <f>SUMIF('Cjenik VSO'!$B$9:$B$85,$B276,'Cjenik VSO'!$C$9:$C$85)</f>
        <v>860.54</v>
      </c>
      <c r="O276" s="54">
        <f>M276*N276</f>
        <v>860.54</v>
      </c>
    </row>
    <row r="277" spans="1:15" ht="25.15" customHeight="1">
      <c r="B277" s="47"/>
      <c r="C277" s="24"/>
      <c r="D277" s="25"/>
      <c r="E277" s="850" t="str">
        <f>'Obrazac kalkulacije'!$E$18</f>
        <v>Ukupno (kn):</v>
      </c>
      <c r="F277" s="850"/>
      <c r="G277" s="26">
        <f>ROUND(SUM(G275),2)</f>
        <v>860.54</v>
      </c>
      <c r="H277" s="269" t="e">
        <f>SUMIF(#REF!,$B271,#REF!)</f>
        <v>#REF!</v>
      </c>
      <c r="J277" s="47"/>
      <c r="K277" s="24"/>
      <c r="L277" s="25"/>
      <c r="M277" s="850" t="str">
        <f>'Obrazac kalkulacije'!$E$18</f>
        <v>Ukupno (kn):</v>
      </c>
      <c r="N277" s="850"/>
      <c r="O277" s="26">
        <f>ROUND(SUM(O275),2)</f>
        <v>860.54</v>
      </c>
    </row>
    <row r="278" spans="1:15" ht="25.15" customHeight="1">
      <c r="E278" s="27" t="str">
        <f>'Obrazac kalkulacije'!$E$19</f>
        <v>PDV:</v>
      </c>
      <c r="F278" s="259">
        <f>'Obrazac kalkulacije'!$F$19</f>
        <v>0.25</v>
      </c>
      <c r="G278" s="29">
        <f>G277*F278</f>
        <v>215.13499999999999</v>
      </c>
      <c r="H278" s="270" t="e">
        <f>H277-G277</f>
        <v>#REF!</v>
      </c>
      <c r="M278" s="27" t="str">
        <f>'Obrazac kalkulacije'!$E$19</f>
        <v>PDV:</v>
      </c>
      <c r="N278" s="259">
        <f>'Obrazac kalkulacije'!$F$19</f>
        <v>0.25</v>
      </c>
      <c r="O278" s="29">
        <f>O277*N278</f>
        <v>215.13499999999999</v>
      </c>
    </row>
    <row r="279" spans="1:15" ht="25.15" customHeight="1">
      <c r="E279" s="840" t="str">
        <f>'Obrazac kalkulacije'!$E$20</f>
        <v>Sveukupno (kn):</v>
      </c>
      <c r="F279" s="840"/>
      <c r="G279" s="29">
        <f>ROUND(SUM(G277:G278),2)</f>
        <v>1075.68</v>
      </c>
      <c r="H279" s="271" t="e">
        <f>G275+H278</f>
        <v>#REF!</v>
      </c>
      <c r="M279" s="840" t="str">
        <f>'Obrazac kalkulacije'!$E$20</f>
        <v>Sveukupno (kn):</v>
      </c>
      <c r="N279" s="840"/>
      <c r="O279" s="29">
        <f>ROUND(SUM(O277:O278),2)</f>
        <v>1075.68</v>
      </c>
    </row>
    <row r="280" spans="1:15" ht="15" customHeight="1"/>
    <row r="281" spans="1:15" ht="15" customHeight="1"/>
    <row r="282" spans="1:15" ht="15" customHeight="1"/>
    <row r="283" spans="1:15" ht="15" customHeight="1">
      <c r="C283" s="3" t="str">
        <f>'Obrazac kalkulacije'!$C$24</f>
        <v>IZVODITELJ:</v>
      </c>
      <c r="F283" s="841" t="str">
        <f>'Obrazac kalkulacije'!$F$24</f>
        <v>NARUČITELJ:</v>
      </c>
      <c r="G283" s="841"/>
      <c r="K283" s="3" t="str">
        <f>'Obrazac kalkulacije'!$C$24</f>
        <v>IZVODITELJ:</v>
      </c>
      <c r="N283" s="841" t="str">
        <f>'Obrazac kalkulacije'!$F$24</f>
        <v>NARUČITELJ:</v>
      </c>
      <c r="O283" s="841"/>
    </row>
    <row r="284" spans="1:15" ht="25.15" customHeight="1">
      <c r="C284" s="3" t="str">
        <f>'Obrazac kalkulacije'!$C$25</f>
        <v>__________________</v>
      </c>
      <c r="F284" s="841" t="str">
        <f>'Obrazac kalkulacije'!$F$25</f>
        <v>___________________</v>
      </c>
      <c r="G284" s="841"/>
      <c r="K284" s="3" t="str">
        <f>'Obrazac kalkulacije'!$C$25</f>
        <v>__________________</v>
      </c>
      <c r="N284" s="841" t="str">
        <f>'Obrazac kalkulacije'!$F$25</f>
        <v>___________________</v>
      </c>
      <c r="O284" s="841"/>
    </row>
    <row r="285" spans="1:15" ht="15" customHeight="1">
      <c r="F285" s="841"/>
      <c r="G285" s="841"/>
      <c r="N285" s="841"/>
      <c r="O285" s="841"/>
    </row>
    <row r="286" spans="1:15" ht="15" customHeight="1"/>
    <row r="287" spans="1:15" ht="15" customHeight="1">
      <c r="A287" s="144"/>
      <c r="B287" s="145" t="s">
        <v>762</v>
      </c>
      <c r="C287" s="836" t="s">
        <v>763</v>
      </c>
      <c r="D287" s="836"/>
      <c r="E287" s="836"/>
      <c r="F287" s="836"/>
      <c r="G287" s="836"/>
      <c r="I287" s="144"/>
      <c r="J287" s="145" t="s">
        <v>762</v>
      </c>
      <c r="K287" s="836" t="s">
        <v>763</v>
      </c>
      <c r="L287" s="836"/>
      <c r="M287" s="836"/>
      <c r="N287" s="836"/>
      <c r="O287" s="836"/>
    </row>
    <row r="288" spans="1:15" ht="15" customHeight="1">
      <c r="A288" s="38"/>
      <c r="B288" s="39" t="s">
        <v>786</v>
      </c>
      <c r="C288" s="860" t="s">
        <v>787</v>
      </c>
      <c r="D288" s="860"/>
      <c r="E288" s="860"/>
      <c r="F288" s="860"/>
      <c r="G288" s="860"/>
      <c r="I288" s="38"/>
      <c r="J288" s="39" t="s">
        <v>786</v>
      </c>
      <c r="K288" s="860" t="s">
        <v>787</v>
      </c>
      <c r="L288" s="860"/>
      <c r="M288" s="860"/>
      <c r="N288" s="860"/>
      <c r="O288" s="860"/>
    </row>
    <row r="289" spans="1:15" ht="150" customHeight="1">
      <c r="A289" s="40"/>
      <c r="B289" s="556" t="s">
        <v>814</v>
      </c>
      <c r="C289" s="852" t="s">
        <v>815</v>
      </c>
      <c r="D289" s="852"/>
      <c r="E289" s="852"/>
      <c r="F289" s="852"/>
      <c r="G289" s="852"/>
      <c r="I289" s="40"/>
      <c r="J289" s="41" t="s">
        <v>808</v>
      </c>
      <c r="K289" s="869" t="s">
        <v>816</v>
      </c>
      <c r="L289" s="869"/>
      <c r="M289" s="869"/>
      <c r="N289" s="869"/>
      <c r="O289" s="869"/>
    </row>
    <row r="290" spans="1:15" ht="15" customHeight="1"/>
    <row r="291" spans="1:15" s="11" customFormat="1" ht="30" customHeight="1">
      <c r="A291" s="10"/>
      <c r="B291" s="835" t="s">
        <v>624</v>
      </c>
      <c r="C291" s="835"/>
      <c r="D291" s="10" t="s">
        <v>625</v>
      </c>
      <c r="E291" s="10" t="s">
        <v>626</v>
      </c>
      <c r="F291" s="10" t="s">
        <v>627</v>
      </c>
      <c r="G291" s="10" t="s">
        <v>628</v>
      </c>
      <c r="I291" s="10"/>
      <c r="J291" s="835" t="s">
        <v>624</v>
      </c>
      <c r="K291" s="835"/>
      <c r="L291" s="10" t="s">
        <v>625</v>
      </c>
      <c r="M291" s="10" t="s">
        <v>626</v>
      </c>
      <c r="N291" s="10" t="s">
        <v>627</v>
      </c>
      <c r="O291" s="10" t="s">
        <v>628</v>
      </c>
    </row>
    <row r="292" spans="1:15" s="12" customFormat="1" ht="4.5" customHeight="1">
      <c r="A292" s="1"/>
      <c r="B292" s="42"/>
      <c r="C292" s="1"/>
      <c r="D292" s="11"/>
      <c r="E292" s="13"/>
      <c r="F292" s="258"/>
      <c r="G292" s="630"/>
      <c r="I292" s="1"/>
      <c r="J292" s="42"/>
      <c r="K292" s="1"/>
      <c r="L292" s="11"/>
      <c r="M292" s="13"/>
      <c r="N292" s="258"/>
      <c r="O292" s="15"/>
    </row>
    <row r="293" spans="1:15" s="12" customFormat="1" ht="25.15" customHeight="1">
      <c r="A293" s="16"/>
      <c r="B293" s="837" t="s">
        <v>566</v>
      </c>
      <c r="C293" s="837"/>
      <c r="D293" s="16"/>
      <c r="E293" s="16"/>
      <c r="F293" s="238"/>
      <c r="G293" s="18">
        <f>SUM(G294:G295)</f>
        <v>526.26</v>
      </c>
      <c r="I293" s="16"/>
      <c r="J293" s="837" t="s">
        <v>566</v>
      </c>
      <c r="K293" s="837"/>
      <c r="L293" s="16"/>
      <c r="M293" s="16"/>
      <c r="N293" s="238"/>
      <c r="O293" s="18">
        <f>SUM(O295:O295)</f>
        <v>605.15</v>
      </c>
    </row>
    <row r="294" spans="1:15" s="12" customFormat="1" ht="25.15" customHeight="1">
      <c r="A294" s="16"/>
      <c r="B294" s="854" t="s">
        <v>172</v>
      </c>
      <c r="C294" s="854"/>
      <c r="D294" s="44" t="s">
        <v>51</v>
      </c>
      <c r="E294" s="104">
        <v>0.5</v>
      </c>
      <c r="F294" s="238">
        <f>SUMIF('Cjenik VSO'!$B$9:$B$85,$B294,'Cjenik VSO'!$C$9:$C$85)</f>
        <v>447.37</v>
      </c>
      <c r="G294" s="18">
        <f>E294*F294</f>
        <v>223.685</v>
      </c>
      <c r="I294" s="43"/>
      <c r="J294" s="849" t="s">
        <v>817</v>
      </c>
      <c r="K294" s="849"/>
      <c r="L294" s="52" t="s">
        <v>51</v>
      </c>
      <c r="M294" s="86">
        <v>1</v>
      </c>
      <c r="N294" s="260">
        <f>SUMIF('Cjenik VSO'!$B$9:$B$85,$B294,'Cjenik VSO'!$C$9:$C$85)</f>
        <v>447.37</v>
      </c>
      <c r="O294" s="54">
        <f>M294*N294</f>
        <v>447.37</v>
      </c>
    </row>
    <row r="295" spans="1:15" s="12" customFormat="1" ht="25.15" customHeight="1">
      <c r="A295" s="632"/>
      <c r="B295" s="862" t="s">
        <v>818</v>
      </c>
      <c r="C295" s="862"/>
      <c r="D295" s="138" t="s">
        <v>51</v>
      </c>
      <c r="E295" s="671">
        <v>0.5</v>
      </c>
      <c r="F295" s="266">
        <f>SUMIF('Cjenik VSO'!$B$9:$B$85,$B295,'Cjenik VSO'!$C$9:$C$85)</f>
        <v>605.15</v>
      </c>
      <c r="G295" s="672">
        <f>E295*F295</f>
        <v>302.57499999999999</v>
      </c>
      <c r="I295" s="43"/>
      <c r="J295" s="849" t="s">
        <v>817</v>
      </c>
      <c r="K295" s="849"/>
      <c r="L295" s="52" t="s">
        <v>51</v>
      </c>
      <c r="M295" s="86">
        <v>1</v>
      </c>
      <c r="N295" s="260">
        <f>SUMIF('Cjenik VSO'!$B$9:$B$85,$B295,'Cjenik VSO'!$C$9:$C$85)</f>
        <v>605.15</v>
      </c>
      <c r="O295" s="54">
        <f>M295*N295</f>
        <v>605.15</v>
      </c>
    </row>
    <row r="296" spans="1:15" ht="25.15" customHeight="1">
      <c r="B296" s="47"/>
      <c r="C296" s="24"/>
      <c r="D296" s="25"/>
      <c r="E296" s="850" t="str">
        <f>'Obrazac kalkulacije'!$E$18</f>
        <v>Ukupno (kn):</v>
      </c>
      <c r="F296" s="850"/>
      <c r="G296" s="26">
        <f>ROUND(SUM(G293),2)</f>
        <v>526.26</v>
      </c>
      <c r="H296" s="269" t="e">
        <f>SUMIF(#REF!,$B289,#REF!)</f>
        <v>#REF!</v>
      </c>
      <c r="J296" s="47"/>
      <c r="K296" s="24"/>
      <c r="L296" s="25"/>
      <c r="M296" s="850" t="str">
        <f>'Obrazac kalkulacije'!$E$18</f>
        <v>Ukupno (kn):</v>
      </c>
      <c r="N296" s="850"/>
      <c r="O296" s="26">
        <f>ROUND(SUM(O293),2)</f>
        <v>605.15</v>
      </c>
    </row>
    <row r="297" spans="1:15" ht="25.15" customHeight="1">
      <c r="E297" s="27" t="str">
        <f>'Obrazac kalkulacije'!$E$19</f>
        <v>PDV:</v>
      </c>
      <c r="F297" s="683">
        <f>'Obrazac kalkulacije'!$F$19</f>
        <v>0.25</v>
      </c>
      <c r="G297" s="29">
        <f>G296*F297</f>
        <v>131.565</v>
      </c>
      <c r="H297" s="270" t="e">
        <f>H296-G296</f>
        <v>#REF!</v>
      </c>
      <c r="M297" s="27" t="str">
        <f>'Obrazac kalkulacije'!$E$19</f>
        <v>PDV:</v>
      </c>
      <c r="N297" s="259">
        <f>'Obrazac kalkulacije'!$F$19</f>
        <v>0.25</v>
      </c>
      <c r="O297" s="29">
        <f>O296*N297</f>
        <v>151.28749999999999</v>
      </c>
    </row>
    <row r="298" spans="1:15" ht="25.15" customHeight="1">
      <c r="E298" s="840" t="str">
        <f>'Obrazac kalkulacije'!$E$20</f>
        <v>Sveukupno (kn):</v>
      </c>
      <c r="F298" s="840"/>
      <c r="G298" s="29">
        <f>ROUND(SUM(G296:G297),2)</f>
        <v>657.83</v>
      </c>
      <c r="H298" s="271" t="e">
        <f>G293+H297</f>
        <v>#REF!</v>
      </c>
      <c r="M298" s="840" t="str">
        <f>'Obrazac kalkulacije'!$E$20</f>
        <v>Sveukupno (kn):</v>
      </c>
      <c r="N298" s="840"/>
      <c r="O298" s="29">
        <f>ROUND(SUM(O296:O297),2)</f>
        <v>756.44</v>
      </c>
    </row>
    <row r="299" spans="1:15" ht="15" customHeight="1"/>
    <row r="300" spans="1:15" ht="15" customHeight="1"/>
    <row r="301" spans="1:15" ht="15" customHeight="1"/>
    <row r="302" spans="1:15" ht="15" customHeight="1">
      <c r="C302" s="3" t="str">
        <f>'Obrazac kalkulacije'!$C$24</f>
        <v>IZVODITELJ:</v>
      </c>
      <c r="F302" s="841" t="str">
        <f>'Obrazac kalkulacije'!$F$24</f>
        <v>NARUČITELJ:</v>
      </c>
      <c r="G302" s="841"/>
      <c r="K302" s="3" t="str">
        <f>'Obrazac kalkulacije'!$C$24</f>
        <v>IZVODITELJ:</v>
      </c>
      <c r="N302" s="841" t="str">
        <f>'Obrazac kalkulacije'!$F$24</f>
        <v>NARUČITELJ:</v>
      </c>
      <c r="O302" s="841"/>
    </row>
    <row r="303" spans="1:15" ht="25.15" customHeight="1">
      <c r="C303" s="3" t="str">
        <f>'Obrazac kalkulacije'!$C$25</f>
        <v>__________________</v>
      </c>
      <c r="F303" s="841" t="str">
        <f>'Obrazac kalkulacije'!$F$25</f>
        <v>___________________</v>
      </c>
      <c r="G303" s="841"/>
      <c r="K303" s="3" t="str">
        <f>'Obrazac kalkulacije'!$C$25</f>
        <v>__________________</v>
      </c>
      <c r="N303" s="841" t="str">
        <f>'Obrazac kalkulacije'!$F$25</f>
        <v>___________________</v>
      </c>
      <c r="O303" s="841"/>
    </row>
    <row r="304" spans="1:15" ht="15" customHeight="1">
      <c r="F304" s="841"/>
      <c r="G304" s="841"/>
      <c r="N304" s="841"/>
      <c r="O304" s="841"/>
    </row>
    <row r="305" spans="1:15" ht="15" customHeight="1"/>
    <row r="306" spans="1:15" ht="15" customHeight="1">
      <c r="A306" s="144"/>
      <c r="B306" s="145" t="s">
        <v>762</v>
      </c>
      <c r="C306" s="836" t="s">
        <v>763</v>
      </c>
      <c r="D306" s="836"/>
      <c r="E306" s="836"/>
      <c r="F306" s="836"/>
      <c r="G306" s="836"/>
      <c r="I306" s="144"/>
      <c r="J306" s="145" t="s">
        <v>762</v>
      </c>
      <c r="K306" s="836" t="s">
        <v>763</v>
      </c>
      <c r="L306" s="836"/>
      <c r="M306" s="836"/>
      <c r="N306" s="836"/>
      <c r="O306" s="836"/>
    </row>
    <row r="307" spans="1:15" ht="15" customHeight="1">
      <c r="A307" s="38"/>
      <c r="B307" s="39" t="s">
        <v>786</v>
      </c>
      <c r="C307" s="860" t="s">
        <v>787</v>
      </c>
      <c r="D307" s="860"/>
      <c r="E307" s="860"/>
      <c r="F307" s="860"/>
      <c r="G307" s="860"/>
      <c r="I307" s="38"/>
      <c r="J307" s="39" t="s">
        <v>786</v>
      </c>
      <c r="K307" s="860" t="s">
        <v>787</v>
      </c>
      <c r="L307" s="860"/>
      <c r="M307" s="860"/>
      <c r="N307" s="860"/>
      <c r="O307" s="860"/>
    </row>
    <row r="308" spans="1:15" ht="150" customHeight="1">
      <c r="A308" s="40"/>
      <c r="B308" s="556" t="s">
        <v>819</v>
      </c>
      <c r="C308" s="852" t="s">
        <v>820</v>
      </c>
      <c r="D308" s="852"/>
      <c r="E308" s="852"/>
      <c r="F308" s="852"/>
      <c r="G308" s="852"/>
      <c r="I308" s="40"/>
      <c r="J308" s="41" t="s">
        <v>812</v>
      </c>
      <c r="K308" s="869" t="s">
        <v>820</v>
      </c>
      <c r="L308" s="869"/>
      <c r="M308" s="869"/>
      <c r="N308" s="869"/>
      <c r="O308" s="869"/>
    </row>
    <row r="309" spans="1:15" ht="15" customHeight="1"/>
    <row r="310" spans="1:15" s="11" customFormat="1" ht="30" customHeight="1">
      <c r="A310" s="10"/>
      <c r="B310" s="835" t="s">
        <v>624</v>
      </c>
      <c r="C310" s="835"/>
      <c r="D310" s="10" t="s">
        <v>625</v>
      </c>
      <c r="E310" s="10" t="s">
        <v>626</v>
      </c>
      <c r="F310" s="10" t="s">
        <v>627</v>
      </c>
      <c r="G310" s="10" t="s">
        <v>628</v>
      </c>
      <c r="I310" s="10"/>
      <c r="J310" s="835" t="s">
        <v>624</v>
      </c>
      <c r="K310" s="835"/>
      <c r="L310" s="10" t="s">
        <v>625</v>
      </c>
      <c r="M310" s="10" t="s">
        <v>626</v>
      </c>
      <c r="N310" s="10" t="s">
        <v>627</v>
      </c>
      <c r="O310" s="10" t="s">
        <v>628</v>
      </c>
    </row>
    <row r="311" spans="1:15" s="12" customFormat="1" ht="4.5" customHeight="1">
      <c r="A311" s="1"/>
      <c r="B311" s="42"/>
      <c r="C311" s="1"/>
      <c r="D311" s="11"/>
      <c r="E311" s="13"/>
      <c r="F311" s="258"/>
      <c r="G311" s="15"/>
      <c r="I311" s="1"/>
      <c r="J311" s="42"/>
      <c r="K311" s="1"/>
      <c r="L311" s="11"/>
      <c r="M311" s="13"/>
      <c r="N311" s="258"/>
      <c r="O311" s="15"/>
    </row>
    <row r="312" spans="1:15" s="12" customFormat="1" ht="25.15" customHeight="1">
      <c r="A312" s="16"/>
      <c r="B312" s="837" t="s">
        <v>565</v>
      </c>
      <c r="C312" s="837"/>
      <c r="D312" s="16"/>
      <c r="E312" s="16"/>
      <c r="F312" s="44"/>
      <c r="G312" s="18">
        <f>SUM(G313:G313)</f>
        <v>85.55</v>
      </c>
      <c r="I312" s="16"/>
      <c r="J312" s="837" t="s">
        <v>565</v>
      </c>
      <c r="K312" s="837"/>
      <c r="L312" s="16"/>
      <c r="M312" s="16"/>
      <c r="N312" s="44"/>
      <c r="O312" s="18">
        <f>SUM(O313:O313)</f>
        <v>85.55</v>
      </c>
    </row>
    <row r="313" spans="1:15" s="12" customFormat="1" ht="25.15" customHeight="1">
      <c r="A313" s="19"/>
      <c r="B313" s="854" t="s">
        <v>363</v>
      </c>
      <c r="C313" s="854"/>
      <c r="D313" s="33" t="s">
        <v>51</v>
      </c>
      <c r="E313" s="34">
        <v>1</v>
      </c>
      <c r="F313" s="238">
        <f>SUMIF('Cjenik RS'!$C$11:$C$26,$B313,'Cjenik RS'!$D$11:$D$90)</f>
        <v>85.55</v>
      </c>
      <c r="G313" s="35">
        <f>+F313*E313</f>
        <v>85.55</v>
      </c>
      <c r="I313" s="19"/>
      <c r="J313" s="854" t="s">
        <v>363</v>
      </c>
      <c r="K313" s="854"/>
      <c r="L313" s="33" t="s">
        <v>51</v>
      </c>
      <c r="M313" s="34">
        <v>1</v>
      </c>
      <c r="N313" s="238">
        <f>SUMIF('Cjenik RS'!$C$11:$C$26,$B313,'Cjenik RS'!$D$11:$D$90)</f>
        <v>85.55</v>
      </c>
      <c r="O313" s="35">
        <f>+N313*M313</f>
        <v>85.55</v>
      </c>
    </row>
    <row r="314" spans="1:15" ht="25.15" customHeight="1">
      <c r="B314" s="47"/>
      <c r="C314" s="24"/>
      <c r="D314" s="25"/>
      <c r="E314" s="850" t="str">
        <f>'Obrazac kalkulacije'!$E$18</f>
        <v>Ukupno (kn):</v>
      </c>
      <c r="F314" s="850"/>
      <c r="G314" s="26">
        <f>ROUND(SUM(G312),2)</f>
        <v>85.55</v>
      </c>
      <c r="H314" s="269" t="e">
        <f>SUMIF(#REF!,$B308,#REF!)</f>
        <v>#REF!</v>
      </c>
      <c r="J314" s="47"/>
      <c r="K314" s="24"/>
      <c r="L314" s="25"/>
      <c r="M314" s="850" t="str">
        <f>'Obrazac kalkulacije'!$E$18</f>
        <v>Ukupno (kn):</v>
      </c>
      <c r="N314" s="850"/>
      <c r="O314" s="26">
        <f>ROUND(SUM(O312),2)</f>
        <v>85.55</v>
      </c>
    </row>
    <row r="315" spans="1:15" ht="25.15" customHeight="1">
      <c r="E315" s="27" t="str">
        <f>'Obrazac kalkulacije'!$E$19</f>
        <v>PDV:</v>
      </c>
      <c r="F315" s="259">
        <f>'Obrazac kalkulacije'!$F$19</f>
        <v>0.25</v>
      </c>
      <c r="G315" s="29">
        <f>G314*F315</f>
        <v>21.387499999999999</v>
      </c>
      <c r="H315" s="270" t="e">
        <f>H314-G314</f>
        <v>#REF!</v>
      </c>
      <c r="M315" s="27" t="str">
        <f>'Obrazac kalkulacije'!$E$19</f>
        <v>PDV:</v>
      </c>
      <c r="N315" s="259">
        <f>'Obrazac kalkulacije'!$F$19</f>
        <v>0.25</v>
      </c>
      <c r="O315" s="29">
        <f>O314*N315</f>
        <v>21.387499999999999</v>
      </c>
    </row>
    <row r="316" spans="1:15" ht="25.15" customHeight="1">
      <c r="E316" s="840" t="str">
        <f>'Obrazac kalkulacije'!$E$20</f>
        <v>Sveukupno (kn):</v>
      </c>
      <c r="F316" s="840"/>
      <c r="G316" s="29">
        <f>ROUND(SUM(G314:G315),2)</f>
        <v>106.94</v>
      </c>
      <c r="H316" s="271"/>
      <c r="M316" s="840" t="str">
        <f>'Obrazac kalkulacije'!$E$20</f>
        <v>Sveukupno (kn):</v>
      </c>
      <c r="N316" s="840"/>
      <c r="O316" s="29">
        <f>ROUND(SUM(O314:O315),2)</f>
        <v>106.94</v>
      </c>
    </row>
    <row r="317" spans="1:15" ht="15" customHeight="1"/>
    <row r="318" spans="1:15" ht="15" customHeight="1"/>
    <row r="319" spans="1:15" ht="15" customHeight="1"/>
    <row r="320" spans="1:15" ht="15" customHeight="1">
      <c r="C320" s="3" t="str">
        <f>'Obrazac kalkulacije'!$C$24</f>
        <v>IZVODITELJ:</v>
      </c>
      <c r="F320" s="841" t="str">
        <f>'Obrazac kalkulacije'!$F$24</f>
        <v>NARUČITELJ:</v>
      </c>
      <c r="G320" s="841"/>
      <c r="K320" s="3" t="str">
        <f>'Obrazac kalkulacije'!$C$24</f>
        <v>IZVODITELJ:</v>
      </c>
      <c r="N320" s="841" t="str">
        <f>'Obrazac kalkulacije'!$F$24</f>
        <v>NARUČITELJ:</v>
      </c>
      <c r="O320" s="841"/>
    </row>
    <row r="321" spans="1:15" ht="25.15" customHeight="1">
      <c r="C321" s="3" t="str">
        <f>'Obrazac kalkulacije'!$C$25</f>
        <v>__________________</v>
      </c>
      <c r="F321" s="841" t="str">
        <f>'Obrazac kalkulacije'!$F$25</f>
        <v>___________________</v>
      </c>
      <c r="G321" s="841"/>
      <c r="K321" s="3" t="str">
        <f>'Obrazac kalkulacije'!$C$25</f>
        <v>__________________</v>
      </c>
      <c r="N321" s="841" t="str">
        <f>'Obrazac kalkulacije'!$F$25</f>
        <v>___________________</v>
      </c>
      <c r="O321" s="841"/>
    </row>
    <row r="322" spans="1:15" ht="15" customHeight="1">
      <c r="F322" s="841"/>
      <c r="G322" s="841"/>
      <c r="N322" s="841"/>
      <c r="O322" s="841"/>
    </row>
    <row r="323" spans="1:15" ht="15" customHeight="1"/>
    <row r="324" spans="1:15" ht="15" customHeight="1">
      <c r="A324" s="144"/>
      <c r="B324" s="145" t="s">
        <v>762</v>
      </c>
      <c r="C324" s="836" t="s">
        <v>763</v>
      </c>
      <c r="D324" s="836"/>
      <c r="E324" s="836"/>
      <c r="F324" s="836"/>
      <c r="G324" s="836"/>
      <c r="I324" s="144"/>
      <c r="J324" s="145"/>
      <c r="K324" s="836"/>
      <c r="L324" s="836"/>
      <c r="M324" s="836"/>
      <c r="N324" s="836"/>
      <c r="O324" s="836"/>
    </row>
    <row r="325" spans="1:15" ht="15" customHeight="1">
      <c r="A325" s="38"/>
      <c r="B325" s="39" t="s">
        <v>821</v>
      </c>
      <c r="C325" s="860" t="s">
        <v>822</v>
      </c>
      <c r="D325" s="860"/>
      <c r="E325" s="860"/>
      <c r="F325" s="860"/>
      <c r="G325" s="860"/>
      <c r="I325" s="38"/>
      <c r="J325" s="39"/>
      <c r="K325" s="860"/>
      <c r="L325" s="860"/>
      <c r="M325" s="860"/>
      <c r="N325" s="860"/>
      <c r="O325" s="860"/>
    </row>
    <row r="326" spans="1:15" ht="150" customHeight="1">
      <c r="A326" s="9"/>
      <c r="B326" s="556" t="s">
        <v>823</v>
      </c>
      <c r="C326" s="852" t="s">
        <v>824</v>
      </c>
      <c r="D326" s="852"/>
      <c r="E326" s="852"/>
      <c r="F326" s="852"/>
      <c r="G326" s="852"/>
      <c r="I326" s="9"/>
      <c r="J326" s="41"/>
      <c r="K326" s="869"/>
      <c r="L326" s="869"/>
      <c r="M326" s="869"/>
      <c r="N326" s="869"/>
      <c r="O326" s="869"/>
    </row>
    <row r="327" spans="1:15" ht="15" customHeight="1"/>
    <row r="328" spans="1:15" s="11" customFormat="1" ht="30" customHeight="1">
      <c r="A328" s="10"/>
      <c r="B328" s="835" t="s">
        <v>624</v>
      </c>
      <c r="C328" s="835"/>
      <c r="D328" s="10" t="s">
        <v>625</v>
      </c>
      <c r="E328" s="10" t="s">
        <v>626</v>
      </c>
      <c r="F328" s="10" t="s">
        <v>627</v>
      </c>
      <c r="G328" s="10" t="s">
        <v>628</v>
      </c>
      <c r="I328" s="10"/>
      <c r="J328" s="835" t="s">
        <v>624</v>
      </c>
      <c r="K328" s="835"/>
      <c r="L328" s="10" t="s">
        <v>625</v>
      </c>
      <c r="M328" s="10" t="s">
        <v>626</v>
      </c>
      <c r="N328" s="10" t="s">
        <v>627</v>
      </c>
      <c r="O328" s="10" t="s">
        <v>628</v>
      </c>
    </row>
    <row r="329" spans="1:15" s="12" customFormat="1" ht="4.5" customHeight="1">
      <c r="A329" s="1"/>
      <c r="B329" s="42"/>
      <c r="C329" s="1"/>
      <c r="D329" s="11"/>
      <c r="E329" s="13"/>
      <c r="F329" s="258"/>
      <c r="G329" s="15"/>
      <c r="I329" s="1"/>
      <c r="J329" s="42"/>
      <c r="K329" s="1"/>
      <c r="L329" s="11"/>
      <c r="M329" s="13"/>
      <c r="N329" s="258"/>
      <c r="O329" s="15"/>
    </row>
    <row r="330" spans="1:15" s="12" customFormat="1" ht="25.15" customHeight="1">
      <c r="A330" s="16"/>
      <c r="B330" s="837" t="s">
        <v>630</v>
      </c>
      <c r="C330" s="837"/>
      <c r="D330" s="16"/>
      <c r="E330" s="16"/>
      <c r="F330" s="238"/>
      <c r="G330" s="18">
        <f>SUM(G331:G331)</f>
        <v>0</v>
      </c>
      <c r="I330" s="16"/>
      <c r="J330" s="837" t="s">
        <v>630</v>
      </c>
      <c r="K330" s="837"/>
      <c r="L330" s="16"/>
      <c r="M330" s="16"/>
      <c r="N330" s="238"/>
      <c r="O330" s="18">
        <f>SUM(O331:O331)</f>
        <v>0</v>
      </c>
    </row>
    <row r="331" spans="1:15" s="12" customFormat="1" ht="25.15" customHeight="1">
      <c r="A331" s="66"/>
      <c r="B331" s="859">
        <f>'Cjenik M'!$B$113</f>
        <v>0</v>
      </c>
      <c r="C331" s="859"/>
      <c r="D331" s="67">
        <f>'Cjenik M'!$C$87</f>
        <v>0</v>
      </c>
      <c r="E331" s="68">
        <v>1</v>
      </c>
      <c r="F331" s="262">
        <f>'Cjenik M'!$D$113</f>
        <v>0</v>
      </c>
      <c r="G331" s="70">
        <f>E331*F331</f>
        <v>0</v>
      </c>
      <c r="I331" s="66"/>
      <c r="J331" s="859"/>
      <c r="K331" s="859"/>
      <c r="L331" s="67"/>
      <c r="M331" s="68"/>
      <c r="N331" s="262"/>
      <c r="O331" s="70">
        <f>M331*N331</f>
        <v>0</v>
      </c>
    </row>
    <row r="332" spans="1:15" ht="25.15" customHeight="1">
      <c r="B332" s="47"/>
      <c r="C332" s="24"/>
      <c r="D332" s="25"/>
      <c r="E332" s="850" t="str">
        <f>'Obrazac kalkulacije'!$E$18</f>
        <v>Ukupno (kn):</v>
      </c>
      <c r="F332" s="850"/>
      <c r="G332" s="26">
        <f>ROUND(SUM(G330),2)</f>
        <v>0</v>
      </c>
      <c r="H332" s="269" t="e">
        <f>SUMIF(#REF!,$B326,#REF!)</f>
        <v>#REF!</v>
      </c>
      <c r="J332" s="47"/>
      <c r="K332" s="24"/>
      <c r="L332" s="25"/>
      <c r="M332" s="850" t="str">
        <f>'Obrazac kalkulacije'!$E$18</f>
        <v>Ukupno (kn):</v>
      </c>
      <c r="N332" s="850"/>
      <c r="O332" s="26">
        <f>ROUND(SUM(O330),2)</f>
        <v>0</v>
      </c>
    </row>
    <row r="333" spans="1:15" ht="25.15" customHeight="1">
      <c r="E333" s="27" t="str">
        <f>'Obrazac kalkulacije'!$E$19</f>
        <v>PDV:</v>
      </c>
      <c r="F333" s="259">
        <f>'Obrazac kalkulacije'!$F$19</f>
        <v>0.25</v>
      </c>
      <c r="G333" s="29">
        <f>G332*F333</f>
        <v>0</v>
      </c>
      <c r="H333" s="270" t="e">
        <f>H332-G332</f>
        <v>#REF!</v>
      </c>
      <c r="M333" s="27" t="str">
        <f>'Obrazac kalkulacije'!$E$19</f>
        <v>PDV:</v>
      </c>
      <c r="N333" s="259">
        <f>'Obrazac kalkulacije'!$F$19</f>
        <v>0.25</v>
      </c>
      <c r="O333" s="29">
        <f>O332*N333</f>
        <v>0</v>
      </c>
    </row>
    <row r="334" spans="1:15" ht="25.15" customHeight="1">
      <c r="E334" s="840" t="str">
        <f>'Obrazac kalkulacije'!$E$20</f>
        <v>Sveukupno (kn):</v>
      </c>
      <c r="F334" s="840"/>
      <c r="G334" s="29">
        <f>ROUND(SUM(G332:G333),2)</f>
        <v>0</v>
      </c>
      <c r="H334" s="271"/>
      <c r="M334" s="840" t="str">
        <f>'Obrazac kalkulacije'!$E$20</f>
        <v>Sveukupno (kn):</v>
      </c>
      <c r="N334" s="840"/>
      <c r="O334" s="29">
        <f>ROUND(SUM(O332:O333),2)</f>
        <v>0</v>
      </c>
    </row>
    <row r="335" spans="1:15" ht="15" customHeight="1"/>
    <row r="336" spans="1:15" ht="15" customHeight="1"/>
    <row r="337" spans="1:15" ht="15" customHeight="1"/>
    <row r="338" spans="1:15" ht="15" customHeight="1">
      <c r="C338" s="3" t="str">
        <f>'Obrazac kalkulacije'!$C$24</f>
        <v>IZVODITELJ:</v>
      </c>
      <c r="F338" s="841" t="str">
        <f>'Obrazac kalkulacije'!$F$24</f>
        <v>NARUČITELJ:</v>
      </c>
      <c r="G338" s="841"/>
      <c r="K338" s="3" t="str">
        <f>'Obrazac kalkulacije'!$C$24</f>
        <v>IZVODITELJ:</v>
      </c>
      <c r="N338" s="841" t="str">
        <f>'Obrazac kalkulacije'!$F$24</f>
        <v>NARUČITELJ:</v>
      </c>
      <c r="O338" s="841"/>
    </row>
    <row r="339" spans="1:15" ht="25.15" customHeight="1">
      <c r="C339" s="3" t="str">
        <f>'Obrazac kalkulacije'!$C$25</f>
        <v>__________________</v>
      </c>
      <c r="F339" s="841" t="str">
        <f>'Obrazac kalkulacije'!$F$25</f>
        <v>___________________</v>
      </c>
      <c r="G339" s="841"/>
      <c r="K339" s="3" t="str">
        <f>'Obrazac kalkulacije'!$C$25</f>
        <v>__________________</v>
      </c>
      <c r="N339" s="841" t="str">
        <f>'Obrazac kalkulacije'!$F$25</f>
        <v>___________________</v>
      </c>
      <c r="O339" s="841"/>
    </row>
    <row r="340" spans="1:15" ht="15" customHeight="1">
      <c r="F340" s="841"/>
      <c r="G340" s="841"/>
      <c r="N340" s="841"/>
      <c r="O340" s="841"/>
    </row>
    <row r="341" spans="1:15" ht="15" customHeight="1"/>
    <row r="342" spans="1:15" ht="15" customHeight="1">
      <c r="A342" s="144"/>
      <c r="B342" s="145" t="s">
        <v>762</v>
      </c>
      <c r="C342" s="836" t="s">
        <v>763</v>
      </c>
      <c r="D342" s="836"/>
      <c r="E342" s="836"/>
      <c r="F342" s="836"/>
      <c r="G342" s="836"/>
      <c r="I342" s="144"/>
      <c r="J342" s="145" t="s">
        <v>762</v>
      </c>
      <c r="K342" s="836" t="s">
        <v>763</v>
      </c>
      <c r="L342" s="836"/>
      <c r="M342" s="836"/>
      <c r="N342" s="836"/>
      <c r="O342" s="836"/>
    </row>
    <row r="343" spans="1:15" ht="15" customHeight="1">
      <c r="A343" s="38"/>
      <c r="B343" s="39" t="s">
        <v>821</v>
      </c>
      <c r="C343" s="860" t="s">
        <v>822</v>
      </c>
      <c r="D343" s="860"/>
      <c r="E343" s="860"/>
      <c r="F343" s="860"/>
      <c r="G343" s="860"/>
      <c r="I343" s="38"/>
      <c r="J343" s="39" t="s">
        <v>821</v>
      </c>
      <c r="K343" s="860" t="s">
        <v>822</v>
      </c>
      <c r="L343" s="860"/>
      <c r="M343" s="860"/>
      <c r="N343" s="860"/>
      <c r="O343" s="860"/>
    </row>
    <row r="344" spans="1:15" ht="150" customHeight="1">
      <c r="A344" s="9"/>
      <c r="B344" s="556" t="s">
        <v>825</v>
      </c>
      <c r="C344" s="852" t="s">
        <v>826</v>
      </c>
      <c r="D344" s="852"/>
      <c r="E344" s="852"/>
      <c r="F344" s="852"/>
      <c r="G344" s="852"/>
      <c r="I344" s="9"/>
      <c r="J344" s="41"/>
      <c r="K344" s="869"/>
      <c r="L344" s="869"/>
      <c r="M344" s="869"/>
      <c r="N344" s="869"/>
      <c r="O344" s="869"/>
    </row>
    <row r="345" spans="1:15" ht="15" customHeight="1"/>
    <row r="346" spans="1:15" s="11" customFormat="1" ht="30" customHeight="1">
      <c r="A346" s="10"/>
      <c r="B346" s="835" t="s">
        <v>624</v>
      </c>
      <c r="C346" s="835"/>
      <c r="D346" s="10" t="s">
        <v>625</v>
      </c>
      <c r="E346" s="10" t="s">
        <v>626</v>
      </c>
      <c r="F346" s="10" t="s">
        <v>627</v>
      </c>
      <c r="G346" s="10" t="s">
        <v>628</v>
      </c>
      <c r="I346" s="10"/>
      <c r="J346" s="835" t="s">
        <v>624</v>
      </c>
      <c r="K346" s="835"/>
      <c r="L346" s="10" t="s">
        <v>625</v>
      </c>
      <c r="M346" s="10" t="s">
        <v>626</v>
      </c>
      <c r="N346" s="10" t="s">
        <v>627</v>
      </c>
      <c r="O346" s="10" t="s">
        <v>628</v>
      </c>
    </row>
    <row r="347" spans="1:15" s="12" customFormat="1" ht="4.5" customHeight="1">
      <c r="A347" s="1"/>
      <c r="B347" s="42"/>
      <c r="C347" s="1"/>
      <c r="D347" s="11"/>
      <c r="E347" s="13"/>
      <c r="F347" s="258"/>
      <c r="G347" s="15"/>
      <c r="I347" s="1"/>
      <c r="J347" s="42"/>
      <c r="K347" s="1"/>
      <c r="L347" s="11"/>
      <c r="M347" s="13"/>
      <c r="N347" s="258"/>
      <c r="O347" s="15"/>
    </row>
    <row r="348" spans="1:15" s="12" customFormat="1" ht="25.15" customHeight="1">
      <c r="A348" s="16"/>
      <c r="B348" s="837" t="s">
        <v>630</v>
      </c>
      <c r="C348" s="837"/>
      <c r="D348" s="16"/>
      <c r="E348" s="16"/>
      <c r="F348" s="238"/>
      <c r="G348" s="18">
        <f>SUM(G349:G349)</f>
        <v>0</v>
      </c>
      <c r="I348" s="16"/>
      <c r="J348" s="837" t="s">
        <v>630</v>
      </c>
      <c r="K348" s="837"/>
      <c r="L348" s="16"/>
      <c r="M348" s="16"/>
      <c r="N348" s="238"/>
      <c r="O348" s="18">
        <f>SUM(O349:O349)</f>
        <v>0</v>
      </c>
    </row>
    <row r="349" spans="1:15" s="12" customFormat="1" ht="25.15" customHeight="1">
      <c r="A349" s="66"/>
      <c r="B349" s="859">
        <f>'Cjenik M'!$B$88</f>
        <v>0</v>
      </c>
      <c r="C349" s="859"/>
      <c r="D349" s="67">
        <f>'Cjenik M'!$C$87</f>
        <v>0</v>
      </c>
      <c r="E349" s="68">
        <v>1</v>
      </c>
      <c r="F349" s="262">
        <f>'Cjenik M'!$D$88</f>
        <v>0</v>
      </c>
      <c r="G349" s="70">
        <f>E349*F349</f>
        <v>0</v>
      </c>
      <c r="I349" s="66"/>
      <c r="J349" s="859"/>
      <c r="K349" s="859"/>
      <c r="L349" s="67"/>
      <c r="M349" s="68"/>
      <c r="N349" s="262"/>
      <c r="O349" s="70">
        <f>M349*N349</f>
        <v>0</v>
      </c>
    </row>
    <row r="350" spans="1:15" ht="25.15" customHeight="1">
      <c r="B350" s="47"/>
      <c r="C350" s="24"/>
      <c r="D350" s="25"/>
      <c r="E350" s="850" t="str">
        <f>'Obrazac kalkulacije'!$E$18</f>
        <v>Ukupno (kn):</v>
      </c>
      <c r="F350" s="850"/>
      <c r="G350" s="26">
        <f>ROUND(SUM(G348),2)</f>
        <v>0</v>
      </c>
      <c r="H350" s="269" t="e">
        <f>SUMIF(#REF!,$B344,#REF!)</f>
        <v>#REF!</v>
      </c>
      <c r="J350" s="47"/>
      <c r="K350" s="24"/>
      <c r="L350" s="25"/>
      <c r="M350" s="850" t="str">
        <f>'Obrazac kalkulacije'!$E$18</f>
        <v>Ukupno (kn):</v>
      </c>
      <c r="N350" s="850"/>
      <c r="O350" s="26">
        <f>ROUND(SUM(O348),2)</f>
        <v>0</v>
      </c>
    </row>
    <row r="351" spans="1:15" ht="25.15" customHeight="1">
      <c r="E351" s="27" t="str">
        <f>'Obrazac kalkulacije'!$E$19</f>
        <v>PDV:</v>
      </c>
      <c r="F351" s="259">
        <f>'Obrazac kalkulacije'!$F$19</f>
        <v>0.25</v>
      </c>
      <c r="G351" s="29">
        <f>G350*F351</f>
        <v>0</v>
      </c>
      <c r="H351" s="270" t="e">
        <f>H350-G350</f>
        <v>#REF!</v>
      </c>
      <c r="M351" s="27" t="str">
        <f>'Obrazac kalkulacije'!$E$19</f>
        <v>PDV:</v>
      </c>
      <c r="N351" s="259">
        <f>'Obrazac kalkulacije'!$F$19</f>
        <v>0.25</v>
      </c>
      <c r="O351" s="29">
        <f>O350*N351</f>
        <v>0</v>
      </c>
    </row>
    <row r="352" spans="1:15" ht="25.15" customHeight="1">
      <c r="E352" s="840" t="str">
        <f>'Obrazac kalkulacije'!$E$20</f>
        <v>Sveukupno (kn):</v>
      </c>
      <c r="F352" s="840"/>
      <c r="G352" s="29">
        <f>ROUND(SUM(G350:G351),2)</f>
        <v>0</v>
      </c>
      <c r="H352" s="271"/>
      <c r="M352" s="840" t="str">
        <f>'Obrazac kalkulacije'!$E$20</f>
        <v>Sveukupno (kn):</v>
      </c>
      <c r="N352" s="840"/>
      <c r="O352" s="29">
        <f>ROUND(SUM(O350:O351),2)</f>
        <v>0</v>
      </c>
    </row>
    <row r="353" spans="1:15" ht="15" customHeight="1"/>
    <row r="354" spans="1:15" ht="15" customHeight="1"/>
    <row r="355" spans="1:15" ht="15" customHeight="1"/>
    <row r="356" spans="1:15" ht="15" customHeight="1">
      <c r="C356" s="3" t="str">
        <f>'Obrazac kalkulacije'!$C$24</f>
        <v>IZVODITELJ:</v>
      </c>
      <c r="F356" s="841" t="str">
        <f>'Obrazac kalkulacije'!$F$24</f>
        <v>NARUČITELJ:</v>
      </c>
      <c r="G356" s="841"/>
      <c r="K356" s="3" t="str">
        <f>'Obrazac kalkulacije'!$C$24</f>
        <v>IZVODITELJ:</v>
      </c>
      <c r="N356" s="841" t="str">
        <f>'Obrazac kalkulacije'!$F$24</f>
        <v>NARUČITELJ:</v>
      </c>
      <c r="O356" s="841"/>
    </row>
    <row r="357" spans="1:15" ht="25.15" customHeight="1">
      <c r="C357" s="3" t="str">
        <f>'Obrazac kalkulacije'!$C$25</f>
        <v>__________________</v>
      </c>
      <c r="F357" s="841" t="str">
        <f>'Obrazac kalkulacije'!$F$25</f>
        <v>___________________</v>
      </c>
      <c r="G357" s="841"/>
      <c r="K357" s="3" t="str">
        <f>'Obrazac kalkulacije'!$C$25</f>
        <v>__________________</v>
      </c>
      <c r="N357" s="841" t="str">
        <f>'Obrazac kalkulacije'!$F$25</f>
        <v>___________________</v>
      </c>
      <c r="O357" s="841"/>
    </row>
    <row r="358" spans="1:15" ht="15" customHeight="1">
      <c r="F358" s="841"/>
      <c r="G358" s="841"/>
      <c r="N358" s="841"/>
      <c r="O358" s="841"/>
    </row>
    <row r="359" spans="1:15" ht="15" customHeight="1"/>
    <row r="360" spans="1:15" ht="15" customHeight="1">
      <c r="A360" s="144"/>
      <c r="B360" s="145" t="s">
        <v>762</v>
      </c>
      <c r="C360" s="836" t="s">
        <v>763</v>
      </c>
      <c r="D360" s="836"/>
      <c r="E360" s="836"/>
      <c r="F360" s="836"/>
      <c r="G360" s="836"/>
      <c r="I360" s="144"/>
      <c r="J360" s="145" t="s">
        <v>762</v>
      </c>
      <c r="K360" s="836" t="s">
        <v>763</v>
      </c>
      <c r="L360" s="836"/>
      <c r="M360" s="836"/>
      <c r="N360" s="836"/>
      <c r="O360" s="836"/>
    </row>
    <row r="361" spans="1:15" ht="15" customHeight="1">
      <c r="A361" s="38"/>
      <c r="B361" s="39" t="s">
        <v>821</v>
      </c>
      <c r="C361" s="860" t="s">
        <v>822</v>
      </c>
      <c r="D361" s="860"/>
      <c r="E361" s="860"/>
      <c r="F361" s="860"/>
      <c r="G361" s="860"/>
      <c r="I361" s="38"/>
      <c r="J361" s="39" t="s">
        <v>821</v>
      </c>
      <c r="K361" s="860" t="s">
        <v>822</v>
      </c>
      <c r="L361" s="860"/>
      <c r="M361" s="860"/>
      <c r="N361" s="860"/>
      <c r="O361" s="860"/>
    </row>
    <row r="362" spans="1:15" ht="150" customHeight="1">
      <c r="A362" s="9"/>
      <c r="B362" s="556" t="s">
        <v>827</v>
      </c>
      <c r="C362" s="852" t="s">
        <v>828</v>
      </c>
      <c r="D362" s="852"/>
      <c r="E362" s="852"/>
      <c r="F362" s="852"/>
      <c r="G362" s="852"/>
      <c r="I362" s="9"/>
      <c r="J362" s="41" t="s">
        <v>823</v>
      </c>
      <c r="K362" s="869" t="s">
        <v>828</v>
      </c>
      <c r="L362" s="869"/>
      <c r="M362" s="869"/>
      <c r="N362" s="869"/>
      <c r="O362" s="869"/>
    </row>
    <row r="363" spans="1:15" ht="15" customHeight="1"/>
    <row r="364" spans="1:15" s="11" customFormat="1" ht="30" customHeight="1">
      <c r="A364" s="10"/>
      <c r="B364" s="835" t="s">
        <v>624</v>
      </c>
      <c r="C364" s="835"/>
      <c r="D364" s="10" t="s">
        <v>625</v>
      </c>
      <c r="E364" s="10" t="s">
        <v>626</v>
      </c>
      <c r="F364" s="10" t="s">
        <v>627</v>
      </c>
      <c r="G364" s="10" t="s">
        <v>628</v>
      </c>
      <c r="I364" s="10"/>
      <c r="J364" s="835" t="s">
        <v>624</v>
      </c>
      <c r="K364" s="835"/>
      <c r="L364" s="10" t="s">
        <v>625</v>
      </c>
      <c r="M364" s="10" t="s">
        <v>626</v>
      </c>
      <c r="N364" s="10" t="s">
        <v>627</v>
      </c>
      <c r="O364" s="10" t="s">
        <v>628</v>
      </c>
    </row>
    <row r="365" spans="1:15" s="12" customFormat="1" ht="4.5" customHeight="1">
      <c r="A365" s="1"/>
      <c r="B365" s="42"/>
      <c r="C365" s="1"/>
      <c r="D365" s="11"/>
      <c r="E365" s="13"/>
      <c r="F365" s="258"/>
      <c r="G365" s="15"/>
      <c r="I365" s="1"/>
      <c r="J365" s="42"/>
      <c r="K365" s="1"/>
      <c r="L365" s="11"/>
      <c r="M365" s="13"/>
      <c r="N365" s="258"/>
      <c r="O365" s="15"/>
    </row>
    <row r="366" spans="1:15" s="12" customFormat="1" ht="25.15" customHeight="1">
      <c r="A366" s="16"/>
      <c r="B366" s="837" t="s">
        <v>566</v>
      </c>
      <c r="C366" s="837"/>
      <c r="D366" s="16"/>
      <c r="E366" s="16"/>
      <c r="F366" s="238"/>
      <c r="G366" s="18">
        <f>SUM(G367:G367)</f>
        <v>126.83546626082142</v>
      </c>
      <c r="I366" s="16"/>
      <c r="J366" s="837" t="s">
        <v>566</v>
      </c>
      <c r="K366" s="837"/>
      <c r="L366" s="16"/>
      <c r="M366" s="16"/>
      <c r="N366" s="238"/>
      <c r="O366" s="18">
        <f>SUM(O367:O367)</f>
        <v>132.81</v>
      </c>
    </row>
    <row r="367" spans="1:15" s="12" customFormat="1" ht="25.15" customHeight="1">
      <c r="A367" s="16"/>
      <c r="B367" s="854" t="s">
        <v>829</v>
      </c>
      <c r="C367" s="854"/>
      <c r="D367" s="44" t="s">
        <v>51</v>
      </c>
      <c r="E367" s="104">
        <v>0.47750721429418497</v>
      </c>
      <c r="F367" s="238">
        <f>SUMIF('Cjenik VSO'!$B$9:$B$85,$B367,'Cjenik VSO'!$C$9:$C$85)</f>
        <v>265.62</v>
      </c>
      <c r="G367" s="18">
        <f>E367*F367</f>
        <v>126.83546626082142</v>
      </c>
      <c r="I367" s="16"/>
      <c r="J367" s="854" t="s">
        <v>829</v>
      </c>
      <c r="K367" s="854"/>
      <c r="L367" s="44" t="s">
        <v>51</v>
      </c>
      <c r="M367" s="104">
        <v>0.5</v>
      </c>
      <c r="N367" s="238">
        <f>SUMIF('Cjenik VSO'!$B$9:$B$85,$B367,'Cjenik VSO'!$C$9:$C$85)</f>
        <v>265.62</v>
      </c>
      <c r="O367" s="18">
        <f>M367*N367</f>
        <v>132.81</v>
      </c>
    </row>
    <row r="368" spans="1:15" s="12" customFormat="1" ht="25.15" customHeight="1">
      <c r="A368" s="88"/>
      <c r="B368" s="879" t="s">
        <v>630</v>
      </c>
      <c r="C368" s="879"/>
      <c r="D368" s="88"/>
      <c r="E368" s="88"/>
      <c r="F368" s="264"/>
      <c r="G368" s="94">
        <f>SUM(G369:G370)</f>
        <v>0</v>
      </c>
      <c r="I368" s="88"/>
      <c r="J368" s="879" t="s">
        <v>630</v>
      </c>
      <c r="K368" s="879"/>
      <c r="L368" s="88"/>
      <c r="M368" s="88"/>
      <c r="N368" s="264"/>
      <c r="O368" s="94">
        <f>SUM(O369:O370)</f>
        <v>0</v>
      </c>
    </row>
    <row r="369" spans="1:15" s="12" customFormat="1" ht="25.15" customHeight="1">
      <c r="A369" s="51"/>
      <c r="B369" s="863" t="s">
        <v>830</v>
      </c>
      <c r="C369" s="863"/>
      <c r="D369" s="52">
        <f>'Cjenik M'!$C$89</f>
        <v>0</v>
      </c>
      <c r="E369" s="53">
        <v>1</v>
      </c>
      <c r="F369" s="260">
        <f>'Cjenik M'!$D$89</f>
        <v>0</v>
      </c>
      <c r="G369" s="55">
        <f>E369*F369</f>
        <v>0</v>
      </c>
      <c r="I369" s="51"/>
      <c r="J369" s="863">
        <f>'Cjenik M'!$B$89</f>
        <v>0</v>
      </c>
      <c r="K369" s="863"/>
      <c r="L369" s="52">
        <f>'Cjenik M'!$C$89</f>
        <v>0</v>
      </c>
      <c r="M369" s="53">
        <v>1</v>
      </c>
      <c r="N369" s="260">
        <f>'Cjenik M'!$D$89</f>
        <v>0</v>
      </c>
      <c r="O369" s="55">
        <f>M369*N369</f>
        <v>0</v>
      </c>
    </row>
    <row r="370" spans="1:15" s="12" customFormat="1" ht="25.15" customHeight="1">
      <c r="A370" s="66"/>
      <c r="B370" s="859">
        <f>'Cjenik M'!$B$95</f>
        <v>0</v>
      </c>
      <c r="C370" s="859"/>
      <c r="D370" s="67">
        <f>'Cjenik M'!$C$95</f>
        <v>0</v>
      </c>
      <c r="E370" s="68">
        <v>4.0599999999999996</v>
      </c>
      <c r="F370" s="262">
        <f>'Cjenik M'!$D$95</f>
        <v>0</v>
      </c>
      <c r="G370" s="70">
        <f>E370*F370</f>
        <v>0</v>
      </c>
      <c r="I370" s="66"/>
      <c r="J370" s="859">
        <f>'Cjenik M'!$B$95</f>
        <v>0</v>
      </c>
      <c r="K370" s="859"/>
      <c r="L370" s="67">
        <f>'Cjenik M'!$C$95</f>
        <v>0</v>
      </c>
      <c r="M370" s="68">
        <v>4.0599999999999996</v>
      </c>
      <c r="N370" s="262">
        <f>'Cjenik M'!$D$95</f>
        <v>0</v>
      </c>
      <c r="O370" s="70">
        <f>M370*N370</f>
        <v>0</v>
      </c>
    </row>
    <row r="371" spans="1:15" ht="25.15" customHeight="1">
      <c r="B371" s="47"/>
      <c r="C371" s="24"/>
      <c r="D371" s="25"/>
      <c r="E371" s="850" t="str">
        <f>'Obrazac kalkulacije'!$E$18</f>
        <v>Ukupno (kn):</v>
      </c>
      <c r="F371" s="850"/>
      <c r="G371" s="26">
        <f>ROUND(SUM(G366+G368),2)</f>
        <v>126.84</v>
      </c>
      <c r="H371" s="269" t="e">
        <f>SUMIF(#REF!,$B362,#REF!)</f>
        <v>#REF!</v>
      </c>
      <c r="J371" s="47"/>
      <c r="K371" s="24"/>
      <c r="L371" s="25"/>
      <c r="M371" s="850" t="str">
        <f>'Obrazac kalkulacije'!$E$18</f>
        <v>Ukupno (kn):</v>
      </c>
      <c r="N371" s="850"/>
      <c r="O371" s="26">
        <f>ROUND(SUM(O366+O368),2)</f>
        <v>132.81</v>
      </c>
    </row>
    <row r="372" spans="1:15" ht="25.15" customHeight="1">
      <c r="E372" s="27" t="str">
        <f>'Obrazac kalkulacije'!$E$19</f>
        <v>PDV:</v>
      </c>
      <c r="F372" s="259">
        <f>'Obrazac kalkulacije'!$F$19</f>
        <v>0.25</v>
      </c>
      <c r="G372" s="29">
        <f>G371*F372</f>
        <v>31.71</v>
      </c>
      <c r="H372" s="270" t="e">
        <f>H371-G371</f>
        <v>#REF!</v>
      </c>
      <c r="M372" s="27" t="str">
        <f>'Obrazac kalkulacije'!$E$19</f>
        <v>PDV:</v>
      </c>
      <c r="N372" s="259">
        <f>'Obrazac kalkulacije'!$F$19</f>
        <v>0.25</v>
      </c>
      <c r="O372" s="29">
        <f>O371*N372</f>
        <v>33.202500000000001</v>
      </c>
    </row>
    <row r="373" spans="1:15" ht="25.15" customHeight="1">
      <c r="E373" s="840" t="str">
        <f>'Obrazac kalkulacije'!$E$20</f>
        <v>Sveukupno (kn):</v>
      </c>
      <c r="F373" s="840"/>
      <c r="G373" s="29">
        <f>ROUND(SUM(G371:G372),2)</f>
        <v>158.55000000000001</v>
      </c>
      <c r="H373" s="271" t="e">
        <f>G367+H372</f>
        <v>#REF!</v>
      </c>
      <c r="M373" s="840" t="str">
        <f>'Obrazac kalkulacije'!$E$20</f>
        <v>Sveukupno (kn):</v>
      </c>
      <c r="N373" s="840"/>
      <c r="O373" s="29">
        <f>ROUND(SUM(O371:O372),2)</f>
        <v>166.01</v>
      </c>
    </row>
    <row r="374" spans="1:15" ht="15" customHeight="1"/>
    <row r="375" spans="1:15" ht="15" customHeight="1"/>
    <row r="376" spans="1:15" ht="15" customHeight="1"/>
    <row r="377" spans="1:15" ht="15" customHeight="1">
      <c r="C377" s="3" t="str">
        <f>'Obrazac kalkulacije'!$C$24</f>
        <v>IZVODITELJ:</v>
      </c>
      <c r="F377" s="841" t="str">
        <f>'Obrazac kalkulacije'!$F$24</f>
        <v>NARUČITELJ:</v>
      </c>
      <c r="G377" s="841"/>
      <c r="K377" s="3" t="str">
        <f>'Obrazac kalkulacije'!$C$24</f>
        <v>IZVODITELJ:</v>
      </c>
      <c r="N377" s="841" t="str">
        <f>'Obrazac kalkulacije'!$F$24</f>
        <v>NARUČITELJ:</v>
      </c>
      <c r="O377" s="841"/>
    </row>
    <row r="378" spans="1:15" ht="25.15" customHeight="1">
      <c r="C378" s="3" t="str">
        <f>'Obrazac kalkulacije'!$C$25</f>
        <v>__________________</v>
      </c>
      <c r="F378" s="841" t="str">
        <f>'Obrazac kalkulacije'!$F$25</f>
        <v>___________________</v>
      </c>
      <c r="G378" s="841"/>
      <c r="K378" s="3" t="str">
        <f>'Obrazac kalkulacije'!$C$25</f>
        <v>__________________</v>
      </c>
      <c r="N378" s="841" t="str">
        <f>'Obrazac kalkulacije'!$F$25</f>
        <v>___________________</v>
      </c>
      <c r="O378" s="841"/>
    </row>
    <row r="379" spans="1:15" ht="15" customHeight="1">
      <c r="F379" s="841"/>
      <c r="G379" s="841"/>
      <c r="N379" s="841"/>
      <c r="O379" s="841"/>
    </row>
    <row r="380" spans="1:15" ht="15" customHeight="1"/>
    <row r="381" spans="1:15" ht="15" customHeight="1">
      <c r="A381" s="144"/>
      <c r="B381" s="145" t="s">
        <v>762</v>
      </c>
      <c r="C381" s="836" t="s">
        <v>763</v>
      </c>
      <c r="D381" s="836"/>
      <c r="E381" s="836"/>
      <c r="F381" s="836"/>
      <c r="G381" s="836"/>
      <c r="I381" s="144"/>
      <c r="J381" s="145" t="s">
        <v>762</v>
      </c>
      <c r="K381" s="836" t="s">
        <v>763</v>
      </c>
      <c r="L381" s="836"/>
      <c r="M381" s="836"/>
      <c r="N381" s="836"/>
      <c r="O381" s="836"/>
    </row>
    <row r="382" spans="1:15" ht="15" customHeight="1">
      <c r="A382" s="38"/>
      <c r="B382" s="39" t="s">
        <v>821</v>
      </c>
      <c r="C382" s="860" t="s">
        <v>822</v>
      </c>
      <c r="D382" s="860"/>
      <c r="E382" s="860"/>
      <c r="F382" s="860"/>
      <c r="G382" s="860"/>
      <c r="I382" s="38"/>
      <c r="J382" s="39" t="s">
        <v>821</v>
      </c>
      <c r="K382" s="860" t="s">
        <v>822</v>
      </c>
      <c r="L382" s="860"/>
      <c r="M382" s="860"/>
      <c r="N382" s="860"/>
      <c r="O382" s="860"/>
    </row>
    <row r="383" spans="1:15" ht="150" customHeight="1">
      <c r="A383" s="9"/>
      <c r="B383" s="556" t="s">
        <v>831</v>
      </c>
      <c r="C383" s="852" t="s">
        <v>832</v>
      </c>
      <c r="D383" s="852"/>
      <c r="E383" s="852"/>
      <c r="F383" s="852"/>
      <c r="G383" s="852"/>
      <c r="I383" s="9"/>
      <c r="J383" s="41" t="s">
        <v>825</v>
      </c>
      <c r="K383" s="869" t="s">
        <v>832</v>
      </c>
      <c r="L383" s="869"/>
      <c r="M383" s="869"/>
      <c r="N383" s="869"/>
      <c r="O383" s="869"/>
    </row>
    <row r="384" spans="1:15" ht="15" customHeight="1"/>
    <row r="385" spans="1:15" s="11" customFormat="1" ht="30" customHeight="1">
      <c r="A385" s="10"/>
      <c r="B385" s="835" t="s">
        <v>624</v>
      </c>
      <c r="C385" s="835"/>
      <c r="D385" s="10" t="s">
        <v>625</v>
      </c>
      <c r="E385" s="10" t="s">
        <v>626</v>
      </c>
      <c r="F385" s="10" t="s">
        <v>627</v>
      </c>
      <c r="G385" s="10" t="s">
        <v>628</v>
      </c>
      <c r="I385" s="10"/>
      <c r="J385" s="835" t="s">
        <v>624</v>
      </c>
      <c r="K385" s="835"/>
      <c r="L385" s="10" t="s">
        <v>625</v>
      </c>
      <c r="M385" s="10" t="s">
        <v>626</v>
      </c>
      <c r="N385" s="10" t="s">
        <v>627</v>
      </c>
      <c r="O385" s="10" t="s">
        <v>628</v>
      </c>
    </row>
    <row r="386" spans="1:15" s="12" customFormat="1" ht="4.5" customHeight="1">
      <c r="A386" s="1"/>
      <c r="B386" s="42"/>
      <c r="C386" s="1"/>
      <c r="D386" s="11"/>
      <c r="E386" s="13"/>
      <c r="F386" s="258"/>
      <c r="G386" s="15"/>
      <c r="I386" s="1"/>
      <c r="J386" s="42"/>
      <c r="K386" s="1"/>
      <c r="L386" s="11"/>
      <c r="M386" s="13"/>
      <c r="N386" s="258"/>
      <c r="O386" s="15"/>
    </row>
    <row r="387" spans="1:15" s="12" customFormat="1" ht="25.15" customHeight="1">
      <c r="A387" s="16"/>
      <c r="B387" s="837" t="s">
        <v>630</v>
      </c>
      <c r="C387" s="837"/>
      <c r="D387" s="16"/>
      <c r="E387" s="16"/>
      <c r="F387" s="238"/>
      <c r="G387" s="18">
        <f>SUM(G388:G388)</f>
        <v>0</v>
      </c>
      <c r="I387" s="16"/>
      <c r="J387" s="837" t="s">
        <v>630</v>
      </c>
      <c r="K387" s="837"/>
      <c r="L387" s="16"/>
      <c r="M387" s="16"/>
      <c r="N387" s="238"/>
      <c r="O387" s="18">
        <f>SUM(O388:O388)</f>
        <v>0</v>
      </c>
    </row>
    <row r="388" spans="1:15" s="12" customFormat="1" ht="25.15" customHeight="1">
      <c r="A388" s="66"/>
      <c r="B388" s="859">
        <f>'Cjenik M'!$B$24</f>
        <v>0</v>
      </c>
      <c r="C388" s="859"/>
      <c r="D388" s="67">
        <f>'Cjenik M'!$C$24</f>
        <v>0</v>
      </c>
      <c r="E388" s="68">
        <v>1</v>
      </c>
      <c r="F388" s="262">
        <f>'Cjenik M'!$D$24</f>
        <v>0</v>
      </c>
      <c r="G388" s="70">
        <f>E388*F388</f>
        <v>0</v>
      </c>
      <c r="I388" s="66"/>
      <c r="J388" s="859">
        <f>'Cjenik M'!$B$24</f>
        <v>0</v>
      </c>
      <c r="K388" s="859"/>
      <c r="L388" s="67">
        <f>'Cjenik M'!$C$24</f>
        <v>0</v>
      </c>
      <c r="M388" s="68">
        <v>1</v>
      </c>
      <c r="N388" s="262">
        <f>'Cjenik M'!$D$24</f>
        <v>0</v>
      </c>
      <c r="O388" s="70">
        <f>M388*N388</f>
        <v>0</v>
      </c>
    </row>
    <row r="389" spans="1:15" ht="25.15" customHeight="1">
      <c r="B389" s="47"/>
      <c r="C389" s="24"/>
      <c r="D389" s="25"/>
      <c r="E389" s="850" t="str">
        <f>'Obrazac kalkulacije'!$E$18</f>
        <v>Ukupno (kn):</v>
      </c>
      <c r="F389" s="850"/>
      <c r="G389" s="26">
        <f>ROUND(SUM(G387),2)</f>
        <v>0</v>
      </c>
      <c r="H389" s="269" t="e">
        <f>SUMIF(#REF!,$B383,#REF!)</f>
        <v>#REF!</v>
      </c>
      <c r="J389" s="47"/>
      <c r="K389" s="24"/>
      <c r="L389" s="25"/>
      <c r="M389" s="850" t="str">
        <f>'Obrazac kalkulacije'!$E$18</f>
        <v>Ukupno (kn):</v>
      </c>
      <c r="N389" s="850"/>
      <c r="O389" s="26">
        <f>ROUND(SUM(O387),2)</f>
        <v>0</v>
      </c>
    </row>
    <row r="390" spans="1:15" ht="25.15" customHeight="1">
      <c r="E390" s="27" t="str">
        <f>'Obrazac kalkulacije'!$E$19</f>
        <v>PDV:</v>
      </c>
      <c r="F390" s="259">
        <f>'Obrazac kalkulacije'!$F$19</f>
        <v>0.25</v>
      </c>
      <c r="G390" s="29">
        <f>G389*F390</f>
        <v>0</v>
      </c>
      <c r="H390" s="270" t="e">
        <f>H389-G389</f>
        <v>#REF!</v>
      </c>
      <c r="M390" s="27" t="str">
        <f>'Obrazac kalkulacije'!$E$19</f>
        <v>PDV:</v>
      </c>
      <c r="N390" s="259">
        <f>'Obrazac kalkulacije'!$F$19</f>
        <v>0.25</v>
      </c>
      <c r="O390" s="29">
        <f>O389*N390</f>
        <v>0</v>
      </c>
    </row>
    <row r="391" spans="1:15" ht="25.15" customHeight="1">
      <c r="E391" s="840" t="str">
        <f>'Obrazac kalkulacije'!$E$20</f>
        <v>Sveukupno (kn):</v>
      </c>
      <c r="F391" s="840"/>
      <c r="G391" s="29">
        <f>ROUND(SUM(G389:G390),2)</f>
        <v>0</v>
      </c>
      <c r="H391" s="271"/>
      <c r="M391" s="840" t="str">
        <f>'Obrazac kalkulacije'!$E$20</f>
        <v>Sveukupno (kn):</v>
      </c>
      <c r="N391" s="840"/>
      <c r="O391" s="29">
        <f>ROUND(SUM(O389:O390),2)</f>
        <v>0</v>
      </c>
    </row>
    <row r="392" spans="1:15" ht="15" customHeight="1"/>
    <row r="393" spans="1:15" ht="15" customHeight="1"/>
    <row r="394" spans="1:15" ht="15" customHeight="1"/>
    <row r="395" spans="1:15" ht="15" customHeight="1">
      <c r="C395" s="3" t="str">
        <f>'Obrazac kalkulacije'!$C$24</f>
        <v>IZVODITELJ:</v>
      </c>
      <c r="F395" s="841" t="str">
        <f>'Obrazac kalkulacije'!$F$24</f>
        <v>NARUČITELJ:</v>
      </c>
      <c r="G395" s="841"/>
      <c r="K395" s="3" t="str">
        <f>'Obrazac kalkulacije'!$C$24</f>
        <v>IZVODITELJ:</v>
      </c>
      <c r="N395" s="841" t="str">
        <f>'Obrazac kalkulacije'!$F$24</f>
        <v>NARUČITELJ:</v>
      </c>
      <c r="O395" s="841"/>
    </row>
    <row r="396" spans="1:15" ht="25.15" customHeight="1">
      <c r="C396" s="3" t="str">
        <f>'Obrazac kalkulacije'!$C$25</f>
        <v>__________________</v>
      </c>
      <c r="F396" s="841" t="str">
        <f>'Obrazac kalkulacije'!$F$25</f>
        <v>___________________</v>
      </c>
      <c r="G396" s="841"/>
      <c r="K396" s="3" t="str">
        <f>'Obrazac kalkulacije'!$C$25</f>
        <v>__________________</v>
      </c>
      <c r="N396" s="841" t="str">
        <f>'Obrazac kalkulacije'!$F$25</f>
        <v>___________________</v>
      </c>
      <c r="O396" s="841"/>
    </row>
    <row r="397" spans="1:15" ht="15" customHeight="1">
      <c r="F397" s="841"/>
      <c r="G397" s="841"/>
      <c r="N397" s="841"/>
      <c r="O397" s="841"/>
    </row>
  </sheetData>
  <sheetProtection selectLockedCells="1"/>
  <mergeCells count="520">
    <mergeCell ref="E245:F245"/>
    <mergeCell ref="M245:N245"/>
    <mergeCell ref="F249:G249"/>
    <mergeCell ref="N249:O249"/>
    <mergeCell ref="F250:G250"/>
    <mergeCell ref="N250:O250"/>
    <mergeCell ref="F251:G251"/>
    <mergeCell ref="N251:O251"/>
    <mergeCell ref="B239:C239"/>
    <mergeCell ref="J239:K239"/>
    <mergeCell ref="B240:C240"/>
    <mergeCell ref="J240:K240"/>
    <mergeCell ref="B241:C241"/>
    <mergeCell ref="J241:K241"/>
    <mergeCell ref="B242:C242"/>
    <mergeCell ref="J242:K242"/>
    <mergeCell ref="E243:F243"/>
    <mergeCell ref="C232:G232"/>
    <mergeCell ref="K232:O232"/>
    <mergeCell ref="C233:G233"/>
    <mergeCell ref="K233:O233"/>
    <mergeCell ref="C234:G234"/>
    <mergeCell ref="K234:O234"/>
    <mergeCell ref="B236:C236"/>
    <mergeCell ref="J236:K236"/>
    <mergeCell ref="B238:C238"/>
    <mergeCell ref="J238:K238"/>
    <mergeCell ref="M298:N298"/>
    <mergeCell ref="N302:O302"/>
    <mergeCell ref="N303:O303"/>
    <mergeCell ref="N304:O304"/>
    <mergeCell ref="K360:O360"/>
    <mergeCell ref="N322:O322"/>
    <mergeCell ref="J312:K312"/>
    <mergeCell ref="K361:O361"/>
    <mergeCell ref="K362:O362"/>
    <mergeCell ref="J313:K313"/>
    <mergeCell ref="M314:N314"/>
    <mergeCell ref="M316:N316"/>
    <mergeCell ref="K306:O306"/>
    <mergeCell ref="K307:O307"/>
    <mergeCell ref="K308:O308"/>
    <mergeCell ref="J310:K310"/>
    <mergeCell ref="J346:K346"/>
    <mergeCell ref="N357:O357"/>
    <mergeCell ref="M352:N352"/>
    <mergeCell ref="N356:O356"/>
    <mergeCell ref="M350:N350"/>
    <mergeCell ref="N339:O339"/>
    <mergeCell ref="N320:O320"/>
    <mergeCell ref="N321:O321"/>
    <mergeCell ref="K382:O382"/>
    <mergeCell ref="K383:O383"/>
    <mergeCell ref="J367:K367"/>
    <mergeCell ref="J369:K369"/>
    <mergeCell ref="J370:K370"/>
    <mergeCell ref="M373:N373"/>
    <mergeCell ref="N377:O377"/>
    <mergeCell ref="J364:K364"/>
    <mergeCell ref="M371:N371"/>
    <mergeCell ref="N379:O379"/>
    <mergeCell ref="N378:O378"/>
    <mergeCell ref="J366:K366"/>
    <mergeCell ref="J328:K328"/>
    <mergeCell ref="K325:O325"/>
    <mergeCell ref="N338:O338"/>
    <mergeCell ref="J330:K330"/>
    <mergeCell ref="K324:O324"/>
    <mergeCell ref="J331:K331"/>
    <mergeCell ref="M332:N332"/>
    <mergeCell ref="K326:O326"/>
    <mergeCell ref="M334:N334"/>
    <mergeCell ref="J295:K295"/>
    <mergeCell ref="M296:N296"/>
    <mergeCell ref="J217:K217"/>
    <mergeCell ref="J218:K218"/>
    <mergeCell ref="K269:O269"/>
    <mergeCell ref="K270:O270"/>
    <mergeCell ref="N229:O229"/>
    <mergeCell ref="N230:O230"/>
    <mergeCell ref="J221:K221"/>
    <mergeCell ref="M222:N222"/>
    <mergeCell ref="J275:K275"/>
    <mergeCell ref="J276:K276"/>
    <mergeCell ref="N285:O285"/>
    <mergeCell ref="K287:O287"/>
    <mergeCell ref="K288:O288"/>
    <mergeCell ref="K289:O289"/>
    <mergeCell ref="N283:O283"/>
    <mergeCell ref="N284:O284"/>
    <mergeCell ref="M277:N277"/>
    <mergeCell ref="M279:N279"/>
    <mergeCell ref="J291:K291"/>
    <mergeCell ref="J293:K293"/>
    <mergeCell ref="K271:O271"/>
    <mergeCell ref="J294:K294"/>
    <mergeCell ref="J273:K273"/>
    <mergeCell ref="N228:O228"/>
    <mergeCell ref="K211:O211"/>
    <mergeCell ref="K212:O212"/>
    <mergeCell ref="J219:K219"/>
    <mergeCell ref="J220:K220"/>
    <mergeCell ref="K213:O213"/>
    <mergeCell ref="J215:K215"/>
    <mergeCell ref="J199:K199"/>
    <mergeCell ref="J200:K200"/>
    <mergeCell ref="M201:N201"/>
    <mergeCell ref="M243:N243"/>
    <mergeCell ref="N268:O268"/>
    <mergeCell ref="N170:O170"/>
    <mergeCell ref="K172:O172"/>
    <mergeCell ref="M224:N224"/>
    <mergeCell ref="M183:N183"/>
    <mergeCell ref="M185:N185"/>
    <mergeCell ref="K173:O173"/>
    <mergeCell ref="K174:O174"/>
    <mergeCell ref="J176:K176"/>
    <mergeCell ref="J178:K178"/>
    <mergeCell ref="J179:K179"/>
    <mergeCell ref="N189:O189"/>
    <mergeCell ref="N190:O190"/>
    <mergeCell ref="N191:O191"/>
    <mergeCell ref="K193:O193"/>
    <mergeCell ref="J180:K180"/>
    <mergeCell ref="J181:K181"/>
    <mergeCell ref="J182:K182"/>
    <mergeCell ref="N208:O208"/>
    <mergeCell ref="N209:O209"/>
    <mergeCell ref="K194:O194"/>
    <mergeCell ref="K195:O195"/>
    <mergeCell ref="M203:N203"/>
    <mergeCell ref="N207:O207"/>
    <mergeCell ref="J197:K197"/>
    <mergeCell ref="N168:O168"/>
    <mergeCell ref="N169:O169"/>
    <mergeCell ref="N127:O127"/>
    <mergeCell ref="M120:N120"/>
    <mergeCell ref="N128:O128"/>
    <mergeCell ref="K130:O130"/>
    <mergeCell ref="J142:K142"/>
    <mergeCell ref="N149:O149"/>
    <mergeCell ref="J140:K140"/>
    <mergeCell ref="J141:K141"/>
    <mergeCell ref="N150:O150"/>
    <mergeCell ref="N151:O151"/>
    <mergeCell ref="M162:N162"/>
    <mergeCell ref="M164:N164"/>
    <mergeCell ref="K154:O154"/>
    <mergeCell ref="K155:O155"/>
    <mergeCell ref="J157:K157"/>
    <mergeCell ref="J159:K159"/>
    <mergeCell ref="J160:K160"/>
    <mergeCell ref="J161:K161"/>
    <mergeCell ref="K2:O2"/>
    <mergeCell ref="K3:O3"/>
    <mergeCell ref="K4:O4"/>
    <mergeCell ref="J6:K6"/>
    <mergeCell ref="N22:O22"/>
    <mergeCell ref="N23:O23"/>
    <mergeCell ref="J8:K8"/>
    <mergeCell ref="J9:K9"/>
    <mergeCell ref="J10:K10"/>
    <mergeCell ref="J11:K11"/>
    <mergeCell ref="M40:N40"/>
    <mergeCell ref="N44:O44"/>
    <mergeCell ref="N45:O45"/>
    <mergeCell ref="N46:O46"/>
    <mergeCell ref="N113:O113"/>
    <mergeCell ref="N114:O114"/>
    <mergeCell ref="K116:O116"/>
    <mergeCell ref="K153:O153"/>
    <mergeCell ref="K131:O131"/>
    <mergeCell ref="K132:O132"/>
    <mergeCell ref="J134:K134"/>
    <mergeCell ref="J136:K136"/>
    <mergeCell ref="M143:N143"/>
    <mergeCell ref="M145:N145"/>
    <mergeCell ref="K48:O48"/>
    <mergeCell ref="J138:K138"/>
    <mergeCell ref="J139:K139"/>
    <mergeCell ref="M122:N122"/>
    <mergeCell ref="J137:K137"/>
    <mergeCell ref="N112:O112"/>
    <mergeCell ref="K72:O72"/>
    <mergeCell ref="K96:O96"/>
    <mergeCell ref="J100:K100"/>
    <mergeCell ref="J101:K101"/>
    <mergeCell ref="M38:N38"/>
    <mergeCell ref="J15:K15"/>
    <mergeCell ref="J12:K12"/>
    <mergeCell ref="J13:K13"/>
    <mergeCell ref="J14:K14"/>
    <mergeCell ref="J35:K35"/>
    <mergeCell ref="J36:K36"/>
    <mergeCell ref="J37:K37"/>
    <mergeCell ref="J34:K34"/>
    <mergeCell ref="J33:K33"/>
    <mergeCell ref="M16:N16"/>
    <mergeCell ref="M18:N18"/>
    <mergeCell ref="J30:K30"/>
    <mergeCell ref="J32:K32"/>
    <mergeCell ref="K26:O26"/>
    <mergeCell ref="K27:O27"/>
    <mergeCell ref="K28:O28"/>
    <mergeCell ref="N24:O24"/>
    <mergeCell ref="J102:K102"/>
    <mergeCell ref="N91:O91"/>
    <mergeCell ref="N92:O92"/>
    <mergeCell ref="K94:O94"/>
    <mergeCell ref="K95:O95"/>
    <mergeCell ref="J82:K82"/>
    <mergeCell ref="E60:F60"/>
    <mergeCell ref="F66:G66"/>
    <mergeCell ref="K49:O49"/>
    <mergeCell ref="N66:O66"/>
    <mergeCell ref="J98:K98"/>
    <mergeCell ref="J77:K77"/>
    <mergeCell ref="J78:K78"/>
    <mergeCell ref="J79:K79"/>
    <mergeCell ref="J80:K80"/>
    <mergeCell ref="J81:K81"/>
    <mergeCell ref="J54:K54"/>
    <mergeCell ref="J55:K55"/>
    <mergeCell ref="K50:O50"/>
    <mergeCell ref="J52:K52"/>
    <mergeCell ref="J56:K56"/>
    <mergeCell ref="J57:K57"/>
    <mergeCell ref="M60:N60"/>
    <mergeCell ref="M62:N62"/>
    <mergeCell ref="K71:O71"/>
    <mergeCell ref="N67:O67"/>
    <mergeCell ref="J58:K58"/>
    <mergeCell ref="J59:K59"/>
    <mergeCell ref="M86:N86"/>
    <mergeCell ref="N90:O90"/>
    <mergeCell ref="J74:K74"/>
    <mergeCell ref="J76:K76"/>
    <mergeCell ref="N68:O68"/>
    <mergeCell ref="K70:O70"/>
    <mergeCell ref="J83:K83"/>
    <mergeCell ref="M84:N84"/>
    <mergeCell ref="B136:C136"/>
    <mergeCell ref="C132:G132"/>
    <mergeCell ref="F302:G302"/>
    <mergeCell ref="B293:C293"/>
    <mergeCell ref="C289:G289"/>
    <mergeCell ref="C213:G213"/>
    <mergeCell ref="E316:F316"/>
    <mergeCell ref="B181:C181"/>
    <mergeCell ref="C174:G174"/>
    <mergeCell ref="B182:C182"/>
    <mergeCell ref="B176:C176"/>
    <mergeCell ref="B180:C180"/>
    <mergeCell ref="C212:G212"/>
    <mergeCell ref="E201:F201"/>
    <mergeCell ref="F209:G209"/>
    <mergeCell ref="E203:F203"/>
    <mergeCell ref="C211:G211"/>
    <mergeCell ref="F189:G189"/>
    <mergeCell ref="B200:C200"/>
    <mergeCell ref="F190:G190"/>
    <mergeCell ref="B197:C197"/>
    <mergeCell ref="C194:G194"/>
    <mergeCell ref="C195:G195"/>
    <mergeCell ref="B199:C199"/>
    <mergeCell ref="C118:G118"/>
    <mergeCell ref="E122:F122"/>
    <mergeCell ref="F321:G321"/>
    <mergeCell ref="F322:G322"/>
    <mergeCell ref="B313:C313"/>
    <mergeCell ref="E314:F314"/>
    <mergeCell ref="C130:G130"/>
    <mergeCell ref="C131:G131"/>
    <mergeCell ref="F126:G126"/>
    <mergeCell ref="B312:C312"/>
    <mergeCell ref="F170:G170"/>
    <mergeCell ref="E164:F164"/>
    <mergeCell ref="F169:G169"/>
    <mergeCell ref="B157:C157"/>
    <mergeCell ref="F207:G207"/>
    <mergeCell ref="B139:C139"/>
    <mergeCell ref="C153:G153"/>
    <mergeCell ref="C172:G172"/>
    <mergeCell ref="B179:C179"/>
    <mergeCell ref="E162:F162"/>
    <mergeCell ref="C173:G173"/>
    <mergeCell ref="B159:C159"/>
    <mergeCell ref="B161:C161"/>
    <mergeCell ref="F191:G191"/>
    <mergeCell ref="F113:G113"/>
    <mergeCell ref="C306:G306"/>
    <mergeCell ref="C308:G308"/>
    <mergeCell ref="F303:G303"/>
    <mergeCell ref="F304:G304"/>
    <mergeCell ref="C271:G271"/>
    <mergeCell ref="C116:G116"/>
    <mergeCell ref="E143:F143"/>
    <mergeCell ref="B140:C140"/>
    <mergeCell ref="E120:F120"/>
    <mergeCell ref="B221:C221"/>
    <mergeCell ref="B134:C134"/>
    <mergeCell ref="E183:F183"/>
    <mergeCell ref="B142:C142"/>
    <mergeCell ref="C154:G154"/>
    <mergeCell ref="C155:G155"/>
    <mergeCell ref="E185:F185"/>
    <mergeCell ref="F150:G150"/>
    <mergeCell ref="B138:C138"/>
    <mergeCell ref="B141:C141"/>
    <mergeCell ref="F149:G149"/>
    <mergeCell ref="B178:C178"/>
    <mergeCell ref="F168:G168"/>
    <mergeCell ref="B160:C160"/>
    <mergeCell ref="K117:O117"/>
    <mergeCell ref="K118:O118"/>
    <mergeCell ref="J103:K103"/>
    <mergeCell ref="J104:K104"/>
    <mergeCell ref="J105:K105"/>
    <mergeCell ref="M106:N106"/>
    <mergeCell ref="M108:N108"/>
    <mergeCell ref="N126:O126"/>
    <mergeCell ref="B310:C310"/>
    <mergeCell ref="C307:G307"/>
    <mergeCell ref="E145:F145"/>
    <mergeCell ref="C288:G288"/>
    <mergeCell ref="F283:G283"/>
    <mergeCell ref="B215:C215"/>
    <mergeCell ref="B218:C218"/>
    <mergeCell ref="F151:G151"/>
    <mergeCell ref="F127:G127"/>
    <mergeCell ref="E298:F298"/>
    <mergeCell ref="B291:C291"/>
    <mergeCell ref="C117:G117"/>
    <mergeCell ref="E108:F108"/>
    <mergeCell ref="F128:G128"/>
    <mergeCell ref="F112:G112"/>
    <mergeCell ref="F114:G114"/>
    <mergeCell ref="C2:G2"/>
    <mergeCell ref="C3:G3"/>
    <mergeCell ref="C4:G4"/>
    <mergeCell ref="F22:G22"/>
    <mergeCell ref="E18:F18"/>
    <mergeCell ref="B8:C8"/>
    <mergeCell ref="B9:C9"/>
    <mergeCell ref="B10:C10"/>
    <mergeCell ref="B12:C12"/>
    <mergeCell ref="B15:C15"/>
    <mergeCell ref="B6:C6"/>
    <mergeCell ref="B13:C13"/>
    <mergeCell ref="B30:C30"/>
    <mergeCell ref="B33:C33"/>
    <mergeCell ref="E38:F38"/>
    <mergeCell ref="B32:C32"/>
    <mergeCell ref="C49:G49"/>
    <mergeCell ref="B54:C54"/>
    <mergeCell ref="B104:C104"/>
    <mergeCell ref="C94:G94"/>
    <mergeCell ref="B103:C103"/>
    <mergeCell ref="F46:G46"/>
    <mergeCell ref="C96:G96"/>
    <mergeCell ref="F92:G92"/>
    <mergeCell ref="C71:G71"/>
    <mergeCell ref="B76:C76"/>
    <mergeCell ref="B77:C77"/>
    <mergeCell ref="B34:C34"/>
    <mergeCell ref="F45:G45"/>
    <mergeCell ref="B35:C35"/>
    <mergeCell ref="B37:C37"/>
    <mergeCell ref="B36:C36"/>
    <mergeCell ref="F44:G44"/>
    <mergeCell ref="E84:F84"/>
    <mergeCell ref="B100:C100"/>
    <mergeCell ref="F91:G91"/>
    <mergeCell ref="E106:F106"/>
    <mergeCell ref="E62:F62"/>
    <mergeCell ref="F67:G67"/>
    <mergeCell ref="F90:G90"/>
    <mergeCell ref="E86:F86"/>
    <mergeCell ref="C95:G95"/>
    <mergeCell ref="B74:C74"/>
    <mergeCell ref="B83:C83"/>
    <mergeCell ref="B82:C82"/>
    <mergeCell ref="B78:C78"/>
    <mergeCell ref="B101:C101"/>
    <mergeCell ref="B98:C98"/>
    <mergeCell ref="B102:C102"/>
    <mergeCell ref="C72:G72"/>
    <mergeCell ref="C28:G28"/>
    <mergeCell ref="E40:F40"/>
    <mergeCell ref="C48:G48"/>
    <mergeCell ref="C50:G50"/>
    <mergeCell ref="B52:C52"/>
    <mergeCell ref="B11:C11"/>
    <mergeCell ref="B14:C14"/>
    <mergeCell ref="E16:F16"/>
    <mergeCell ref="B137:C137"/>
    <mergeCell ref="C27:G27"/>
    <mergeCell ref="F23:G23"/>
    <mergeCell ref="F24:G24"/>
    <mergeCell ref="C26:G26"/>
    <mergeCell ref="B105:C105"/>
    <mergeCell ref="F68:G68"/>
    <mergeCell ref="B55:C55"/>
    <mergeCell ref="B57:C57"/>
    <mergeCell ref="B56:C56"/>
    <mergeCell ref="B81:C81"/>
    <mergeCell ref="C70:G70"/>
    <mergeCell ref="B79:C79"/>
    <mergeCell ref="B58:C58"/>
    <mergeCell ref="B59:C59"/>
    <mergeCell ref="B80:C80"/>
    <mergeCell ref="C193:G193"/>
    <mergeCell ref="B220:C220"/>
    <mergeCell ref="B217:C217"/>
    <mergeCell ref="B219:C219"/>
    <mergeCell ref="F208:G208"/>
    <mergeCell ref="C325:G325"/>
    <mergeCell ref="B330:C330"/>
    <mergeCell ref="C326:G326"/>
    <mergeCell ref="F285:G285"/>
    <mergeCell ref="B294:C294"/>
    <mergeCell ref="F228:G228"/>
    <mergeCell ref="E296:F296"/>
    <mergeCell ref="B276:C276"/>
    <mergeCell ref="F229:G229"/>
    <mergeCell ref="B275:C275"/>
    <mergeCell ref="F284:G284"/>
    <mergeCell ref="F230:G230"/>
    <mergeCell ref="E222:F222"/>
    <mergeCell ref="E277:F277"/>
    <mergeCell ref="C269:G269"/>
    <mergeCell ref="C270:G270"/>
    <mergeCell ref="E279:F279"/>
    <mergeCell ref="C287:G287"/>
    <mergeCell ref="E224:F224"/>
    <mergeCell ref="E352:F352"/>
    <mergeCell ref="B364:C364"/>
    <mergeCell ref="B368:C368"/>
    <mergeCell ref="F320:G320"/>
    <mergeCell ref="E389:F389"/>
    <mergeCell ref="B387:C387"/>
    <mergeCell ref="B388:C388"/>
    <mergeCell ref="B385:C385"/>
    <mergeCell ref="E373:F373"/>
    <mergeCell ref="B366:C366"/>
    <mergeCell ref="C360:G360"/>
    <mergeCell ref="C362:G362"/>
    <mergeCell ref="F356:G356"/>
    <mergeCell ref="E350:F350"/>
    <mergeCell ref="F378:G378"/>
    <mergeCell ref="F377:G377"/>
    <mergeCell ref="E371:F371"/>
    <mergeCell ref="B273:C273"/>
    <mergeCell ref="B369:C369"/>
    <mergeCell ref="B367:C367"/>
    <mergeCell ref="C383:G383"/>
    <mergeCell ref="C382:G382"/>
    <mergeCell ref="C381:G381"/>
    <mergeCell ref="B331:C331"/>
    <mergeCell ref="C344:G344"/>
    <mergeCell ref="F340:G340"/>
    <mergeCell ref="C342:G342"/>
    <mergeCell ref="C343:G343"/>
    <mergeCell ref="C324:G324"/>
    <mergeCell ref="B328:C328"/>
    <mergeCell ref="B295:C295"/>
    <mergeCell ref="E334:F334"/>
    <mergeCell ref="F339:G339"/>
    <mergeCell ref="E332:F332"/>
    <mergeCell ref="F338:G338"/>
    <mergeCell ref="F379:G379"/>
    <mergeCell ref="B370:C370"/>
    <mergeCell ref="B349:C349"/>
    <mergeCell ref="B348:C348"/>
    <mergeCell ref="B346:C346"/>
    <mergeCell ref="C361:G361"/>
    <mergeCell ref="F268:G268"/>
    <mergeCell ref="N397:O397"/>
    <mergeCell ref="J385:K385"/>
    <mergeCell ref="J387:K387"/>
    <mergeCell ref="J388:K388"/>
    <mergeCell ref="M389:N389"/>
    <mergeCell ref="N340:O340"/>
    <mergeCell ref="J349:K349"/>
    <mergeCell ref="J348:K348"/>
    <mergeCell ref="F397:G397"/>
    <mergeCell ref="F396:G396"/>
    <mergeCell ref="F358:G358"/>
    <mergeCell ref="N358:O358"/>
    <mergeCell ref="F357:G357"/>
    <mergeCell ref="K344:O344"/>
    <mergeCell ref="N395:O395"/>
    <mergeCell ref="M391:N391"/>
    <mergeCell ref="F395:G395"/>
    <mergeCell ref="E391:F391"/>
    <mergeCell ref="K381:O381"/>
    <mergeCell ref="N396:O396"/>
    <mergeCell ref="K342:O342"/>
    <mergeCell ref="K343:O343"/>
    <mergeCell ref="J368:K368"/>
    <mergeCell ref="C252:G252"/>
    <mergeCell ref="K252:O252"/>
    <mergeCell ref="C253:G253"/>
    <mergeCell ref="K253:O253"/>
    <mergeCell ref="C254:G254"/>
    <mergeCell ref="K254:O254"/>
    <mergeCell ref="B256:C256"/>
    <mergeCell ref="J256:K256"/>
    <mergeCell ref="B258:C258"/>
    <mergeCell ref="J258:K258"/>
    <mergeCell ref="B259:C259"/>
    <mergeCell ref="J259:K259"/>
    <mergeCell ref="E260:F260"/>
    <mergeCell ref="M260:N260"/>
    <mergeCell ref="E262:F262"/>
    <mergeCell ref="M262:N262"/>
    <mergeCell ref="F266:G266"/>
    <mergeCell ref="N266:O266"/>
    <mergeCell ref="F267:G267"/>
    <mergeCell ref="N267:O267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94" orientation="portrait" horizontalDpi="4294967293" r:id="rId1"/>
  <headerFooter alignWithMargins="0">
    <oddHeader>&amp;L&amp;8HRVATSKE CESTE d.o.o.&amp;C&amp;8STANDARD REDOVNOG ODRŽAVANJA CESTA 2009.&amp;R&amp;8&amp;D</oddHeader>
    <oddFooter>&amp;L&amp;8&amp;F&amp;C&amp;8&amp;A&amp;R&amp;8&amp;P / &amp;N</oddFooter>
  </headerFooter>
  <rowBreaks count="17" manualBreakCount="17">
    <brk id="24" max="16383" man="1"/>
    <brk id="46" min="2" max="6" man="1"/>
    <brk id="68" min="2" max="6" man="1"/>
    <brk id="92" min="2" max="6" man="1"/>
    <brk id="114" min="2" max="6" man="1"/>
    <brk id="128" min="2" max="6" man="1"/>
    <brk id="151" min="2" max="6" man="1"/>
    <brk id="170" min="2" max="6" man="1"/>
    <brk id="191" min="2" max="6" man="1"/>
    <brk id="209" min="2" max="6" man="1"/>
    <brk id="230" min="2" max="6" man="1"/>
    <brk id="285" min="2" max="6" man="1"/>
    <brk id="304" min="2" max="6" man="1"/>
    <brk id="322" max="6" man="1"/>
    <brk id="340" max="6" man="1"/>
    <brk id="358" min="2" max="6" man="1"/>
    <brk id="379" min="2" max="6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B00-000000000000}">
          <x14:formula1>
            <xm:f>'Cjenik RS'!$C$11:$C$26</xm:f>
          </x14:formula1>
          <xm:sqref>B9:C9 J9:K9 B33:C33 J33:K33 B55:C55 J55:K55 K51:L51 B77:C77 J77:K77 B101:C101 J101:K101 B137:C137 J137:K137 B313:C313 J313:K313</xm:sqref>
        </x14:dataValidation>
        <x14:dataValidation type="list" allowBlank="1" showInputMessage="1" showErrorMessage="1" xr:uid="{00000000-0002-0000-0B00-000001000000}">
          <x14:formula1>
            <xm:f>'Cjenik VSO (pomoćna)'!$B$9:$B$13</xm:f>
          </x14:formula1>
          <xm:sqref>B11:C11 J11:K11 B35:C35 J35:K35 B57:C57 J57:K57 B79:C79 J79:K79 B103:C103 J103:K103 B139:C140 J139:K140 B160:C161 J160:K161 B179:C182 J179:K182 B200:C200 J200:K200 J367:K367 B276:C276 J276:K276 B294:C295 J294:K295 B367:C367 B218:C221 J218:K221 B239:C242 J239:K242</xm:sqref>
        </x14:dataValidation>
        <x14:dataValidation type="list" allowBlank="1" showInputMessage="1" showErrorMessage="1" xr:uid="{00000000-0002-0000-0B00-000002000000}">
          <x14:formula1>
            <xm:f>'Cjenik M'!$B$11:$B$119</xm:f>
          </x14:formula1>
          <xm:sqref>B388:C388 J388:K388 B331:C331 J142:K142 B349:C349 K351:L351 J349:K349 B369:C370 J369:K370 B13:C15 J13:K15 B37:C37 J37:K37 J59:K59 B59:C59 J81:K83 B81:C83 B105:C105 J105:K105 B142:C142 J331:K331</xm:sqref>
        </x14:dataValidation>
        <x14:dataValidation type="list" allowBlank="1" showInputMessage="1" showErrorMessage="1" xr:uid="{5942B3A2-5F5F-4A88-B32E-B92B7B033FCE}">
          <x14:formula1>
            <xm:f>'Cjenik VSO (pomoćna)'!$B$9:$B$15</xm:f>
          </x14:formula1>
          <xm:sqref>B259:C259 J259:K259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G39"/>
  <sheetViews>
    <sheetView showZeros="0" view="pageBreakPreview" zoomScaleNormal="70" zoomScaleSheetLayoutView="70" workbookViewId="0">
      <selection activeCell="B5" sqref="B5"/>
    </sheetView>
  </sheetViews>
  <sheetFormatPr defaultRowHeight="12.75"/>
  <cols>
    <col min="1" max="1" width="3.7109375" style="1" customWidth="1"/>
    <col min="2" max="2" width="10.7109375" style="37" customWidth="1"/>
    <col min="3" max="3" width="25.7109375" style="2" customWidth="1"/>
    <col min="4" max="4" width="6.7109375" style="3" customWidth="1"/>
    <col min="5" max="5" width="11.7109375" style="4" customWidth="1"/>
    <col min="6" max="7" width="11.7109375" style="5" customWidth="1"/>
    <col min="8" max="16384" width="9.140625" style="2"/>
  </cols>
  <sheetData>
    <row r="1" spans="1:7" ht="15" customHeight="1"/>
    <row r="2" spans="1:7" s="6" customFormat="1" ht="15" customHeight="1">
      <c r="A2" s="144"/>
      <c r="B2" s="145" t="s">
        <v>833</v>
      </c>
      <c r="C2" s="836" t="s">
        <v>834</v>
      </c>
      <c r="D2" s="836"/>
      <c r="E2" s="836"/>
      <c r="F2" s="836"/>
      <c r="G2" s="836"/>
    </row>
    <row r="3" spans="1:7" ht="150" customHeight="1">
      <c r="A3" s="9"/>
      <c r="B3" s="616" t="s">
        <v>835</v>
      </c>
      <c r="C3" s="852" t="s">
        <v>836</v>
      </c>
      <c r="D3" s="852"/>
      <c r="E3" s="852"/>
      <c r="F3" s="852"/>
      <c r="G3" s="852"/>
    </row>
    <row r="4" spans="1:7" ht="15" customHeight="1" thickBot="1">
      <c r="B4" s="1"/>
    </row>
    <row r="5" spans="1:7" ht="25.15" customHeight="1" thickTop="1" thickBot="1">
      <c r="B5" s="1"/>
      <c r="E5" s="850" t="s">
        <v>837</v>
      </c>
      <c r="F5" s="850"/>
      <c r="G5" s="31">
        <v>1</v>
      </c>
    </row>
    <row r="6" spans="1:7" ht="25.15" customHeight="1" thickTop="1" thickBot="1">
      <c r="B6" s="1"/>
      <c r="E6" s="27" t="s">
        <v>49</v>
      </c>
      <c r="F6" s="28">
        <v>0.22</v>
      </c>
      <c r="G6" s="29">
        <f>G5*F6</f>
        <v>0.22</v>
      </c>
    </row>
    <row r="7" spans="1:7" ht="25.15" customHeight="1" thickTop="1" thickBot="1">
      <c r="B7" s="1"/>
      <c r="E7" s="840" t="s">
        <v>838</v>
      </c>
      <c r="F7" s="840"/>
      <c r="G7" s="29">
        <f>ROUND(SUM(G5:G6),2)</f>
        <v>1.22</v>
      </c>
    </row>
    <row r="8" spans="1:7" ht="15" customHeight="1" thickTop="1">
      <c r="B8" s="1"/>
    </row>
    <row r="9" spans="1:7" ht="15" customHeight="1">
      <c r="B9" s="1"/>
    </row>
    <row r="10" spans="1:7" ht="15" customHeight="1">
      <c r="B10" s="1"/>
    </row>
    <row r="11" spans="1:7" ht="15" customHeight="1">
      <c r="B11" s="1"/>
      <c r="C11" s="3" t="s">
        <v>839</v>
      </c>
      <c r="F11" s="841" t="s">
        <v>840</v>
      </c>
      <c r="G11" s="841"/>
    </row>
    <row r="12" spans="1:7" ht="25.15" customHeight="1">
      <c r="B12" s="1"/>
      <c r="C12" s="3" t="s">
        <v>841</v>
      </c>
      <c r="F12" s="841" t="s">
        <v>842</v>
      </c>
      <c r="G12" s="841"/>
    </row>
    <row r="13" spans="1:7" ht="15" customHeight="1">
      <c r="B13" s="1"/>
      <c r="C13" s="3"/>
      <c r="F13" s="30"/>
      <c r="G13" s="30"/>
    </row>
    <row r="14" spans="1:7" ht="15" customHeight="1">
      <c r="B14" s="1"/>
      <c r="C14" s="3"/>
      <c r="F14" s="30"/>
      <c r="G14" s="30"/>
    </row>
    <row r="15" spans="1:7" s="6" customFormat="1" ht="15" customHeight="1">
      <c r="A15" s="144"/>
      <c r="B15" s="145" t="s">
        <v>833</v>
      </c>
      <c r="C15" s="836" t="s">
        <v>834</v>
      </c>
      <c r="D15" s="836"/>
      <c r="E15" s="836"/>
      <c r="F15" s="836"/>
      <c r="G15" s="836"/>
    </row>
    <row r="16" spans="1:7" ht="150" customHeight="1">
      <c r="A16" s="40"/>
      <c r="B16" s="556" t="s">
        <v>843</v>
      </c>
      <c r="C16" s="852" t="s">
        <v>844</v>
      </c>
      <c r="D16" s="852"/>
      <c r="E16" s="852"/>
      <c r="F16" s="852"/>
      <c r="G16" s="852"/>
    </row>
    <row r="17" spans="1:7" ht="15" customHeight="1" thickBot="1"/>
    <row r="18" spans="1:7" ht="25.15" customHeight="1" thickTop="1" thickBot="1">
      <c r="E18" s="850" t="str">
        <f>'Obrazac kalkulacije'!$E$18</f>
        <v>Ukupno (kn):</v>
      </c>
      <c r="F18" s="850"/>
      <c r="G18" s="31">
        <v>1</v>
      </c>
    </row>
    <row r="19" spans="1:7" ht="25.15" customHeight="1" thickTop="1" thickBot="1">
      <c r="E19" s="27" t="str">
        <f>'Obrazac kalkulacije'!$E$19</f>
        <v>PDV:</v>
      </c>
      <c r="F19" s="28">
        <f>'Obrazac kalkulacije'!$F$19</f>
        <v>0.25</v>
      </c>
      <c r="G19" s="29">
        <f>G18*F19</f>
        <v>0.25</v>
      </c>
    </row>
    <row r="20" spans="1:7" ht="25.15" customHeight="1" thickTop="1" thickBot="1">
      <c r="E20" s="840" t="str">
        <f>'Obrazac kalkulacije'!$E$20</f>
        <v>Sveukupno (kn):</v>
      </c>
      <c r="F20" s="840"/>
      <c r="G20" s="29">
        <f>ROUND(SUM(G18:G19),2)</f>
        <v>1.25</v>
      </c>
    </row>
    <row r="21" spans="1:7" ht="15" customHeight="1" thickTop="1"/>
    <row r="22" spans="1:7" ht="15" customHeight="1"/>
    <row r="23" spans="1:7" ht="15" customHeight="1"/>
    <row r="24" spans="1:7" ht="15" customHeight="1">
      <c r="C24" s="3" t="str">
        <f>'Obrazac kalkulacije'!$C$24</f>
        <v>IZVODITELJ:</v>
      </c>
      <c r="F24" s="841" t="str">
        <f>'Obrazac kalkulacije'!$F$24</f>
        <v>NARUČITELJ:</v>
      </c>
      <c r="G24" s="841"/>
    </row>
    <row r="25" spans="1:7" ht="25.15" customHeight="1">
      <c r="C25" s="3" t="str">
        <f>'Obrazac kalkulacije'!$C$25</f>
        <v>__________________</v>
      </c>
      <c r="F25" s="841" t="str">
        <f>'Obrazac kalkulacije'!$F$25</f>
        <v>___________________</v>
      </c>
      <c r="G25" s="841"/>
    </row>
    <row r="26" spans="1:7" ht="15" customHeight="1">
      <c r="F26" s="841"/>
      <c r="G26" s="841"/>
    </row>
    <row r="27" spans="1:7" ht="15" customHeight="1"/>
    <row r="28" spans="1:7" s="6" customFormat="1" ht="15" customHeight="1">
      <c r="A28" s="144"/>
      <c r="B28" s="145" t="s">
        <v>833</v>
      </c>
      <c r="C28" s="836" t="s">
        <v>834</v>
      </c>
      <c r="D28" s="836"/>
      <c r="E28" s="836"/>
      <c r="F28" s="836"/>
      <c r="G28" s="836"/>
    </row>
    <row r="29" spans="1:7" ht="150" customHeight="1">
      <c r="A29" s="40"/>
      <c r="B29" s="556" t="s">
        <v>845</v>
      </c>
      <c r="C29" s="852" t="s">
        <v>846</v>
      </c>
      <c r="D29" s="852"/>
      <c r="E29" s="852"/>
      <c r="F29" s="852"/>
      <c r="G29" s="852"/>
    </row>
    <row r="30" spans="1:7" ht="15" customHeight="1" thickBot="1"/>
    <row r="31" spans="1:7" ht="25.15" customHeight="1" thickTop="1" thickBot="1">
      <c r="E31" s="850" t="str">
        <f>'Obrazac kalkulacije'!$E$18</f>
        <v>Ukupno (kn):</v>
      </c>
      <c r="F31" s="850"/>
      <c r="G31" s="31">
        <v>1</v>
      </c>
    </row>
    <row r="32" spans="1:7" ht="25.15" customHeight="1" thickTop="1" thickBot="1">
      <c r="E32" s="27" t="str">
        <f>'Obrazac kalkulacije'!$E$19</f>
        <v>PDV:</v>
      </c>
      <c r="F32" s="28">
        <f>'Obrazac kalkulacije'!$F$19</f>
        <v>0.25</v>
      </c>
      <c r="G32" s="29">
        <f>G31*F32</f>
        <v>0.25</v>
      </c>
    </row>
    <row r="33" spans="3:7" ht="25.15" customHeight="1" thickTop="1" thickBot="1">
      <c r="E33" s="840" t="str">
        <f>'Obrazac kalkulacije'!$E$20</f>
        <v>Sveukupno (kn):</v>
      </c>
      <c r="F33" s="840"/>
      <c r="G33" s="29">
        <f>ROUND(SUM(G31:G32),2)</f>
        <v>1.25</v>
      </c>
    </row>
    <row r="34" spans="3:7" ht="15" customHeight="1" thickTop="1"/>
    <row r="35" spans="3:7" ht="15" customHeight="1"/>
    <row r="36" spans="3:7" ht="15" customHeight="1"/>
    <row r="37" spans="3:7" ht="15" customHeight="1">
      <c r="C37" s="3" t="str">
        <f>'Obrazac kalkulacije'!$C$24</f>
        <v>IZVODITELJ:</v>
      </c>
      <c r="F37" s="841" t="str">
        <f>'Obrazac kalkulacije'!$F$24</f>
        <v>NARUČITELJ:</v>
      </c>
      <c r="G37" s="841"/>
    </row>
    <row r="38" spans="3:7" ht="25.15" customHeight="1">
      <c r="C38" s="3" t="str">
        <f>'Obrazac kalkulacije'!$C$25</f>
        <v>__________________</v>
      </c>
      <c r="F38" s="841" t="str">
        <f>'Obrazac kalkulacije'!$F$25</f>
        <v>___________________</v>
      </c>
      <c r="G38" s="841"/>
    </row>
    <row r="39" spans="3:7" ht="15" customHeight="1">
      <c r="F39" s="841"/>
      <c r="G39" s="841"/>
    </row>
  </sheetData>
  <sheetProtection selectLockedCells="1"/>
  <mergeCells count="20">
    <mergeCell ref="F38:G38"/>
    <mergeCell ref="F39:G39"/>
    <mergeCell ref="F24:G24"/>
    <mergeCell ref="F37:G37"/>
    <mergeCell ref="E31:F31"/>
    <mergeCell ref="E33:F33"/>
    <mergeCell ref="F25:G25"/>
    <mergeCell ref="F26:G26"/>
    <mergeCell ref="C28:G28"/>
    <mergeCell ref="C29:G29"/>
    <mergeCell ref="C2:G2"/>
    <mergeCell ref="C16:G16"/>
    <mergeCell ref="E18:F18"/>
    <mergeCell ref="E20:F20"/>
    <mergeCell ref="C3:G3"/>
    <mergeCell ref="E5:F5"/>
    <mergeCell ref="E7:F7"/>
    <mergeCell ref="F11:G11"/>
    <mergeCell ref="F12:G12"/>
    <mergeCell ref="C15:G15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94" orientation="portrait" horizontalDpi="4294967293" r:id="rId1"/>
  <headerFooter alignWithMargins="0">
    <oddHeader>&amp;L&amp;8HRVATSKE CESTE d.o.o.&amp;C&amp;8STANDARD REDOVNOG ODRŽAVANJA CESTA 2009.&amp;R&amp;8&amp;D</oddHeader>
    <oddFooter>&amp;L&amp;8&amp;F&amp;C&amp;8&amp;A&amp;R&amp;8&amp;P / &amp;N</oddFooter>
  </headerFooter>
  <rowBreaks count="2" manualBreakCount="2">
    <brk id="13" max="6" man="1"/>
    <brk id="26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</sheetPr>
  <dimension ref="A1:K26"/>
  <sheetViews>
    <sheetView showZeros="0" view="pageBreakPreview" zoomScaleNormal="85" workbookViewId="0">
      <selection activeCell="G20" sqref="G20"/>
    </sheetView>
  </sheetViews>
  <sheetFormatPr defaultRowHeight="12.75"/>
  <cols>
    <col min="1" max="1" width="3.7109375" style="1" customWidth="1"/>
    <col min="2" max="2" width="8.7109375" style="1" customWidth="1"/>
    <col min="3" max="3" width="21" style="2" customWidth="1"/>
    <col min="4" max="4" width="6.7109375" style="3" customWidth="1"/>
    <col min="5" max="5" width="9.7109375" style="4" customWidth="1"/>
    <col min="6" max="6" width="8.85546875" style="5" customWidth="1"/>
    <col min="7" max="7" width="10.5703125" style="5" customWidth="1"/>
    <col min="8" max="16384" width="9.140625" style="2"/>
  </cols>
  <sheetData>
    <row r="1" spans="1:11" ht="15" customHeight="1"/>
    <row r="2" spans="1:11" s="6" customFormat="1" ht="15" customHeight="1">
      <c r="A2" s="112"/>
      <c r="B2" s="113"/>
      <c r="C2" s="902"/>
      <c r="D2" s="902"/>
      <c r="E2" s="902"/>
      <c r="F2" s="902"/>
      <c r="G2" s="902"/>
      <c r="H2" s="20"/>
      <c r="K2" s="20"/>
    </row>
    <row r="3" spans="1:11" s="6" customFormat="1" ht="15" customHeight="1">
      <c r="A3" s="114"/>
      <c r="B3" s="115"/>
      <c r="C3" s="883"/>
      <c r="D3" s="883"/>
      <c r="E3" s="883"/>
      <c r="F3" s="883"/>
      <c r="G3" s="883"/>
    </row>
    <row r="4" spans="1:11" ht="15" customHeight="1">
      <c r="A4" s="116"/>
      <c r="B4" s="117"/>
      <c r="C4" s="903"/>
      <c r="D4" s="903"/>
      <c r="E4" s="903"/>
      <c r="F4" s="903"/>
      <c r="G4" s="903"/>
    </row>
    <row r="5" spans="1:11" ht="15" customHeight="1" thickBot="1">
      <c r="H5" s="20"/>
    </row>
    <row r="6" spans="1:11" s="20" customFormat="1" ht="30" customHeight="1" thickTop="1" thickBot="1">
      <c r="A6" s="118"/>
      <c r="B6" s="904" t="s">
        <v>624</v>
      </c>
      <c r="C6" s="904"/>
      <c r="D6" s="119" t="s">
        <v>625</v>
      </c>
      <c r="E6" s="120" t="s">
        <v>626</v>
      </c>
      <c r="F6" s="121" t="s">
        <v>627</v>
      </c>
      <c r="G6" s="122" t="s">
        <v>628</v>
      </c>
      <c r="K6" s="2"/>
    </row>
    <row r="7" spans="1:11" s="12" customFormat="1" ht="4.5" customHeight="1" thickTop="1">
      <c r="A7" s="1"/>
      <c r="C7" s="1"/>
      <c r="D7" s="11"/>
      <c r="E7" s="13"/>
      <c r="F7" s="14"/>
      <c r="G7" s="15"/>
    </row>
    <row r="8" spans="1:11" s="12" customFormat="1" ht="25.15" customHeight="1">
      <c r="A8" s="123"/>
      <c r="B8" s="895" t="s">
        <v>565</v>
      </c>
      <c r="C8" s="895"/>
      <c r="D8" s="124"/>
      <c r="E8" s="125"/>
      <c r="F8" s="126"/>
      <c r="G8" s="127">
        <f>SUM(G9:G10)</f>
        <v>0</v>
      </c>
      <c r="H8" s="2"/>
    </row>
    <row r="9" spans="1:11" s="12" customFormat="1" ht="25.15" customHeight="1">
      <c r="A9" s="72"/>
      <c r="B9" s="900"/>
      <c r="C9" s="900"/>
      <c r="D9" s="89"/>
      <c r="E9" s="86"/>
      <c r="F9" s="54"/>
      <c r="G9" s="55">
        <f>+F9*E9</f>
        <v>0</v>
      </c>
      <c r="H9" s="2"/>
    </row>
    <row r="10" spans="1:11" s="12" customFormat="1" ht="25.15" customHeight="1">
      <c r="A10" s="90"/>
      <c r="B10" s="898"/>
      <c r="C10" s="898"/>
      <c r="D10" s="91"/>
      <c r="E10" s="87"/>
      <c r="F10" s="64"/>
      <c r="G10" s="65">
        <f>+F10*E10</f>
        <v>0</v>
      </c>
    </row>
    <row r="11" spans="1:11" s="12" customFormat="1" ht="25.15" customHeight="1">
      <c r="A11" s="123"/>
      <c r="B11" s="895" t="s">
        <v>566</v>
      </c>
      <c r="C11" s="895"/>
      <c r="D11" s="128"/>
      <c r="E11" s="129"/>
      <c r="F11" s="130"/>
      <c r="G11" s="127">
        <f>SUM(G12:G14)</f>
        <v>0</v>
      </c>
      <c r="H11" s="2"/>
    </row>
    <row r="12" spans="1:11" s="12" customFormat="1" ht="25.15" customHeight="1">
      <c r="A12" s="72"/>
      <c r="B12" s="900"/>
      <c r="C12" s="900"/>
      <c r="D12" s="52"/>
      <c r="E12" s="73"/>
      <c r="F12" s="54"/>
      <c r="G12" s="55">
        <f>+F12*E12</f>
        <v>0</v>
      </c>
    </row>
    <row r="13" spans="1:11" s="12" customFormat="1" ht="25.15" customHeight="1">
      <c r="A13" s="98"/>
      <c r="B13" s="899"/>
      <c r="C13" s="899"/>
      <c r="D13" s="57"/>
      <c r="E13" s="75"/>
      <c r="F13" s="59"/>
      <c r="G13" s="60">
        <f>+F13*E13</f>
        <v>0</v>
      </c>
    </row>
    <row r="14" spans="1:11" s="12" customFormat="1" ht="25.15" customHeight="1">
      <c r="A14" s="90"/>
      <c r="B14" s="898"/>
      <c r="C14" s="898"/>
      <c r="D14" s="62"/>
      <c r="E14" s="131"/>
      <c r="F14" s="64"/>
      <c r="G14" s="65">
        <f>+F14*E14</f>
        <v>0</v>
      </c>
    </row>
    <row r="15" spans="1:11" s="12" customFormat="1" ht="25.15" customHeight="1">
      <c r="A15" s="123"/>
      <c r="B15" s="895" t="s">
        <v>630</v>
      </c>
      <c r="C15" s="895"/>
      <c r="D15" s="128"/>
      <c r="E15" s="129"/>
      <c r="F15" s="130"/>
      <c r="G15" s="127">
        <f>SUM(G16:G17)</f>
        <v>0</v>
      </c>
    </row>
    <row r="16" spans="1:11" s="12" customFormat="1" ht="25.15" customHeight="1">
      <c r="A16" s="72"/>
      <c r="B16" s="900"/>
      <c r="C16" s="900"/>
      <c r="D16" s="52"/>
      <c r="E16" s="73"/>
      <c r="F16" s="54"/>
      <c r="G16" s="55">
        <f>+F16*E16</f>
        <v>0</v>
      </c>
    </row>
    <row r="17" spans="1:7" s="12" customFormat="1" ht="25.15" customHeight="1" thickBot="1">
      <c r="A17" s="74"/>
      <c r="B17" s="901"/>
      <c r="C17" s="901"/>
      <c r="D17" s="67"/>
      <c r="E17" s="81"/>
      <c r="F17" s="69"/>
      <c r="G17" s="70">
        <f>+F17*E17</f>
        <v>0</v>
      </c>
    </row>
    <row r="18" spans="1:7" ht="25.15" customHeight="1" thickTop="1" thickBot="1">
      <c r="E18" s="896" t="s">
        <v>837</v>
      </c>
      <c r="F18" s="896"/>
      <c r="G18" s="71">
        <f>ROUND(SUM(G8+G11+G15),2)</f>
        <v>0</v>
      </c>
    </row>
    <row r="19" spans="1:7" ht="25.15" customHeight="1" thickTop="1" thickBot="1">
      <c r="E19" s="132" t="s">
        <v>49</v>
      </c>
      <c r="F19" s="133">
        <v>0.25</v>
      </c>
      <c r="G19" s="29">
        <f>G18*F19</f>
        <v>0</v>
      </c>
    </row>
    <row r="20" spans="1:7" ht="25.15" customHeight="1" thickTop="1" thickBot="1">
      <c r="E20" s="897" t="s">
        <v>838</v>
      </c>
      <c r="F20" s="897"/>
      <c r="G20" s="29">
        <f>ROUND(SUM(G18:G19),2)</f>
        <v>0</v>
      </c>
    </row>
    <row r="21" spans="1:7" ht="15" customHeight="1" thickTop="1"/>
    <row r="22" spans="1:7" ht="15" customHeight="1"/>
    <row r="23" spans="1:7" ht="15" customHeight="1"/>
    <row r="24" spans="1:7" ht="15" customHeight="1">
      <c r="C24" s="134" t="s">
        <v>839</v>
      </c>
      <c r="F24" s="894" t="s">
        <v>840</v>
      </c>
      <c r="G24" s="894"/>
    </row>
    <row r="25" spans="1:7" ht="25.15" customHeight="1">
      <c r="C25" s="134" t="s">
        <v>841</v>
      </c>
      <c r="F25" s="894" t="s">
        <v>842</v>
      </c>
      <c r="G25" s="894"/>
    </row>
    <row r="26" spans="1:7" ht="15" customHeight="1">
      <c r="F26" s="2"/>
      <c r="G26" s="2"/>
    </row>
  </sheetData>
  <sheetProtection selectLockedCells="1"/>
  <mergeCells count="18">
    <mergeCell ref="B9:C9"/>
    <mergeCell ref="B16:C16"/>
    <mergeCell ref="B17:C17"/>
    <mergeCell ref="C2:G2"/>
    <mergeCell ref="C3:G3"/>
    <mergeCell ref="C4:G4"/>
    <mergeCell ref="B8:C8"/>
    <mergeCell ref="B6:C6"/>
    <mergeCell ref="B10:C10"/>
    <mergeCell ref="B12:C12"/>
    <mergeCell ref="F25:G25"/>
    <mergeCell ref="B11:C11"/>
    <mergeCell ref="B15:C15"/>
    <mergeCell ref="F24:G24"/>
    <mergeCell ref="E18:F18"/>
    <mergeCell ref="E20:F20"/>
    <mergeCell ref="B14:C14"/>
    <mergeCell ref="B13:C13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94" orientation="portrait" r:id="rId1"/>
  <headerFooter alignWithMargins="0">
    <oddHeader>&amp;L&amp;8HRVATSKE CESTE d.o.o.&amp;C&amp;8STANDARD REDOVNOG ODRŽAVANJA CESTA 2009.&amp;R&amp;8&amp;D</oddHeader>
    <oddFooter>&amp;L&amp;8&amp;F&amp;C&amp;8&amp;A&amp;R&amp;8&amp;P /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I29"/>
  <sheetViews>
    <sheetView showZeros="0" view="pageLayout" topLeftCell="A3" zoomScaleNormal="100" zoomScaleSheetLayoutView="115" workbookViewId="0">
      <selection activeCell="E30" sqref="E30"/>
    </sheetView>
  </sheetViews>
  <sheetFormatPr defaultColWidth="9.28515625" defaultRowHeight="15"/>
  <cols>
    <col min="1" max="1" width="6.28515625" style="218" customWidth="1"/>
    <col min="2" max="2" width="11.140625" style="167" customWidth="1"/>
    <col min="3" max="3" width="20.7109375" style="167" customWidth="1"/>
    <col min="4" max="4" width="12.7109375" style="219" customWidth="1"/>
    <col min="5" max="5" width="9.28515625" style="166" customWidth="1"/>
    <col min="6" max="6" width="12.7109375" style="166" customWidth="1"/>
    <col min="7" max="7" width="9.28515625" style="166" customWidth="1"/>
    <col min="8" max="16384" width="9.28515625" style="167"/>
  </cols>
  <sheetData>
    <row r="1" spans="1:9" ht="19.899999999999999" customHeight="1">
      <c r="A1" s="905" t="s">
        <v>847</v>
      </c>
      <c r="B1" s="905"/>
      <c r="C1" s="905"/>
      <c r="D1" s="905"/>
      <c r="E1" s="905"/>
      <c r="F1" s="905"/>
    </row>
    <row r="2" spans="1:9" ht="4.9000000000000004" customHeight="1" thickBot="1">
      <c r="A2" s="168"/>
      <c r="B2" s="168"/>
      <c r="C2" s="168"/>
      <c r="D2" s="168"/>
      <c r="E2" s="168"/>
      <c r="F2" s="168"/>
    </row>
    <row r="3" spans="1:9" ht="0.75" customHeight="1" thickBot="1">
      <c r="A3" s="169"/>
      <c r="B3" s="169"/>
      <c r="C3" s="170" t="s">
        <v>848</v>
      </c>
      <c r="D3" s="171">
        <v>3530</v>
      </c>
      <c r="E3" s="169"/>
      <c r="F3" s="169"/>
    </row>
    <row r="4" spans="1:9" ht="24.75" hidden="1" customHeight="1" thickBot="1">
      <c r="A4" s="172"/>
      <c r="B4" s="173"/>
      <c r="C4" s="174" t="s">
        <v>849</v>
      </c>
      <c r="D4" s="175">
        <v>416</v>
      </c>
      <c r="E4" s="173"/>
      <c r="F4" s="176"/>
    </row>
    <row r="5" spans="1:9" ht="15" hidden="1" customHeight="1" thickBot="1">
      <c r="A5" s="172"/>
      <c r="B5" s="173"/>
      <c r="C5" s="177" t="s">
        <v>850</v>
      </c>
      <c r="D5" s="178">
        <v>174</v>
      </c>
      <c r="E5" s="176"/>
      <c r="F5" s="176"/>
    </row>
    <row r="6" spans="1:9" ht="15" hidden="1" customHeight="1" thickBot="1">
      <c r="A6" s="172"/>
      <c r="B6" s="173"/>
      <c r="C6" s="179" t="s">
        <v>851</v>
      </c>
      <c r="D6" s="175">
        <v>3.2</v>
      </c>
      <c r="E6" s="176"/>
      <c r="F6" s="176"/>
    </row>
    <row r="7" spans="1:9" ht="15" hidden="1" customHeight="1" thickBot="1">
      <c r="A7" s="172"/>
      <c r="B7" s="173"/>
      <c r="C7" s="179" t="s">
        <v>852</v>
      </c>
      <c r="D7" s="180">
        <v>0.25</v>
      </c>
      <c r="E7" s="181"/>
      <c r="F7" s="173"/>
      <c r="H7" s="166"/>
      <c r="I7" s="166"/>
    </row>
    <row r="8" spans="1:9" ht="15" hidden="1" customHeight="1" thickBot="1">
      <c r="A8" s="172"/>
      <c r="B8" s="173"/>
      <c r="C8" s="174" t="s">
        <v>853</v>
      </c>
      <c r="D8" s="182" t="s">
        <v>51</v>
      </c>
      <c r="E8" s="181"/>
      <c r="F8" s="173"/>
      <c r="H8" s="166"/>
      <c r="I8" s="166"/>
    </row>
    <row r="9" spans="1:9" ht="15" hidden="1" customHeight="1" thickBot="1">
      <c r="A9" s="172"/>
      <c r="B9" s="183"/>
      <c r="C9" s="184" t="s">
        <v>854</v>
      </c>
      <c r="D9" s="185">
        <v>8</v>
      </c>
      <c r="E9" s="176"/>
      <c r="F9" s="176"/>
    </row>
    <row r="10" spans="1:9" s="191" customFormat="1" ht="45" customHeight="1" thickBot="1">
      <c r="A10" s="186" t="s">
        <v>855</v>
      </c>
      <c r="B10" s="187" t="s">
        <v>856</v>
      </c>
      <c r="C10" s="188" t="s">
        <v>857</v>
      </c>
      <c r="D10" s="189" t="s">
        <v>858</v>
      </c>
      <c r="E10" s="190" t="s">
        <v>859</v>
      </c>
      <c r="F10" s="189" t="s">
        <v>860</v>
      </c>
      <c r="G10" s="166"/>
    </row>
    <row r="11" spans="1:9" ht="15" customHeight="1">
      <c r="A11" s="192" t="s">
        <v>8</v>
      </c>
      <c r="B11" s="193">
        <v>1.5</v>
      </c>
      <c r="C11" s="194" t="s">
        <v>57</v>
      </c>
      <c r="D11" s="195">
        <f t="shared" ref="D11:D17" si="0">ROUND(($D$3*B11+$D$4)/$D$5*$D$6,2)</f>
        <v>105.03</v>
      </c>
      <c r="E11" s="196">
        <f t="shared" ref="E11:E17" si="1">ROUND(D11*$D$7,2)</f>
        <v>26.26</v>
      </c>
      <c r="F11" s="197">
        <f t="shared" ref="F11:F17" si="2">ROUND(SUM(D11:E11),2)</f>
        <v>131.29</v>
      </c>
    </row>
    <row r="12" spans="1:9" s="204" customFormat="1" ht="15" customHeight="1">
      <c r="A12" s="198" t="s">
        <v>17</v>
      </c>
      <c r="B12" s="199">
        <v>1.4</v>
      </c>
      <c r="C12" s="200" t="s">
        <v>53</v>
      </c>
      <c r="D12" s="201">
        <f t="shared" si="0"/>
        <v>98.54</v>
      </c>
      <c r="E12" s="202">
        <f t="shared" si="1"/>
        <v>24.64</v>
      </c>
      <c r="F12" s="203">
        <f t="shared" si="2"/>
        <v>123.18</v>
      </c>
      <c r="G12" s="166"/>
    </row>
    <row r="13" spans="1:9" ht="15" customHeight="1" thickBot="1">
      <c r="A13" s="198" t="s">
        <v>23</v>
      </c>
      <c r="B13" s="199">
        <v>1.2</v>
      </c>
      <c r="C13" s="205" t="s">
        <v>363</v>
      </c>
      <c r="D13" s="201">
        <f t="shared" si="0"/>
        <v>85.55</v>
      </c>
      <c r="E13" s="202">
        <f t="shared" si="1"/>
        <v>21.39</v>
      </c>
      <c r="F13" s="203">
        <f t="shared" si="2"/>
        <v>106.94</v>
      </c>
    </row>
    <row r="14" spans="1:9" ht="15" hidden="1" customHeight="1" thickBot="1">
      <c r="A14" s="198" t="s">
        <v>27</v>
      </c>
      <c r="B14" s="199">
        <v>1.45</v>
      </c>
      <c r="C14" s="205" t="s">
        <v>861</v>
      </c>
      <c r="D14" s="201">
        <f t="shared" si="0"/>
        <v>101.78</v>
      </c>
      <c r="E14" s="202">
        <f t="shared" si="1"/>
        <v>25.45</v>
      </c>
      <c r="F14" s="203">
        <f t="shared" si="2"/>
        <v>127.23</v>
      </c>
    </row>
    <row r="15" spans="1:9" ht="15" hidden="1" customHeight="1" thickBot="1">
      <c r="A15" s="198" t="s">
        <v>39</v>
      </c>
      <c r="B15" s="199">
        <v>1.65</v>
      </c>
      <c r="C15" s="205" t="s">
        <v>862</v>
      </c>
      <c r="D15" s="201">
        <f t="shared" si="0"/>
        <v>114.77</v>
      </c>
      <c r="E15" s="202">
        <f t="shared" si="1"/>
        <v>28.69</v>
      </c>
      <c r="F15" s="203">
        <f t="shared" si="2"/>
        <v>143.46</v>
      </c>
    </row>
    <row r="16" spans="1:9" ht="15" hidden="1" customHeight="1" thickBot="1">
      <c r="A16" s="198" t="s">
        <v>31</v>
      </c>
      <c r="B16" s="199">
        <v>1.6</v>
      </c>
      <c r="C16" s="205" t="s">
        <v>863</v>
      </c>
      <c r="D16" s="201">
        <f t="shared" si="0"/>
        <v>111.52</v>
      </c>
      <c r="E16" s="202">
        <f t="shared" si="1"/>
        <v>27.88</v>
      </c>
      <c r="F16" s="203">
        <f t="shared" si="2"/>
        <v>139.4</v>
      </c>
    </row>
    <row r="17" spans="1:6" ht="15" hidden="1" customHeight="1" thickBot="1">
      <c r="A17" s="206" t="s">
        <v>561</v>
      </c>
      <c r="B17" s="207">
        <v>1.65</v>
      </c>
      <c r="C17" s="208" t="s">
        <v>864</v>
      </c>
      <c r="D17" s="209">
        <f t="shared" si="0"/>
        <v>114.77</v>
      </c>
      <c r="E17" s="210">
        <f t="shared" si="1"/>
        <v>28.69</v>
      </c>
      <c r="F17" s="211">
        <f t="shared" si="2"/>
        <v>143.46</v>
      </c>
    </row>
    <row r="18" spans="1:6" ht="14.25" customHeight="1" thickBot="1">
      <c r="A18" s="212"/>
      <c r="B18" s="213"/>
      <c r="C18" s="214"/>
      <c r="D18" s="215"/>
      <c r="E18" s="216"/>
      <c r="F18" s="217"/>
    </row>
    <row r="19" spans="1:6" ht="15" hidden="1" customHeight="1">
      <c r="A19" s="192" t="s">
        <v>615</v>
      </c>
      <c r="B19" s="193"/>
      <c r="C19" s="194"/>
      <c r="D19" s="195"/>
      <c r="E19" s="196"/>
      <c r="F19" s="197"/>
    </row>
    <row r="20" spans="1:6" ht="15" hidden="1" customHeight="1">
      <c r="A20" s="198" t="s">
        <v>728</v>
      </c>
      <c r="B20" s="199"/>
      <c r="C20" s="205"/>
      <c r="D20" s="201"/>
      <c r="E20" s="202"/>
      <c r="F20" s="203"/>
    </row>
    <row r="21" spans="1:6" ht="15" hidden="1" customHeight="1">
      <c r="A21" s="198" t="s">
        <v>762</v>
      </c>
      <c r="B21" s="199"/>
      <c r="C21" s="205"/>
      <c r="D21" s="201"/>
      <c r="E21" s="202"/>
      <c r="F21" s="203"/>
    </row>
    <row r="22" spans="1:6" ht="15" customHeight="1">
      <c r="A22" s="198" t="s">
        <v>615</v>
      </c>
      <c r="B22" s="199">
        <v>1.65</v>
      </c>
      <c r="C22" s="205" t="s">
        <v>865</v>
      </c>
      <c r="D22" s="201">
        <f t="shared" ref="D22:D24" si="3">ROUND(($D$3*B22+$D$4)/$D$5*$D$6,2)</f>
        <v>114.77</v>
      </c>
      <c r="E22" s="767">
        <f t="shared" ref="E22:E24" si="4">ROUND(D22*$D$7,2)</f>
        <v>28.69</v>
      </c>
      <c r="F22" s="768">
        <f t="shared" ref="F22:F24" si="5">ROUND(SUM(D22:E22),2)</f>
        <v>143.46</v>
      </c>
    </row>
    <row r="23" spans="1:6" ht="15" customHeight="1">
      <c r="A23" s="759" t="s">
        <v>728</v>
      </c>
      <c r="B23" s="199">
        <v>2.4</v>
      </c>
      <c r="C23" s="205" t="s">
        <v>867</v>
      </c>
      <c r="D23" s="201">
        <f t="shared" si="3"/>
        <v>163.46</v>
      </c>
      <c r="E23" s="766">
        <f t="shared" si="4"/>
        <v>40.869999999999997</v>
      </c>
      <c r="F23" s="765">
        <f t="shared" si="5"/>
        <v>204.33</v>
      </c>
    </row>
    <row r="24" spans="1:6" ht="15" customHeight="1" thickBot="1">
      <c r="A24" s="761" t="s">
        <v>762</v>
      </c>
      <c r="B24" s="207">
        <v>2.6</v>
      </c>
      <c r="C24" s="208" t="s">
        <v>869</v>
      </c>
      <c r="D24" s="763">
        <f t="shared" si="3"/>
        <v>176.44</v>
      </c>
      <c r="E24" s="764">
        <f t="shared" si="4"/>
        <v>44.11</v>
      </c>
      <c r="F24" s="762">
        <f t="shared" si="5"/>
        <v>220.55</v>
      </c>
    </row>
    <row r="25" spans="1:6" ht="15" customHeight="1">
      <c r="A25" s="754"/>
      <c r="B25" s="751"/>
      <c r="C25" s="751"/>
      <c r="D25" s="752"/>
      <c r="E25" s="751"/>
      <c r="F25" s="760"/>
    </row>
    <row r="26" spans="1:6" ht="15" customHeight="1">
      <c r="A26" s="755"/>
      <c r="B26" s="906" t="s">
        <v>1199</v>
      </c>
      <c r="C26" s="907"/>
      <c r="D26" s="476"/>
      <c r="E26" s="533" t="s">
        <v>1190</v>
      </c>
      <c r="F26" s="756"/>
    </row>
    <row r="27" spans="1:6" ht="15" customHeight="1">
      <c r="A27" s="755"/>
      <c r="B27" s="906" t="s">
        <v>1200</v>
      </c>
      <c r="C27" s="907"/>
      <c r="D27" s="476"/>
      <c r="E27" s="533" t="s">
        <v>1201</v>
      </c>
      <c r="F27" s="756"/>
    </row>
    <row r="28" spans="1:6" ht="15" customHeight="1">
      <c r="A28" s="755"/>
      <c r="B28" s="509"/>
      <c r="C28" s="758"/>
      <c r="D28" s="476"/>
      <c r="E28" s="533"/>
      <c r="F28" s="756"/>
    </row>
    <row r="29" spans="1:6">
      <c r="A29" s="753"/>
      <c r="B29" s="753"/>
      <c r="C29" s="753"/>
      <c r="D29" s="753"/>
      <c r="E29" s="753"/>
      <c r="F29" s="753"/>
    </row>
  </sheetData>
  <sheetProtection selectLockedCells="1"/>
  <mergeCells count="3">
    <mergeCell ref="A1:F1"/>
    <mergeCell ref="B26:C26"/>
    <mergeCell ref="B27:C27"/>
  </mergeCells>
  <phoneticPr fontId="8" type="noConversion"/>
  <pageMargins left="0.98425196850393704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>&amp;L&amp;8PERUŠIĆ d.o.o.&amp;R&amp;8&amp;D</oddHeader>
    <oddFooter>&amp;L&amp;8&amp;F&amp;R&amp;8&amp;P /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E113"/>
  <sheetViews>
    <sheetView showZeros="0" view="pageLayout" zoomScaleNormal="100" zoomScaleSheetLayoutView="115" workbookViewId="0">
      <selection activeCell="D31" sqref="D31"/>
    </sheetView>
  </sheetViews>
  <sheetFormatPr defaultRowHeight="12.75"/>
  <cols>
    <col min="1" max="1" width="6.7109375" style="105" customWidth="1"/>
    <col min="2" max="2" width="60.28515625" style="105" customWidth="1"/>
    <col min="3" max="3" width="8.7109375" style="105" customWidth="1"/>
    <col min="4" max="4" width="13.85546875" style="106" bestFit="1" customWidth="1"/>
    <col min="5" max="16384" width="9.140625" style="107"/>
  </cols>
  <sheetData>
    <row r="1" spans="1:4" ht="14.25" customHeight="1">
      <c r="B1" s="453" t="s">
        <v>1221</v>
      </c>
    </row>
    <row r="2" spans="1:4" ht="9.75" customHeight="1"/>
    <row r="3" spans="1:4" ht="9.75" customHeight="1"/>
    <row r="4" spans="1:4" ht="9.75" customHeight="1"/>
    <row r="5" spans="1:4" ht="9.75" customHeight="1"/>
    <row r="6" spans="1:4" ht="9.75" customHeight="1"/>
    <row r="7" spans="1:4" ht="15.6" customHeight="1">
      <c r="A7" s="908" t="s">
        <v>1198</v>
      </c>
      <c r="B7" s="908"/>
      <c r="C7" s="908"/>
      <c r="D7" s="908"/>
    </row>
    <row r="8" spans="1:4" ht="4.9000000000000004" customHeight="1" thickBot="1">
      <c r="A8" s="469"/>
      <c r="B8" s="469"/>
      <c r="C8" s="469"/>
      <c r="D8" s="470"/>
    </row>
    <row r="9" spans="1:4" s="108" customFormat="1" ht="39.75" customHeight="1">
      <c r="A9" s="468" t="s">
        <v>855</v>
      </c>
      <c r="B9" s="780" t="s">
        <v>871</v>
      </c>
      <c r="C9" s="650" t="s">
        <v>872</v>
      </c>
      <c r="D9" s="648" t="s">
        <v>873</v>
      </c>
    </row>
    <row r="10" spans="1:4" s="108" customFormat="1" ht="6.75" customHeight="1" thickBot="1">
      <c r="A10" s="284"/>
      <c r="B10" s="649"/>
      <c r="C10" s="651"/>
      <c r="D10" s="285"/>
    </row>
    <row r="11" spans="1:4">
      <c r="A11" s="152" t="s">
        <v>8</v>
      </c>
      <c r="B11" s="109" t="s">
        <v>913</v>
      </c>
      <c r="C11" s="111" t="s">
        <v>441</v>
      </c>
      <c r="D11" s="782">
        <v>650</v>
      </c>
    </row>
    <row r="12" spans="1:4">
      <c r="A12" s="153" t="s">
        <v>17</v>
      </c>
      <c r="B12" s="109" t="s">
        <v>915</v>
      </c>
      <c r="C12" s="111" t="s">
        <v>441</v>
      </c>
      <c r="D12" s="782">
        <v>490</v>
      </c>
    </row>
    <row r="13" spans="1:4">
      <c r="A13" s="153" t="s">
        <v>23</v>
      </c>
      <c r="B13" s="109" t="s">
        <v>917</v>
      </c>
      <c r="C13" s="111" t="s">
        <v>441</v>
      </c>
      <c r="D13" s="783">
        <v>2200</v>
      </c>
    </row>
    <row r="14" spans="1:4">
      <c r="A14" s="153" t="s">
        <v>27</v>
      </c>
      <c r="B14" s="109" t="s">
        <v>919</v>
      </c>
      <c r="C14" s="111" t="s">
        <v>441</v>
      </c>
      <c r="D14" s="783">
        <v>5000</v>
      </c>
    </row>
    <row r="15" spans="1:4">
      <c r="A15" s="153" t="s">
        <v>31</v>
      </c>
      <c r="B15" s="109" t="s">
        <v>921</v>
      </c>
      <c r="C15" s="111" t="s">
        <v>441</v>
      </c>
      <c r="D15" s="783">
        <v>13200</v>
      </c>
    </row>
    <row r="16" spans="1:4">
      <c r="A16" s="153" t="s">
        <v>39</v>
      </c>
      <c r="B16" s="109" t="s">
        <v>1181</v>
      </c>
      <c r="C16" s="157" t="s">
        <v>893</v>
      </c>
      <c r="D16" s="784">
        <v>280</v>
      </c>
    </row>
    <row r="17" spans="1:4">
      <c r="A17" s="153" t="s">
        <v>561</v>
      </c>
      <c r="B17" s="781" t="s">
        <v>1213</v>
      </c>
      <c r="C17" s="111" t="s">
        <v>965</v>
      </c>
      <c r="D17" s="782">
        <v>69.599999999999994</v>
      </c>
    </row>
    <row r="18" spans="1:4">
      <c r="A18" s="153" t="s">
        <v>615</v>
      </c>
      <c r="B18" s="781" t="s">
        <v>1216</v>
      </c>
      <c r="C18" s="111" t="s">
        <v>965</v>
      </c>
      <c r="D18" s="782">
        <v>12.3</v>
      </c>
    </row>
    <row r="19" spans="1:4">
      <c r="A19" s="153" t="s">
        <v>728</v>
      </c>
      <c r="B19" s="781" t="s">
        <v>1214</v>
      </c>
      <c r="C19" s="111" t="s">
        <v>965</v>
      </c>
      <c r="D19" s="782">
        <v>109.88</v>
      </c>
    </row>
    <row r="20" spans="1:4">
      <c r="A20" s="153" t="s">
        <v>762</v>
      </c>
      <c r="B20" s="674" t="s">
        <v>1215</v>
      </c>
      <c r="C20" s="111" t="s">
        <v>965</v>
      </c>
      <c r="D20" s="782">
        <v>22.8</v>
      </c>
    </row>
    <row r="21" spans="1:4">
      <c r="A21" s="153" t="s">
        <v>833</v>
      </c>
      <c r="B21" s="109" t="s">
        <v>1217</v>
      </c>
      <c r="C21" s="111" t="s">
        <v>441</v>
      </c>
      <c r="D21" s="782">
        <v>150</v>
      </c>
    </row>
    <row r="22" spans="1:4">
      <c r="A22" s="153" t="s">
        <v>866</v>
      </c>
      <c r="B22" s="109" t="s">
        <v>1218</v>
      </c>
      <c r="C22" s="111" t="s">
        <v>441</v>
      </c>
      <c r="D22" s="788">
        <v>2220</v>
      </c>
    </row>
    <row r="23" spans="1:4" ht="13.5" thickBot="1">
      <c r="A23" s="797" t="s">
        <v>868</v>
      </c>
      <c r="B23" s="798" t="s">
        <v>1219</v>
      </c>
      <c r="C23" s="799" t="s">
        <v>14</v>
      </c>
      <c r="D23" s="800">
        <v>800</v>
      </c>
    </row>
    <row r="24" spans="1:4">
      <c r="A24" s="794"/>
      <c r="B24" s="793"/>
      <c r="C24" s="794"/>
      <c r="D24" s="795"/>
    </row>
    <row r="25" spans="1:4">
      <c r="A25" s="794"/>
      <c r="B25" s="793" t="s">
        <v>839</v>
      </c>
      <c r="C25" s="794"/>
      <c r="D25" s="801" t="s">
        <v>840</v>
      </c>
    </row>
    <row r="26" spans="1:4">
      <c r="A26" s="794"/>
      <c r="B26" s="793"/>
      <c r="C26" s="794"/>
      <c r="D26" s="795"/>
    </row>
    <row r="27" spans="1:4">
      <c r="A27" s="794"/>
      <c r="B27" s="793" t="s">
        <v>1211</v>
      </c>
      <c r="C27" s="794"/>
      <c r="D27" s="795" t="s">
        <v>1220</v>
      </c>
    </row>
    <row r="28" spans="1:4" ht="15.75" customHeight="1">
      <c r="A28" s="794"/>
      <c r="B28" s="793"/>
      <c r="C28" s="794"/>
      <c r="D28" s="795"/>
    </row>
    <row r="29" spans="1:4">
      <c r="A29" s="794"/>
      <c r="B29" s="793"/>
      <c r="C29" s="794"/>
      <c r="D29" s="795"/>
    </row>
    <row r="30" spans="1:4">
      <c r="A30" s="794"/>
      <c r="B30" s="793"/>
      <c r="C30" s="794"/>
      <c r="D30" s="795"/>
    </row>
    <row r="31" spans="1:4">
      <c r="A31" s="794"/>
      <c r="B31" s="793"/>
      <c r="C31" s="794"/>
      <c r="D31" s="795"/>
    </row>
    <row r="32" spans="1:4">
      <c r="A32" s="794"/>
      <c r="B32" s="793"/>
      <c r="C32" s="794"/>
      <c r="D32" s="795"/>
    </row>
    <row r="33" spans="1:4">
      <c r="A33" s="794"/>
      <c r="B33" s="793"/>
      <c r="C33" s="794"/>
      <c r="D33" s="795"/>
    </row>
    <row r="34" spans="1:4">
      <c r="A34" s="794"/>
      <c r="B34" s="793"/>
      <c r="C34" s="794"/>
      <c r="D34" s="795"/>
    </row>
    <row r="35" spans="1:4">
      <c r="A35" s="794"/>
      <c r="B35" s="793"/>
      <c r="C35" s="794"/>
      <c r="D35" s="795"/>
    </row>
    <row r="36" spans="1:4">
      <c r="A36" s="794"/>
      <c r="B36" s="793"/>
      <c r="C36" s="794"/>
      <c r="D36" s="795"/>
    </row>
    <row r="37" spans="1:4">
      <c r="A37" s="794"/>
      <c r="B37" s="793"/>
      <c r="C37" s="794"/>
      <c r="D37" s="795"/>
    </row>
    <row r="38" spans="1:4">
      <c r="A38" s="794"/>
      <c r="B38" s="793"/>
      <c r="C38" s="794"/>
      <c r="D38" s="795"/>
    </row>
    <row r="39" spans="1:4">
      <c r="A39" s="794"/>
      <c r="B39" s="793"/>
      <c r="C39" s="794"/>
      <c r="D39" s="795"/>
    </row>
    <row r="40" spans="1:4">
      <c r="A40" s="794"/>
      <c r="B40" s="793"/>
      <c r="C40" s="794"/>
      <c r="D40" s="795"/>
    </row>
    <row r="41" spans="1:4">
      <c r="A41" s="794"/>
      <c r="B41" s="793"/>
      <c r="C41" s="794"/>
      <c r="D41" s="795"/>
    </row>
    <row r="42" spans="1:4">
      <c r="A42" s="794"/>
      <c r="B42" s="793"/>
      <c r="C42" s="794"/>
      <c r="D42" s="795"/>
    </row>
    <row r="43" spans="1:4">
      <c r="A43" s="794"/>
      <c r="B43" s="793"/>
      <c r="C43" s="794"/>
      <c r="D43" s="795"/>
    </row>
    <row r="44" spans="1:4">
      <c r="A44" s="794"/>
      <c r="B44" s="793"/>
      <c r="C44" s="794"/>
      <c r="D44" s="795"/>
    </row>
    <row r="45" spans="1:4">
      <c r="A45" s="794"/>
      <c r="B45" s="793"/>
      <c r="C45" s="794"/>
      <c r="D45" s="795"/>
    </row>
    <row r="46" spans="1:4">
      <c r="A46" s="794"/>
      <c r="B46" s="793"/>
      <c r="C46" s="794"/>
      <c r="D46" s="795"/>
    </row>
    <row r="47" spans="1:4">
      <c r="A47" s="794"/>
      <c r="B47" s="793"/>
      <c r="C47" s="794"/>
      <c r="D47" s="795"/>
    </row>
    <row r="48" spans="1:4">
      <c r="A48" s="794"/>
      <c r="B48" s="793"/>
      <c r="C48" s="794"/>
      <c r="D48" s="795"/>
    </row>
    <row r="49" spans="1:4">
      <c r="A49" s="794"/>
      <c r="B49" s="793"/>
      <c r="C49" s="794"/>
      <c r="D49" s="795"/>
    </row>
    <row r="50" spans="1:4">
      <c r="A50" s="794"/>
      <c r="B50" s="793"/>
      <c r="C50" s="794"/>
      <c r="D50" s="795"/>
    </row>
    <row r="51" spans="1:4">
      <c r="A51" s="794"/>
      <c r="B51" s="793"/>
      <c r="C51" s="794"/>
      <c r="D51" s="795"/>
    </row>
    <row r="52" spans="1:4">
      <c r="A52" s="794"/>
      <c r="B52" s="793"/>
      <c r="C52" s="794"/>
      <c r="D52" s="795"/>
    </row>
    <row r="53" spans="1:4">
      <c r="A53" s="794"/>
      <c r="B53" s="793"/>
      <c r="C53" s="794"/>
      <c r="D53" s="795"/>
    </row>
    <row r="54" spans="1:4">
      <c r="A54" s="794"/>
      <c r="B54" s="793"/>
      <c r="C54" s="794"/>
      <c r="D54" s="795"/>
    </row>
    <row r="55" spans="1:4" ht="12.75" customHeight="1">
      <c r="A55" s="794"/>
      <c r="B55" s="793"/>
      <c r="C55" s="794"/>
      <c r="D55" s="795"/>
    </row>
    <row r="56" spans="1:4">
      <c r="A56" s="794"/>
      <c r="B56" s="793"/>
      <c r="C56" s="794"/>
      <c r="D56" s="795"/>
    </row>
    <row r="57" spans="1:4">
      <c r="A57" s="794"/>
      <c r="B57" s="803"/>
      <c r="C57" s="794"/>
      <c r="D57" s="795"/>
    </row>
    <row r="58" spans="1:4">
      <c r="A58" s="794"/>
      <c r="B58" s="803"/>
      <c r="C58" s="794"/>
      <c r="D58" s="795"/>
    </row>
    <row r="59" spans="1:4">
      <c r="A59" s="794"/>
      <c r="B59" s="803"/>
      <c r="C59" s="794"/>
      <c r="D59" s="795"/>
    </row>
    <row r="60" spans="1:4">
      <c r="A60" s="794"/>
      <c r="B60" s="793"/>
      <c r="C60" s="794"/>
      <c r="D60" s="795"/>
    </row>
    <row r="61" spans="1:4">
      <c r="A61" s="794"/>
      <c r="B61" s="793"/>
      <c r="C61" s="794"/>
      <c r="D61" s="795"/>
    </row>
    <row r="62" spans="1:4">
      <c r="A62" s="794"/>
      <c r="B62" s="793"/>
      <c r="C62" s="794"/>
      <c r="D62" s="795"/>
    </row>
    <row r="63" spans="1:4">
      <c r="A63" s="794"/>
      <c r="B63" s="793"/>
      <c r="C63" s="794"/>
      <c r="D63" s="795"/>
    </row>
    <row r="64" spans="1:4">
      <c r="A64" s="794"/>
      <c r="B64" s="793"/>
      <c r="C64" s="794"/>
      <c r="D64" s="795"/>
    </row>
    <row r="65" spans="1:4">
      <c r="A65" s="794"/>
      <c r="B65" s="793"/>
      <c r="C65" s="794"/>
      <c r="D65" s="795"/>
    </row>
    <row r="66" spans="1:4">
      <c r="A66" s="794"/>
      <c r="B66" s="793"/>
      <c r="C66" s="794"/>
      <c r="D66" s="795"/>
    </row>
    <row r="67" spans="1:4">
      <c r="A67" s="796"/>
      <c r="B67" s="802"/>
      <c r="C67" s="791"/>
      <c r="D67" s="792"/>
    </row>
    <row r="68" spans="1:4">
      <c r="A68" s="153"/>
      <c r="B68" s="110"/>
      <c r="C68" s="111"/>
      <c r="D68" s="154"/>
    </row>
    <row r="69" spans="1:4">
      <c r="A69" s="153"/>
      <c r="B69" s="110"/>
      <c r="C69" s="111"/>
      <c r="D69" s="154"/>
    </row>
    <row r="70" spans="1:4">
      <c r="A70" s="153"/>
      <c r="B70" s="110"/>
      <c r="C70" s="111"/>
      <c r="D70" s="154"/>
    </row>
    <row r="71" spans="1:4">
      <c r="A71" s="153"/>
      <c r="B71" s="110"/>
      <c r="C71" s="111"/>
      <c r="D71" s="154"/>
    </row>
    <row r="72" spans="1:4">
      <c r="A72" s="153"/>
      <c r="B72" s="110"/>
      <c r="C72" s="111"/>
      <c r="D72" s="154"/>
    </row>
    <row r="73" spans="1:4" hidden="1">
      <c r="A73" s="159"/>
      <c r="B73" s="160"/>
      <c r="C73" s="161"/>
      <c r="D73" s="162"/>
    </row>
    <row r="74" spans="1:4">
      <c r="A74" s="153"/>
      <c r="B74" s="110"/>
      <c r="C74" s="111"/>
      <c r="D74" s="154"/>
    </row>
    <row r="75" spans="1:4">
      <c r="A75" s="153"/>
      <c r="B75" s="109"/>
      <c r="C75" s="111"/>
      <c r="D75" s="154"/>
    </row>
    <row r="76" spans="1:4" hidden="1">
      <c r="A76" s="159"/>
      <c r="B76" s="163"/>
      <c r="C76" s="161"/>
      <c r="D76" s="162"/>
    </row>
    <row r="77" spans="1:4">
      <c r="A77" s="153"/>
      <c r="B77" s="109"/>
      <c r="C77" s="111"/>
      <c r="D77" s="154"/>
    </row>
    <row r="78" spans="1:4">
      <c r="A78" s="153"/>
      <c r="B78" s="109"/>
      <c r="C78" s="111"/>
      <c r="D78" s="154"/>
    </row>
    <row r="79" spans="1:4">
      <c r="A79" s="153"/>
      <c r="B79" s="109"/>
      <c r="C79" s="111"/>
      <c r="D79" s="154"/>
    </row>
    <row r="80" spans="1:4">
      <c r="A80" s="153"/>
      <c r="B80" s="109"/>
      <c r="C80" s="111"/>
      <c r="D80" s="154"/>
    </row>
    <row r="81" spans="1:4">
      <c r="A81" s="153"/>
      <c r="B81" s="109"/>
      <c r="C81" s="111"/>
      <c r="D81" s="154"/>
    </row>
    <row r="82" spans="1:4">
      <c r="A82" s="153"/>
      <c r="B82" s="109"/>
      <c r="C82" s="111"/>
      <c r="D82" s="154"/>
    </row>
    <row r="83" spans="1:4">
      <c r="A83" s="153"/>
      <c r="B83" s="109"/>
      <c r="C83" s="111"/>
      <c r="D83" s="154"/>
    </row>
    <row r="84" spans="1:4">
      <c r="A84" s="153"/>
      <c r="B84" s="109"/>
      <c r="C84" s="111"/>
      <c r="D84" s="154"/>
    </row>
    <row r="85" spans="1:4">
      <c r="A85" s="153"/>
      <c r="B85" s="109"/>
      <c r="C85" s="111"/>
      <c r="D85" s="154"/>
    </row>
    <row r="86" spans="1:4">
      <c r="A86" s="153"/>
      <c r="B86" s="109"/>
      <c r="C86" s="111"/>
      <c r="D86" s="154"/>
    </row>
    <row r="87" spans="1:4">
      <c r="A87" s="153"/>
      <c r="B87" s="109"/>
      <c r="C87" s="111"/>
      <c r="D87" s="154"/>
    </row>
    <row r="88" spans="1:4">
      <c r="A88" s="153"/>
      <c r="B88" s="109"/>
      <c r="C88" s="111"/>
      <c r="D88" s="154"/>
    </row>
    <row r="89" spans="1:4">
      <c r="A89" s="153"/>
      <c r="B89" s="109"/>
      <c r="C89" s="111"/>
      <c r="D89" s="154"/>
    </row>
    <row r="90" spans="1:4">
      <c r="A90" s="153"/>
      <c r="B90" s="109"/>
      <c r="C90" s="111"/>
      <c r="D90" s="154"/>
    </row>
    <row r="91" spans="1:4">
      <c r="A91" s="153"/>
      <c r="B91" s="109"/>
      <c r="C91" s="111"/>
      <c r="D91" s="154"/>
    </row>
    <row r="92" spans="1:4">
      <c r="A92" s="153"/>
      <c r="B92" s="109"/>
      <c r="C92" s="111"/>
      <c r="D92" s="154"/>
    </row>
    <row r="93" spans="1:4">
      <c r="A93" s="153"/>
      <c r="B93" s="109"/>
      <c r="C93" s="111"/>
      <c r="D93" s="154"/>
    </row>
    <row r="94" spans="1:4">
      <c r="A94" s="153"/>
      <c r="B94" s="109"/>
      <c r="C94" s="111"/>
      <c r="D94" s="154"/>
    </row>
    <row r="95" spans="1:4">
      <c r="A95" s="153"/>
      <c r="B95" s="109"/>
      <c r="C95" s="111"/>
      <c r="D95" s="154"/>
    </row>
    <row r="96" spans="1:4">
      <c r="A96" s="153"/>
      <c r="B96" s="109"/>
      <c r="C96" s="111"/>
      <c r="D96" s="154"/>
    </row>
    <row r="97" spans="1:5" hidden="1">
      <c r="A97" s="159"/>
      <c r="B97" s="163"/>
      <c r="C97" s="161"/>
      <c r="D97" s="162"/>
    </row>
    <row r="98" spans="1:5">
      <c r="A98" s="153"/>
      <c r="B98" s="109"/>
      <c r="C98" s="111"/>
      <c r="D98" s="154"/>
    </row>
    <row r="99" spans="1:5">
      <c r="A99" s="153"/>
      <c r="B99" s="109"/>
      <c r="C99" s="111"/>
      <c r="D99" s="154"/>
    </row>
    <row r="100" spans="1:5">
      <c r="A100" s="153"/>
      <c r="B100" s="109"/>
      <c r="C100" s="111"/>
      <c r="D100" s="154"/>
    </row>
    <row r="101" spans="1:5">
      <c r="A101" s="153"/>
      <c r="B101" s="109"/>
      <c r="C101" s="111"/>
      <c r="D101" s="154"/>
    </row>
    <row r="102" spans="1:5">
      <c r="A102" s="153"/>
      <c r="B102" s="109"/>
      <c r="C102" s="111"/>
      <c r="D102" s="154"/>
    </row>
    <row r="103" spans="1:5">
      <c r="A103" s="153"/>
      <c r="B103" s="109"/>
      <c r="C103" s="111"/>
      <c r="D103" s="154"/>
    </row>
    <row r="104" spans="1:5">
      <c r="A104" s="153"/>
      <c r="B104" s="109"/>
      <c r="C104" s="111"/>
      <c r="D104" s="154"/>
    </row>
    <row r="105" spans="1:5">
      <c r="A105" s="153"/>
      <c r="B105" s="109"/>
      <c r="C105" s="111"/>
      <c r="D105" s="154"/>
    </row>
    <row r="106" spans="1:5">
      <c r="A106" s="153"/>
      <c r="B106" s="109"/>
      <c r="C106" s="111"/>
      <c r="D106" s="154"/>
    </row>
    <row r="107" spans="1:5">
      <c r="A107" s="153"/>
      <c r="B107" s="109"/>
      <c r="C107" s="111"/>
      <c r="D107" s="154"/>
      <c r="E107" s="471"/>
    </row>
    <row r="108" spans="1:5">
      <c r="A108" s="155"/>
      <c r="B108" s="156"/>
      <c r="C108" s="157"/>
      <c r="D108" s="158"/>
    </row>
    <row r="109" spans="1:5">
      <c r="A109" s="155"/>
      <c r="B109" s="156"/>
      <c r="C109" s="157"/>
      <c r="D109" s="158"/>
    </row>
    <row r="110" spans="1:5">
      <c r="A110" s="155"/>
      <c r="B110" s="156"/>
      <c r="C110" s="157"/>
      <c r="D110" s="158"/>
    </row>
    <row r="111" spans="1:5">
      <c r="A111" s="155"/>
      <c r="B111" s="156"/>
      <c r="C111" s="157"/>
      <c r="D111" s="158"/>
    </row>
    <row r="112" spans="1:5">
      <c r="A112" s="155"/>
      <c r="B112" s="156"/>
      <c r="C112" s="157"/>
      <c r="D112" s="158"/>
    </row>
    <row r="113" spans="1:4">
      <c r="A113" s="155"/>
      <c r="B113" s="156"/>
      <c r="C113" s="157"/>
      <c r="D113" s="158"/>
    </row>
  </sheetData>
  <sheetProtection selectLockedCells="1"/>
  <mergeCells count="1">
    <mergeCell ref="A7:D7"/>
  </mergeCells>
  <phoneticPr fontId="8" type="noConversion"/>
  <pageMargins left="0.98425196850393704" right="0.39370078740157483" top="0.39370078740157483" bottom="0.39370078740157483" header="0.19685039370078741" footer="0.19685039370078741"/>
  <pageSetup paperSize="9" scale="94" orientation="portrait" r:id="rId1"/>
  <headerFooter alignWithMargins="0">
    <oddHeader>&amp;L&amp;8PERUŠIĆ d.o.o.&amp;C&amp;8UGOVOR REDOVITOG ODRŽAVANJA GRAĐEVINA, UREĐAJA I PREDMETA&amp;R&amp;8&amp;D</oddHeader>
    <oddFooter>&amp;L&amp;8&amp;F&amp;R&amp;8&amp;P /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</sheetPr>
  <dimension ref="A1:K90"/>
  <sheetViews>
    <sheetView view="pageBreakPreview" zoomScale="115" zoomScaleSheetLayoutView="115" workbookViewId="0">
      <pane ySplit="9" topLeftCell="A11" activePane="bottomLeft" state="frozen"/>
      <selection activeCell="D16" sqref="D16"/>
      <selection pane="bottomLeft" activeCell="G11" sqref="G11"/>
    </sheetView>
  </sheetViews>
  <sheetFormatPr defaultColWidth="10.7109375" defaultRowHeight="12.75"/>
  <cols>
    <col min="1" max="1" width="6" style="442" customWidth="1"/>
    <col min="2" max="2" width="3.28515625" style="443" customWidth="1"/>
    <col min="3" max="3" width="8.42578125" style="444" customWidth="1"/>
    <col min="4" max="4" width="11.7109375" style="443" customWidth="1"/>
    <col min="5" max="5" width="10.7109375" style="443" customWidth="1"/>
    <col min="6" max="7" width="11.7109375" style="443" customWidth="1"/>
    <col min="8" max="8" width="10.7109375" style="445" customWidth="1"/>
    <col min="9" max="9" width="11.7109375" style="445" customWidth="1"/>
    <col min="10" max="16384" width="10.7109375" style="445"/>
  </cols>
  <sheetData>
    <row r="1" spans="1:11" ht="4.9000000000000004" customHeight="1"/>
    <row r="2" spans="1:11" ht="4.9000000000000004" customHeight="1"/>
    <row r="3" spans="1:11" ht="15" customHeight="1">
      <c r="A3" s="909" t="s">
        <v>1023</v>
      </c>
      <c r="B3" s="909"/>
      <c r="C3" s="909"/>
      <c r="D3" s="909"/>
      <c r="E3" s="909"/>
      <c r="F3" s="909"/>
      <c r="G3" s="909"/>
      <c r="H3" s="909"/>
      <c r="I3" s="909"/>
    </row>
    <row r="4" spans="1:11" ht="15" customHeight="1">
      <c r="A4" s="909" t="s">
        <v>1024</v>
      </c>
      <c r="B4" s="909"/>
      <c r="C4" s="909"/>
      <c r="D4" s="909"/>
      <c r="E4" s="909"/>
      <c r="F4" s="909"/>
      <c r="G4" s="909"/>
      <c r="H4" s="909"/>
      <c r="I4" s="909"/>
    </row>
    <row r="5" spans="1:11" ht="15" customHeight="1" thickBot="1">
      <c r="A5" s="446"/>
      <c r="B5" s="447"/>
      <c r="C5" s="447"/>
      <c r="D5" s="447"/>
      <c r="E5" s="447"/>
      <c r="F5" s="447"/>
      <c r="G5" s="447"/>
    </row>
    <row r="6" spans="1:11" ht="15" customHeight="1" thickBot="1">
      <c r="A6" s="448"/>
      <c r="B6" s="445"/>
      <c r="C6" s="445"/>
      <c r="D6" s="445"/>
      <c r="E6" s="449" t="s">
        <v>852</v>
      </c>
      <c r="F6" s="450">
        <v>0.25</v>
      </c>
      <c r="G6" s="448"/>
      <c r="H6" s="448"/>
      <c r="I6" s="448"/>
    </row>
    <row r="7" spans="1:11" ht="15" customHeight="1"/>
    <row r="8" spans="1:11" ht="19.899999999999999" customHeight="1">
      <c r="A8" s="911" t="s">
        <v>855</v>
      </c>
      <c r="B8" s="911" t="s">
        <v>1025</v>
      </c>
      <c r="C8" s="911"/>
      <c r="D8" s="910" t="s">
        <v>1026</v>
      </c>
      <c r="E8" s="910"/>
      <c r="F8" s="910"/>
      <c r="G8" s="910" t="s">
        <v>1027</v>
      </c>
      <c r="H8" s="910"/>
      <c r="I8" s="910"/>
    </row>
    <row r="9" spans="1:11" s="451" customFormat="1" ht="34.9" customHeight="1">
      <c r="A9" s="911"/>
      <c r="B9" s="911"/>
      <c r="C9" s="911"/>
      <c r="D9" s="642" t="s">
        <v>1028</v>
      </c>
      <c r="E9" s="642" t="s">
        <v>1029</v>
      </c>
      <c r="F9" s="642" t="s">
        <v>1030</v>
      </c>
      <c r="G9" s="642" t="s">
        <v>1028</v>
      </c>
      <c r="H9" s="642" t="s">
        <v>1029</v>
      </c>
      <c r="I9" s="642" t="s">
        <v>1030</v>
      </c>
    </row>
    <row r="10" spans="1:11" ht="15" customHeight="1">
      <c r="A10" s="643" t="s">
        <v>8</v>
      </c>
      <c r="B10" s="644"/>
      <c r="C10" s="645">
        <v>0</v>
      </c>
      <c r="D10" s="646">
        <f>ROUND(G10*1.55,2)</f>
        <v>0</v>
      </c>
      <c r="E10" s="452">
        <f>ROUND(D10*$F$6,2)</f>
        <v>0</v>
      </c>
      <c r="F10" s="452">
        <f>D10+E10</f>
        <v>0</v>
      </c>
      <c r="G10" s="646">
        <v>0</v>
      </c>
      <c r="H10" s="452">
        <f>ROUND(G10*$F$6,2)</f>
        <v>0</v>
      </c>
      <c r="I10" s="647">
        <f>G10+H10</f>
        <v>0</v>
      </c>
      <c r="K10" s="443"/>
    </row>
    <row r="11" spans="1:11" ht="15" customHeight="1">
      <c r="A11" s="643" t="s">
        <v>17</v>
      </c>
      <c r="B11" s="647" t="s">
        <v>1031</v>
      </c>
      <c r="C11" s="645">
        <v>1</v>
      </c>
      <c r="D11" s="646">
        <f t="shared" ref="D11:D74" si="0">ROUND(G11*1.55,2)</f>
        <v>10.62</v>
      </c>
      <c r="E11" s="452">
        <f>ROUND(D11*$F$6,2)</f>
        <v>2.66</v>
      </c>
      <c r="F11" s="452">
        <f>D11+E11</f>
        <v>13.28</v>
      </c>
      <c r="G11" s="646">
        <v>6.85</v>
      </c>
      <c r="H11" s="452">
        <f>ROUND(G11*$F$6,2)</f>
        <v>1.71</v>
      </c>
      <c r="I11" s="647">
        <f>G11+H11</f>
        <v>8.5599999999999987</v>
      </c>
      <c r="K11" s="443"/>
    </row>
    <row r="12" spans="1:11" ht="15" customHeight="1">
      <c r="A12" s="643" t="s">
        <v>23</v>
      </c>
      <c r="B12" s="647" t="s">
        <v>1031</v>
      </c>
      <c r="C12" s="645">
        <v>2</v>
      </c>
      <c r="D12" s="646">
        <f t="shared" si="0"/>
        <v>11.9</v>
      </c>
      <c r="E12" s="452">
        <f t="shared" ref="E12:E75" si="1">ROUND(D12*$F$6,2)</f>
        <v>2.98</v>
      </c>
      <c r="F12" s="452">
        <f t="shared" ref="F12:F75" si="2">D12+E12</f>
        <v>14.88</v>
      </c>
      <c r="G12" s="646">
        <v>7.68</v>
      </c>
      <c r="H12" s="452">
        <f t="shared" ref="H12:H75" si="3">ROUND(G12*$F$6,2)</f>
        <v>1.92</v>
      </c>
      <c r="I12" s="647">
        <f t="shared" ref="I12:I75" si="4">G12+H12</f>
        <v>9.6</v>
      </c>
      <c r="K12" s="443"/>
    </row>
    <row r="13" spans="1:11" ht="15" customHeight="1">
      <c r="A13" s="643" t="s">
        <v>27</v>
      </c>
      <c r="B13" s="647" t="s">
        <v>1031</v>
      </c>
      <c r="C13" s="645">
        <v>3</v>
      </c>
      <c r="D13" s="646">
        <f t="shared" si="0"/>
        <v>15.55</v>
      </c>
      <c r="E13" s="452">
        <f t="shared" si="1"/>
        <v>3.89</v>
      </c>
      <c r="F13" s="452">
        <f t="shared" si="2"/>
        <v>19.440000000000001</v>
      </c>
      <c r="G13" s="646">
        <v>10.029999999999999</v>
      </c>
      <c r="H13" s="452">
        <f t="shared" si="3"/>
        <v>2.5099999999999998</v>
      </c>
      <c r="I13" s="647">
        <f t="shared" si="4"/>
        <v>12.54</v>
      </c>
      <c r="K13" s="443"/>
    </row>
    <row r="14" spans="1:11" ht="15" customHeight="1">
      <c r="A14" s="643" t="s">
        <v>31</v>
      </c>
      <c r="B14" s="647" t="s">
        <v>1031</v>
      </c>
      <c r="C14" s="645">
        <v>4</v>
      </c>
      <c r="D14" s="646">
        <f t="shared" si="0"/>
        <v>17.829999999999998</v>
      </c>
      <c r="E14" s="452">
        <f t="shared" si="1"/>
        <v>4.46</v>
      </c>
      <c r="F14" s="452">
        <f t="shared" si="2"/>
        <v>22.29</v>
      </c>
      <c r="G14" s="646">
        <v>11.5</v>
      </c>
      <c r="H14" s="452">
        <f t="shared" si="3"/>
        <v>2.88</v>
      </c>
      <c r="I14" s="647">
        <f t="shared" si="4"/>
        <v>14.379999999999999</v>
      </c>
      <c r="K14" s="443"/>
    </row>
    <row r="15" spans="1:11" ht="15" customHeight="1">
      <c r="A15" s="643" t="s">
        <v>39</v>
      </c>
      <c r="B15" s="647" t="s">
        <v>1031</v>
      </c>
      <c r="C15" s="645">
        <v>5</v>
      </c>
      <c r="D15" s="646">
        <f t="shared" si="0"/>
        <v>19.670000000000002</v>
      </c>
      <c r="E15" s="452">
        <f t="shared" si="1"/>
        <v>4.92</v>
      </c>
      <c r="F15" s="452">
        <f t="shared" si="2"/>
        <v>24.590000000000003</v>
      </c>
      <c r="G15" s="646">
        <v>12.69</v>
      </c>
      <c r="H15" s="452">
        <f t="shared" si="3"/>
        <v>3.17</v>
      </c>
      <c r="I15" s="647">
        <f t="shared" si="4"/>
        <v>15.86</v>
      </c>
      <c r="K15" s="443"/>
    </row>
    <row r="16" spans="1:11" ht="15" customHeight="1">
      <c r="A16" s="643" t="s">
        <v>561</v>
      </c>
      <c r="B16" s="647" t="s">
        <v>1031</v>
      </c>
      <c r="C16" s="645">
        <v>6</v>
      </c>
      <c r="D16" s="646">
        <f t="shared" si="0"/>
        <v>20.65</v>
      </c>
      <c r="E16" s="452">
        <f t="shared" si="1"/>
        <v>5.16</v>
      </c>
      <c r="F16" s="452">
        <f t="shared" si="2"/>
        <v>25.81</v>
      </c>
      <c r="G16" s="646">
        <v>13.32</v>
      </c>
      <c r="H16" s="452">
        <f t="shared" si="3"/>
        <v>3.33</v>
      </c>
      <c r="I16" s="647">
        <f t="shared" si="4"/>
        <v>16.649999999999999</v>
      </c>
      <c r="K16" s="443"/>
    </row>
    <row r="17" spans="1:11" ht="15" customHeight="1">
      <c r="A17" s="643" t="s">
        <v>615</v>
      </c>
      <c r="B17" s="647" t="s">
        <v>1031</v>
      </c>
      <c r="C17" s="645">
        <v>7</v>
      </c>
      <c r="D17" s="646">
        <f t="shared" si="0"/>
        <v>22.3</v>
      </c>
      <c r="E17" s="452">
        <f t="shared" si="1"/>
        <v>5.58</v>
      </c>
      <c r="F17" s="452">
        <f t="shared" si="2"/>
        <v>27.880000000000003</v>
      </c>
      <c r="G17" s="646">
        <v>14.39</v>
      </c>
      <c r="H17" s="452">
        <f t="shared" si="3"/>
        <v>3.6</v>
      </c>
      <c r="I17" s="647">
        <f t="shared" si="4"/>
        <v>17.990000000000002</v>
      </c>
      <c r="K17" s="443"/>
    </row>
    <row r="18" spans="1:11" ht="15" customHeight="1">
      <c r="A18" s="643" t="s">
        <v>728</v>
      </c>
      <c r="B18" s="647" t="s">
        <v>1031</v>
      </c>
      <c r="C18" s="645">
        <v>8</v>
      </c>
      <c r="D18" s="646">
        <f t="shared" si="0"/>
        <v>23.48</v>
      </c>
      <c r="E18" s="452">
        <f t="shared" si="1"/>
        <v>5.87</v>
      </c>
      <c r="F18" s="452">
        <f t="shared" si="2"/>
        <v>29.35</v>
      </c>
      <c r="G18" s="646">
        <v>15.15</v>
      </c>
      <c r="H18" s="452">
        <f t="shared" si="3"/>
        <v>3.79</v>
      </c>
      <c r="I18" s="647">
        <f t="shared" si="4"/>
        <v>18.940000000000001</v>
      </c>
      <c r="K18" s="443"/>
    </row>
    <row r="19" spans="1:11" ht="15" customHeight="1">
      <c r="A19" s="643" t="s">
        <v>762</v>
      </c>
      <c r="B19" s="647" t="s">
        <v>1031</v>
      </c>
      <c r="C19" s="645">
        <v>9</v>
      </c>
      <c r="D19" s="646">
        <f t="shared" si="0"/>
        <v>25.59</v>
      </c>
      <c r="E19" s="452">
        <f t="shared" si="1"/>
        <v>6.4</v>
      </c>
      <c r="F19" s="452">
        <f t="shared" si="2"/>
        <v>31.990000000000002</v>
      </c>
      <c r="G19" s="646">
        <v>16.510000000000002</v>
      </c>
      <c r="H19" s="452">
        <f t="shared" si="3"/>
        <v>4.13</v>
      </c>
      <c r="I19" s="647">
        <f t="shared" si="4"/>
        <v>20.64</v>
      </c>
      <c r="K19" s="443"/>
    </row>
    <row r="20" spans="1:11" ht="15" customHeight="1">
      <c r="A20" s="643" t="s">
        <v>833</v>
      </c>
      <c r="B20" s="647" t="s">
        <v>1031</v>
      </c>
      <c r="C20" s="645">
        <v>10</v>
      </c>
      <c r="D20" s="646">
        <f t="shared" si="0"/>
        <v>26.88</v>
      </c>
      <c r="E20" s="452">
        <f t="shared" si="1"/>
        <v>6.72</v>
      </c>
      <c r="F20" s="452">
        <f t="shared" si="2"/>
        <v>33.6</v>
      </c>
      <c r="G20" s="646">
        <v>17.34</v>
      </c>
      <c r="H20" s="452">
        <f t="shared" si="3"/>
        <v>4.34</v>
      </c>
      <c r="I20" s="647">
        <f t="shared" si="4"/>
        <v>21.68</v>
      </c>
      <c r="K20" s="443"/>
    </row>
    <row r="21" spans="1:11" ht="15" customHeight="1">
      <c r="A21" s="643" t="s">
        <v>866</v>
      </c>
      <c r="B21" s="647" t="s">
        <v>1031</v>
      </c>
      <c r="C21" s="645">
        <v>11</v>
      </c>
      <c r="D21" s="646">
        <f t="shared" si="0"/>
        <v>27.9</v>
      </c>
      <c r="E21" s="452">
        <f t="shared" si="1"/>
        <v>6.98</v>
      </c>
      <c r="F21" s="452">
        <f t="shared" si="2"/>
        <v>34.879999999999995</v>
      </c>
      <c r="G21" s="646">
        <v>18</v>
      </c>
      <c r="H21" s="452">
        <f t="shared" si="3"/>
        <v>4.5</v>
      </c>
      <c r="I21" s="647">
        <f t="shared" si="4"/>
        <v>22.5</v>
      </c>
      <c r="K21" s="443"/>
    </row>
    <row r="22" spans="1:11" ht="15" customHeight="1">
      <c r="A22" s="643" t="s">
        <v>868</v>
      </c>
      <c r="B22" s="647" t="s">
        <v>1031</v>
      </c>
      <c r="C22" s="645">
        <v>12</v>
      </c>
      <c r="D22" s="646">
        <f t="shared" si="0"/>
        <v>29.19</v>
      </c>
      <c r="E22" s="452">
        <f t="shared" si="1"/>
        <v>7.3</v>
      </c>
      <c r="F22" s="452">
        <f t="shared" si="2"/>
        <v>36.49</v>
      </c>
      <c r="G22" s="646">
        <v>18.829999999999998</v>
      </c>
      <c r="H22" s="452">
        <f t="shared" si="3"/>
        <v>4.71</v>
      </c>
      <c r="I22" s="647">
        <f t="shared" si="4"/>
        <v>23.54</v>
      </c>
      <c r="K22" s="443"/>
    </row>
    <row r="23" spans="1:11" ht="15" customHeight="1">
      <c r="A23" s="643" t="s">
        <v>870</v>
      </c>
      <c r="B23" s="647" t="s">
        <v>1031</v>
      </c>
      <c r="C23" s="645">
        <v>13</v>
      </c>
      <c r="D23" s="646">
        <f t="shared" si="0"/>
        <v>30.26</v>
      </c>
      <c r="E23" s="452">
        <f t="shared" si="1"/>
        <v>7.57</v>
      </c>
      <c r="F23" s="452">
        <f t="shared" si="2"/>
        <v>37.83</v>
      </c>
      <c r="G23" s="646">
        <v>19.52</v>
      </c>
      <c r="H23" s="452">
        <f t="shared" si="3"/>
        <v>4.88</v>
      </c>
      <c r="I23" s="647">
        <f t="shared" si="4"/>
        <v>24.4</v>
      </c>
      <c r="K23" s="443"/>
    </row>
    <row r="24" spans="1:11" ht="15" customHeight="1">
      <c r="A24" s="643" t="s">
        <v>877</v>
      </c>
      <c r="B24" s="647" t="s">
        <v>1031</v>
      </c>
      <c r="C24" s="645">
        <v>14</v>
      </c>
      <c r="D24" s="646">
        <f t="shared" si="0"/>
        <v>31.47</v>
      </c>
      <c r="E24" s="452">
        <f t="shared" si="1"/>
        <v>7.87</v>
      </c>
      <c r="F24" s="452">
        <f t="shared" si="2"/>
        <v>39.339999999999996</v>
      </c>
      <c r="G24" s="646">
        <v>20.3</v>
      </c>
      <c r="H24" s="452">
        <f t="shared" si="3"/>
        <v>5.08</v>
      </c>
      <c r="I24" s="647">
        <f t="shared" si="4"/>
        <v>25.380000000000003</v>
      </c>
      <c r="K24" s="443"/>
    </row>
    <row r="25" spans="1:11" ht="15" customHeight="1">
      <c r="A25" s="643" t="s">
        <v>879</v>
      </c>
      <c r="B25" s="647" t="s">
        <v>1031</v>
      </c>
      <c r="C25" s="645">
        <v>15</v>
      </c>
      <c r="D25" s="646">
        <f t="shared" si="0"/>
        <v>32.94</v>
      </c>
      <c r="E25" s="452">
        <f t="shared" si="1"/>
        <v>8.24</v>
      </c>
      <c r="F25" s="452">
        <f t="shared" si="2"/>
        <v>41.18</v>
      </c>
      <c r="G25" s="646">
        <v>21.25</v>
      </c>
      <c r="H25" s="452">
        <f t="shared" si="3"/>
        <v>5.31</v>
      </c>
      <c r="I25" s="647">
        <f t="shared" si="4"/>
        <v>26.56</v>
      </c>
      <c r="K25" s="443"/>
    </row>
    <row r="26" spans="1:11" ht="15" customHeight="1">
      <c r="A26" s="643" t="s">
        <v>880</v>
      </c>
      <c r="B26" s="647" t="s">
        <v>1031</v>
      </c>
      <c r="C26" s="645">
        <v>16</v>
      </c>
      <c r="D26" s="646">
        <f t="shared" si="0"/>
        <v>34.01</v>
      </c>
      <c r="E26" s="452">
        <f t="shared" si="1"/>
        <v>8.5</v>
      </c>
      <c r="F26" s="452">
        <f t="shared" si="2"/>
        <v>42.51</v>
      </c>
      <c r="G26" s="646">
        <v>21.94</v>
      </c>
      <c r="H26" s="452">
        <f t="shared" si="3"/>
        <v>5.49</v>
      </c>
      <c r="I26" s="647">
        <f t="shared" si="4"/>
        <v>27.43</v>
      </c>
      <c r="K26" s="443"/>
    </row>
    <row r="27" spans="1:11" ht="15" customHeight="1">
      <c r="A27" s="643" t="s">
        <v>881</v>
      </c>
      <c r="B27" s="647" t="s">
        <v>1031</v>
      </c>
      <c r="C27" s="645">
        <v>17</v>
      </c>
      <c r="D27" s="646">
        <f t="shared" si="0"/>
        <v>35.76</v>
      </c>
      <c r="E27" s="452">
        <f t="shared" si="1"/>
        <v>8.94</v>
      </c>
      <c r="F27" s="452">
        <f t="shared" si="2"/>
        <v>44.699999999999996</v>
      </c>
      <c r="G27" s="646">
        <v>23.07</v>
      </c>
      <c r="H27" s="452">
        <f t="shared" si="3"/>
        <v>5.77</v>
      </c>
      <c r="I27" s="647">
        <f t="shared" si="4"/>
        <v>28.84</v>
      </c>
      <c r="K27" s="443"/>
    </row>
    <row r="28" spans="1:11" ht="15" customHeight="1">
      <c r="A28" s="643" t="s">
        <v>882</v>
      </c>
      <c r="B28" s="647" t="s">
        <v>1031</v>
      </c>
      <c r="C28" s="645">
        <v>18</v>
      </c>
      <c r="D28" s="646">
        <f t="shared" si="0"/>
        <v>37.200000000000003</v>
      </c>
      <c r="E28" s="452">
        <f t="shared" si="1"/>
        <v>9.3000000000000007</v>
      </c>
      <c r="F28" s="452">
        <f t="shared" si="2"/>
        <v>46.5</v>
      </c>
      <c r="G28" s="646">
        <v>24</v>
      </c>
      <c r="H28" s="452">
        <f t="shared" si="3"/>
        <v>6</v>
      </c>
      <c r="I28" s="647">
        <f t="shared" si="4"/>
        <v>30</v>
      </c>
      <c r="K28" s="443"/>
    </row>
    <row r="29" spans="1:11" ht="15" customHeight="1">
      <c r="A29" s="643" t="s">
        <v>883</v>
      </c>
      <c r="B29" s="647" t="s">
        <v>1031</v>
      </c>
      <c r="C29" s="645">
        <v>19</v>
      </c>
      <c r="D29" s="646">
        <f t="shared" si="0"/>
        <v>38.729999999999997</v>
      </c>
      <c r="E29" s="452">
        <f t="shared" si="1"/>
        <v>9.68</v>
      </c>
      <c r="F29" s="452">
        <f t="shared" si="2"/>
        <v>48.41</v>
      </c>
      <c r="G29" s="646">
        <v>24.99</v>
      </c>
      <c r="H29" s="452">
        <f t="shared" si="3"/>
        <v>6.25</v>
      </c>
      <c r="I29" s="647">
        <f t="shared" si="4"/>
        <v>31.24</v>
      </c>
      <c r="K29" s="443"/>
    </row>
    <row r="30" spans="1:11" ht="15" customHeight="1">
      <c r="A30" s="643" t="s">
        <v>884</v>
      </c>
      <c r="B30" s="647" t="s">
        <v>1031</v>
      </c>
      <c r="C30" s="645">
        <v>20</v>
      </c>
      <c r="D30" s="646">
        <f t="shared" si="0"/>
        <v>40.11</v>
      </c>
      <c r="E30" s="452">
        <f t="shared" si="1"/>
        <v>10.029999999999999</v>
      </c>
      <c r="F30" s="452">
        <f t="shared" si="2"/>
        <v>50.14</v>
      </c>
      <c r="G30" s="646">
        <v>25.88</v>
      </c>
      <c r="H30" s="452">
        <f t="shared" si="3"/>
        <v>6.47</v>
      </c>
      <c r="I30" s="647">
        <f t="shared" si="4"/>
        <v>32.35</v>
      </c>
      <c r="K30" s="443"/>
    </row>
    <row r="31" spans="1:11" ht="15" customHeight="1">
      <c r="A31" s="643" t="s">
        <v>886</v>
      </c>
      <c r="B31" s="647" t="s">
        <v>1031</v>
      </c>
      <c r="C31" s="645">
        <v>21</v>
      </c>
      <c r="D31" s="646">
        <f t="shared" si="0"/>
        <v>41.54</v>
      </c>
      <c r="E31" s="452">
        <f t="shared" si="1"/>
        <v>10.39</v>
      </c>
      <c r="F31" s="452">
        <f t="shared" si="2"/>
        <v>51.93</v>
      </c>
      <c r="G31" s="646">
        <v>26.8</v>
      </c>
      <c r="H31" s="452">
        <f t="shared" si="3"/>
        <v>6.7</v>
      </c>
      <c r="I31" s="647">
        <f t="shared" si="4"/>
        <v>33.5</v>
      </c>
      <c r="K31" s="443"/>
    </row>
    <row r="32" spans="1:11" ht="15" customHeight="1">
      <c r="A32" s="643" t="s">
        <v>888</v>
      </c>
      <c r="B32" s="647" t="s">
        <v>1031</v>
      </c>
      <c r="C32" s="645">
        <v>22</v>
      </c>
      <c r="D32" s="646">
        <f t="shared" si="0"/>
        <v>42.98</v>
      </c>
      <c r="E32" s="452">
        <f t="shared" si="1"/>
        <v>10.75</v>
      </c>
      <c r="F32" s="452">
        <f t="shared" si="2"/>
        <v>53.73</v>
      </c>
      <c r="G32" s="646">
        <v>27.73</v>
      </c>
      <c r="H32" s="452">
        <f t="shared" si="3"/>
        <v>6.93</v>
      </c>
      <c r="I32" s="647">
        <f t="shared" si="4"/>
        <v>34.659999999999997</v>
      </c>
      <c r="K32" s="443"/>
    </row>
    <row r="33" spans="1:11" ht="15" customHeight="1">
      <c r="A33" s="643" t="s">
        <v>889</v>
      </c>
      <c r="B33" s="647" t="s">
        <v>1031</v>
      </c>
      <c r="C33" s="645">
        <v>23</v>
      </c>
      <c r="D33" s="646">
        <f t="shared" si="0"/>
        <v>44.28</v>
      </c>
      <c r="E33" s="452">
        <f t="shared" si="1"/>
        <v>11.07</v>
      </c>
      <c r="F33" s="452">
        <f t="shared" si="2"/>
        <v>55.35</v>
      </c>
      <c r="G33" s="646">
        <v>28.57</v>
      </c>
      <c r="H33" s="452">
        <f t="shared" si="3"/>
        <v>7.14</v>
      </c>
      <c r="I33" s="647">
        <f t="shared" si="4"/>
        <v>35.71</v>
      </c>
      <c r="K33" s="443"/>
    </row>
    <row r="34" spans="1:11" ht="15" customHeight="1">
      <c r="A34" s="643" t="s">
        <v>890</v>
      </c>
      <c r="B34" s="647" t="s">
        <v>1031</v>
      </c>
      <c r="C34" s="645">
        <v>24</v>
      </c>
      <c r="D34" s="646">
        <f t="shared" si="0"/>
        <v>45.59</v>
      </c>
      <c r="E34" s="452">
        <f t="shared" si="1"/>
        <v>11.4</v>
      </c>
      <c r="F34" s="452">
        <f t="shared" si="2"/>
        <v>56.99</v>
      </c>
      <c r="G34" s="646">
        <v>29.41</v>
      </c>
      <c r="H34" s="452">
        <f t="shared" si="3"/>
        <v>7.35</v>
      </c>
      <c r="I34" s="647">
        <f t="shared" si="4"/>
        <v>36.76</v>
      </c>
      <c r="K34" s="443"/>
    </row>
    <row r="35" spans="1:11" ht="15" customHeight="1">
      <c r="A35" s="643" t="s">
        <v>891</v>
      </c>
      <c r="B35" s="647" t="s">
        <v>1031</v>
      </c>
      <c r="C35" s="645">
        <v>25</v>
      </c>
      <c r="D35" s="646">
        <f t="shared" si="0"/>
        <v>46.79</v>
      </c>
      <c r="E35" s="452">
        <f t="shared" si="1"/>
        <v>11.7</v>
      </c>
      <c r="F35" s="452">
        <f t="shared" si="2"/>
        <v>58.489999999999995</v>
      </c>
      <c r="G35" s="646">
        <v>30.19</v>
      </c>
      <c r="H35" s="452">
        <f t="shared" si="3"/>
        <v>7.55</v>
      </c>
      <c r="I35" s="647">
        <f t="shared" si="4"/>
        <v>37.74</v>
      </c>
      <c r="K35" s="443"/>
    </row>
    <row r="36" spans="1:11" ht="15" customHeight="1">
      <c r="A36" s="643" t="s">
        <v>894</v>
      </c>
      <c r="B36" s="647" t="s">
        <v>1031</v>
      </c>
      <c r="C36" s="645">
        <v>26</v>
      </c>
      <c r="D36" s="646">
        <f t="shared" si="0"/>
        <v>48.55</v>
      </c>
      <c r="E36" s="452">
        <f t="shared" si="1"/>
        <v>12.14</v>
      </c>
      <c r="F36" s="452">
        <f t="shared" si="2"/>
        <v>60.69</v>
      </c>
      <c r="G36" s="646">
        <v>31.32</v>
      </c>
      <c r="H36" s="452">
        <f t="shared" si="3"/>
        <v>7.83</v>
      </c>
      <c r="I36" s="647">
        <f t="shared" si="4"/>
        <v>39.15</v>
      </c>
      <c r="K36" s="443"/>
    </row>
    <row r="37" spans="1:11" ht="15" customHeight="1">
      <c r="A37" s="643" t="s">
        <v>896</v>
      </c>
      <c r="B37" s="647" t="s">
        <v>1031</v>
      </c>
      <c r="C37" s="645">
        <v>27</v>
      </c>
      <c r="D37" s="646">
        <f t="shared" si="0"/>
        <v>50.08</v>
      </c>
      <c r="E37" s="452">
        <f t="shared" si="1"/>
        <v>12.52</v>
      </c>
      <c r="F37" s="452">
        <f t="shared" si="2"/>
        <v>62.599999999999994</v>
      </c>
      <c r="G37" s="646">
        <v>32.31</v>
      </c>
      <c r="H37" s="452">
        <f t="shared" si="3"/>
        <v>8.08</v>
      </c>
      <c r="I37" s="647">
        <f t="shared" si="4"/>
        <v>40.39</v>
      </c>
      <c r="K37" s="443"/>
    </row>
    <row r="38" spans="1:11" ht="15" customHeight="1">
      <c r="A38" s="643" t="s">
        <v>898</v>
      </c>
      <c r="B38" s="647" t="s">
        <v>1031</v>
      </c>
      <c r="C38" s="645">
        <v>28</v>
      </c>
      <c r="D38" s="646">
        <f t="shared" si="0"/>
        <v>51.8</v>
      </c>
      <c r="E38" s="452">
        <f t="shared" si="1"/>
        <v>12.95</v>
      </c>
      <c r="F38" s="452">
        <f t="shared" si="2"/>
        <v>64.75</v>
      </c>
      <c r="G38" s="646">
        <v>33.42</v>
      </c>
      <c r="H38" s="452">
        <f t="shared" si="3"/>
        <v>8.36</v>
      </c>
      <c r="I38" s="647">
        <f t="shared" si="4"/>
        <v>41.78</v>
      </c>
      <c r="K38" s="443"/>
    </row>
    <row r="39" spans="1:11" ht="15" customHeight="1">
      <c r="A39" s="643" t="s">
        <v>900</v>
      </c>
      <c r="B39" s="647" t="s">
        <v>1031</v>
      </c>
      <c r="C39" s="645">
        <v>29</v>
      </c>
      <c r="D39" s="646">
        <f t="shared" si="0"/>
        <v>53.35</v>
      </c>
      <c r="E39" s="452">
        <f t="shared" si="1"/>
        <v>13.34</v>
      </c>
      <c r="F39" s="452">
        <f t="shared" si="2"/>
        <v>66.69</v>
      </c>
      <c r="G39" s="646">
        <v>34.42</v>
      </c>
      <c r="H39" s="452">
        <f t="shared" si="3"/>
        <v>8.61</v>
      </c>
      <c r="I39" s="647">
        <f t="shared" si="4"/>
        <v>43.03</v>
      </c>
      <c r="K39" s="443"/>
    </row>
    <row r="40" spans="1:11" ht="15" customHeight="1">
      <c r="A40" s="643" t="s">
        <v>902</v>
      </c>
      <c r="B40" s="647" t="s">
        <v>1031</v>
      </c>
      <c r="C40" s="645">
        <v>30</v>
      </c>
      <c r="D40" s="646">
        <f t="shared" si="0"/>
        <v>55.01</v>
      </c>
      <c r="E40" s="452">
        <f t="shared" si="1"/>
        <v>13.75</v>
      </c>
      <c r="F40" s="452">
        <f t="shared" si="2"/>
        <v>68.759999999999991</v>
      </c>
      <c r="G40" s="646">
        <v>35.49</v>
      </c>
      <c r="H40" s="452">
        <f t="shared" si="3"/>
        <v>8.8699999999999992</v>
      </c>
      <c r="I40" s="647">
        <f t="shared" si="4"/>
        <v>44.36</v>
      </c>
      <c r="K40" s="443"/>
    </row>
    <row r="41" spans="1:11" ht="15" customHeight="1">
      <c r="A41" s="643" t="s">
        <v>904</v>
      </c>
      <c r="B41" s="647" t="s">
        <v>1031</v>
      </c>
      <c r="C41" s="645">
        <v>31</v>
      </c>
      <c r="D41" s="646">
        <f t="shared" si="0"/>
        <v>56.31</v>
      </c>
      <c r="E41" s="452">
        <f t="shared" si="1"/>
        <v>14.08</v>
      </c>
      <c r="F41" s="452">
        <f t="shared" si="2"/>
        <v>70.39</v>
      </c>
      <c r="G41" s="646">
        <v>36.33</v>
      </c>
      <c r="H41" s="452">
        <f t="shared" si="3"/>
        <v>9.08</v>
      </c>
      <c r="I41" s="647">
        <f t="shared" si="4"/>
        <v>45.41</v>
      </c>
      <c r="K41" s="443"/>
    </row>
    <row r="42" spans="1:11" ht="15" customHeight="1">
      <c r="A42" s="643" t="s">
        <v>906</v>
      </c>
      <c r="B42" s="647" t="s">
        <v>1031</v>
      </c>
      <c r="C42" s="645">
        <v>32</v>
      </c>
      <c r="D42" s="646">
        <f t="shared" si="0"/>
        <v>57.64</v>
      </c>
      <c r="E42" s="452">
        <f t="shared" si="1"/>
        <v>14.41</v>
      </c>
      <c r="F42" s="452">
        <f t="shared" si="2"/>
        <v>72.05</v>
      </c>
      <c r="G42" s="646">
        <v>37.19</v>
      </c>
      <c r="H42" s="452">
        <f t="shared" si="3"/>
        <v>9.3000000000000007</v>
      </c>
      <c r="I42" s="647">
        <f t="shared" si="4"/>
        <v>46.489999999999995</v>
      </c>
      <c r="K42" s="443"/>
    </row>
    <row r="43" spans="1:11" ht="15" customHeight="1">
      <c r="A43" s="643" t="s">
        <v>908</v>
      </c>
      <c r="B43" s="647" t="s">
        <v>1031</v>
      </c>
      <c r="C43" s="645">
        <v>33</v>
      </c>
      <c r="D43" s="646">
        <f t="shared" si="0"/>
        <v>59.06</v>
      </c>
      <c r="E43" s="452">
        <f t="shared" si="1"/>
        <v>14.77</v>
      </c>
      <c r="F43" s="452">
        <f t="shared" si="2"/>
        <v>73.83</v>
      </c>
      <c r="G43" s="646">
        <v>38.1</v>
      </c>
      <c r="H43" s="452">
        <f t="shared" si="3"/>
        <v>9.5299999999999994</v>
      </c>
      <c r="I43" s="647">
        <f t="shared" si="4"/>
        <v>47.63</v>
      </c>
      <c r="K43" s="443"/>
    </row>
    <row r="44" spans="1:11" ht="15" customHeight="1">
      <c r="A44" s="643" t="s">
        <v>910</v>
      </c>
      <c r="B44" s="647" t="s">
        <v>1031</v>
      </c>
      <c r="C44" s="645">
        <v>34</v>
      </c>
      <c r="D44" s="646">
        <f t="shared" si="0"/>
        <v>60.23</v>
      </c>
      <c r="E44" s="452">
        <f t="shared" si="1"/>
        <v>15.06</v>
      </c>
      <c r="F44" s="452">
        <f t="shared" si="2"/>
        <v>75.289999999999992</v>
      </c>
      <c r="G44" s="646">
        <v>38.86</v>
      </c>
      <c r="H44" s="452">
        <f t="shared" si="3"/>
        <v>9.7200000000000006</v>
      </c>
      <c r="I44" s="647">
        <f t="shared" si="4"/>
        <v>48.58</v>
      </c>
      <c r="K44" s="443"/>
    </row>
    <row r="45" spans="1:11" ht="15" customHeight="1">
      <c r="A45" s="643" t="s">
        <v>912</v>
      </c>
      <c r="B45" s="647" t="s">
        <v>1031</v>
      </c>
      <c r="C45" s="645">
        <v>35</v>
      </c>
      <c r="D45" s="646">
        <f t="shared" si="0"/>
        <v>61.57</v>
      </c>
      <c r="E45" s="452">
        <f t="shared" si="1"/>
        <v>15.39</v>
      </c>
      <c r="F45" s="452">
        <f t="shared" si="2"/>
        <v>76.960000000000008</v>
      </c>
      <c r="G45" s="646">
        <v>39.72</v>
      </c>
      <c r="H45" s="452">
        <f t="shared" si="3"/>
        <v>9.93</v>
      </c>
      <c r="I45" s="647">
        <f t="shared" si="4"/>
        <v>49.65</v>
      </c>
      <c r="K45" s="443"/>
    </row>
    <row r="46" spans="1:11" ht="15" customHeight="1">
      <c r="A46" s="643" t="s">
        <v>914</v>
      </c>
      <c r="B46" s="647" t="s">
        <v>1031</v>
      </c>
      <c r="C46" s="645">
        <v>36</v>
      </c>
      <c r="D46" s="646">
        <f t="shared" si="0"/>
        <v>62.64</v>
      </c>
      <c r="E46" s="452">
        <f t="shared" si="1"/>
        <v>15.66</v>
      </c>
      <c r="F46" s="452">
        <f t="shared" si="2"/>
        <v>78.3</v>
      </c>
      <c r="G46" s="646">
        <v>40.409999999999997</v>
      </c>
      <c r="H46" s="452">
        <f t="shared" si="3"/>
        <v>10.1</v>
      </c>
      <c r="I46" s="647">
        <f t="shared" si="4"/>
        <v>50.51</v>
      </c>
      <c r="K46" s="443"/>
    </row>
    <row r="47" spans="1:11" ht="15" customHeight="1">
      <c r="A47" s="643" t="s">
        <v>916</v>
      </c>
      <c r="B47" s="647" t="s">
        <v>1031</v>
      </c>
      <c r="C47" s="645">
        <v>37</v>
      </c>
      <c r="D47" s="646">
        <f t="shared" si="0"/>
        <v>63.86</v>
      </c>
      <c r="E47" s="452">
        <f t="shared" si="1"/>
        <v>15.97</v>
      </c>
      <c r="F47" s="452">
        <f t="shared" si="2"/>
        <v>79.83</v>
      </c>
      <c r="G47" s="646">
        <v>41.2</v>
      </c>
      <c r="H47" s="452">
        <f t="shared" si="3"/>
        <v>10.3</v>
      </c>
      <c r="I47" s="647">
        <f t="shared" si="4"/>
        <v>51.5</v>
      </c>
      <c r="K47" s="443"/>
    </row>
    <row r="48" spans="1:11" ht="15" customHeight="1">
      <c r="A48" s="643" t="s">
        <v>918</v>
      </c>
      <c r="B48" s="647" t="s">
        <v>1031</v>
      </c>
      <c r="C48" s="645">
        <v>38</v>
      </c>
      <c r="D48" s="646">
        <f t="shared" si="0"/>
        <v>64.959999999999994</v>
      </c>
      <c r="E48" s="452">
        <f t="shared" si="1"/>
        <v>16.239999999999998</v>
      </c>
      <c r="F48" s="452">
        <f t="shared" si="2"/>
        <v>81.199999999999989</v>
      </c>
      <c r="G48" s="646">
        <v>41.91</v>
      </c>
      <c r="H48" s="452">
        <f t="shared" si="3"/>
        <v>10.48</v>
      </c>
      <c r="I48" s="647">
        <f t="shared" si="4"/>
        <v>52.39</v>
      </c>
      <c r="K48" s="443"/>
    </row>
    <row r="49" spans="1:11" ht="15" customHeight="1">
      <c r="A49" s="643" t="s">
        <v>920</v>
      </c>
      <c r="B49" s="647" t="s">
        <v>1031</v>
      </c>
      <c r="C49" s="645">
        <v>39</v>
      </c>
      <c r="D49" s="646">
        <f t="shared" si="0"/>
        <v>66</v>
      </c>
      <c r="E49" s="452">
        <f t="shared" si="1"/>
        <v>16.5</v>
      </c>
      <c r="F49" s="452">
        <f t="shared" si="2"/>
        <v>82.5</v>
      </c>
      <c r="G49" s="646">
        <v>42.58</v>
      </c>
      <c r="H49" s="452">
        <f t="shared" si="3"/>
        <v>10.65</v>
      </c>
      <c r="I49" s="647">
        <f t="shared" si="4"/>
        <v>53.23</v>
      </c>
      <c r="K49" s="443"/>
    </row>
    <row r="50" spans="1:11" ht="15" customHeight="1">
      <c r="A50" s="643" t="s">
        <v>922</v>
      </c>
      <c r="B50" s="647" t="s">
        <v>1031</v>
      </c>
      <c r="C50" s="645">
        <v>40</v>
      </c>
      <c r="D50" s="646">
        <f t="shared" si="0"/>
        <v>66.989999999999995</v>
      </c>
      <c r="E50" s="452">
        <f t="shared" si="1"/>
        <v>16.75</v>
      </c>
      <c r="F50" s="452">
        <f t="shared" si="2"/>
        <v>83.74</v>
      </c>
      <c r="G50" s="646">
        <v>43.22</v>
      </c>
      <c r="H50" s="452">
        <f t="shared" si="3"/>
        <v>10.81</v>
      </c>
      <c r="I50" s="647">
        <f t="shared" si="4"/>
        <v>54.03</v>
      </c>
      <c r="K50" s="443"/>
    </row>
    <row r="51" spans="1:11" ht="15" customHeight="1">
      <c r="A51" s="643" t="s">
        <v>924</v>
      </c>
      <c r="B51" s="647" t="s">
        <v>1031</v>
      </c>
      <c r="C51" s="645">
        <v>41</v>
      </c>
      <c r="D51" s="646">
        <f t="shared" si="0"/>
        <v>67.739999999999995</v>
      </c>
      <c r="E51" s="452">
        <f t="shared" si="1"/>
        <v>16.940000000000001</v>
      </c>
      <c r="F51" s="452">
        <f t="shared" si="2"/>
        <v>84.679999999999993</v>
      </c>
      <c r="G51" s="646">
        <v>43.7</v>
      </c>
      <c r="H51" s="452">
        <f t="shared" si="3"/>
        <v>10.93</v>
      </c>
      <c r="I51" s="647">
        <f t="shared" si="4"/>
        <v>54.63</v>
      </c>
      <c r="K51" s="443"/>
    </row>
    <row r="52" spans="1:11" ht="15" customHeight="1">
      <c r="A52" s="643" t="s">
        <v>926</v>
      </c>
      <c r="B52" s="647" t="s">
        <v>1031</v>
      </c>
      <c r="C52" s="645">
        <v>42</v>
      </c>
      <c r="D52" s="646">
        <f t="shared" si="0"/>
        <v>69.3</v>
      </c>
      <c r="E52" s="452">
        <f t="shared" si="1"/>
        <v>17.329999999999998</v>
      </c>
      <c r="F52" s="452">
        <f t="shared" si="2"/>
        <v>86.63</v>
      </c>
      <c r="G52" s="646">
        <v>44.71</v>
      </c>
      <c r="H52" s="452">
        <f t="shared" si="3"/>
        <v>11.18</v>
      </c>
      <c r="I52" s="452">
        <f t="shared" si="4"/>
        <v>55.89</v>
      </c>
      <c r="K52" s="443"/>
    </row>
    <row r="53" spans="1:11" ht="15" customHeight="1">
      <c r="A53" s="643" t="s">
        <v>928</v>
      </c>
      <c r="B53" s="647" t="s">
        <v>1031</v>
      </c>
      <c r="C53" s="645">
        <v>43</v>
      </c>
      <c r="D53" s="646">
        <f t="shared" si="0"/>
        <v>70.42</v>
      </c>
      <c r="E53" s="452">
        <f t="shared" si="1"/>
        <v>17.61</v>
      </c>
      <c r="F53" s="452">
        <f t="shared" si="2"/>
        <v>88.03</v>
      </c>
      <c r="G53" s="646">
        <v>45.43</v>
      </c>
      <c r="H53" s="452">
        <f t="shared" si="3"/>
        <v>11.36</v>
      </c>
      <c r="I53" s="452">
        <f t="shared" si="4"/>
        <v>56.79</v>
      </c>
      <c r="K53" s="443"/>
    </row>
    <row r="54" spans="1:11" ht="15" customHeight="1">
      <c r="A54" s="643" t="s">
        <v>930</v>
      </c>
      <c r="B54" s="647" t="s">
        <v>1031</v>
      </c>
      <c r="C54" s="645">
        <v>44</v>
      </c>
      <c r="D54" s="646">
        <f t="shared" si="0"/>
        <v>71.489999999999995</v>
      </c>
      <c r="E54" s="452">
        <f t="shared" si="1"/>
        <v>17.87</v>
      </c>
      <c r="F54" s="452">
        <f t="shared" si="2"/>
        <v>89.36</v>
      </c>
      <c r="G54" s="646">
        <v>46.12</v>
      </c>
      <c r="H54" s="452">
        <f t="shared" si="3"/>
        <v>11.53</v>
      </c>
      <c r="I54" s="452">
        <f t="shared" si="4"/>
        <v>57.65</v>
      </c>
      <c r="K54" s="443"/>
    </row>
    <row r="55" spans="1:11" ht="15" customHeight="1">
      <c r="A55" s="643" t="s">
        <v>932</v>
      </c>
      <c r="B55" s="647" t="s">
        <v>1031</v>
      </c>
      <c r="C55" s="645">
        <v>45</v>
      </c>
      <c r="D55" s="646">
        <f t="shared" si="0"/>
        <v>72.8</v>
      </c>
      <c r="E55" s="452">
        <f t="shared" si="1"/>
        <v>18.2</v>
      </c>
      <c r="F55" s="452">
        <f t="shared" si="2"/>
        <v>91</v>
      </c>
      <c r="G55" s="646">
        <v>46.97</v>
      </c>
      <c r="H55" s="452">
        <f t="shared" si="3"/>
        <v>11.74</v>
      </c>
      <c r="I55" s="452">
        <f t="shared" si="4"/>
        <v>58.71</v>
      </c>
      <c r="K55" s="443"/>
    </row>
    <row r="56" spans="1:11" ht="15" customHeight="1">
      <c r="A56" s="643" t="s">
        <v>934</v>
      </c>
      <c r="B56" s="647" t="s">
        <v>1031</v>
      </c>
      <c r="C56" s="645">
        <v>46</v>
      </c>
      <c r="D56" s="646">
        <f t="shared" si="0"/>
        <v>73.92</v>
      </c>
      <c r="E56" s="452">
        <f t="shared" si="1"/>
        <v>18.48</v>
      </c>
      <c r="F56" s="452">
        <f t="shared" si="2"/>
        <v>92.4</v>
      </c>
      <c r="G56" s="646">
        <v>47.69</v>
      </c>
      <c r="H56" s="452">
        <f t="shared" si="3"/>
        <v>11.92</v>
      </c>
      <c r="I56" s="452">
        <f t="shared" si="4"/>
        <v>59.61</v>
      </c>
      <c r="K56" s="443"/>
    </row>
    <row r="57" spans="1:11" ht="15" customHeight="1">
      <c r="A57" s="643" t="s">
        <v>936</v>
      </c>
      <c r="B57" s="647" t="s">
        <v>1031</v>
      </c>
      <c r="C57" s="645">
        <v>47</v>
      </c>
      <c r="D57" s="646">
        <f t="shared" si="0"/>
        <v>75.22</v>
      </c>
      <c r="E57" s="452">
        <f t="shared" si="1"/>
        <v>18.809999999999999</v>
      </c>
      <c r="F57" s="452">
        <f t="shared" si="2"/>
        <v>94.03</v>
      </c>
      <c r="G57" s="646">
        <v>48.53</v>
      </c>
      <c r="H57" s="452">
        <f t="shared" si="3"/>
        <v>12.13</v>
      </c>
      <c r="I57" s="452">
        <f t="shared" si="4"/>
        <v>60.660000000000004</v>
      </c>
      <c r="K57" s="443"/>
    </row>
    <row r="58" spans="1:11" ht="15" customHeight="1">
      <c r="A58" s="643" t="s">
        <v>939</v>
      </c>
      <c r="B58" s="647" t="s">
        <v>1031</v>
      </c>
      <c r="C58" s="645">
        <v>48</v>
      </c>
      <c r="D58" s="646">
        <f t="shared" si="0"/>
        <v>76.290000000000006</v>
      </c>
      <c r="E58" s="452">
        <f t="shared" si="1"/>
        <v>19.07</v>
      </c>
      <c r="F58" s="452">
        <f t="shared" si="2"/>
        <v>95.360000000000014</v>
      </c>
      <c r="G58" s="646">
        <v>49.22</v>
      </c>
      <c r="H58" s="452">
        <f t="shared" si="3"/>
        <v>12.31</v>
      </c>
      <c r="I58" s="452">
        <f t="shared" si="4"/>
        <v>61.53</v>
      </c>
      <c r="K58" s="443"/>
    </row>
    <row r="59" spans="1:11" ht="15" customHeight="1">
      <c r="A59" s="643" t="s">
        <v>940</v>
      </c>
      <c r="B59" s="647" t="s">
        <v>1031</v>
      </c>
      <c r="C59" s="645">
        <v>49</v>
      </c>
      <c r="D59" s="646">
        <f t="shared" si="0"/>
        <v>77.3</v>
      </c>
      <c r="E59" s="452">
        <f t="shared" si="1"/>
        <v>19.329999999999998</v>
      </c>
      <c r="F59" s="452">
        <f t="shared" si="2"/>
        <v>96.63</v>
      </c>
      <c r="G59" s="646">
        <v>49.87</v>
      </c>
      <c r="H59" s="452">
        <f t="shared" si="3"/>
        <v>12.47</v>
      </c>
      <c r="I59" s="452">
        <f t="shared" si="4"/>
        <v>62.339999999999996</v>
      </c>
      <c r="K59" s="443"/>
    </row>
    <row r="60" spans="1:11" ht="15" customHeight="1">
      <c r="A60" s="643" t="s">
        <v>941</v>
      </c>
      <c r="B60" s="647" t="s">
        <v>1031</v>
      </c>
      <c r="C60" s="645">
        <v>50</v>
      </c>
      <c r="D60" s="646">
        <f t="shared" si="0"/>
        <v>78.41</v>
      </c>
      <c r="E60" s="452">
        <f t="shared" si="1"/>
        <v>19.600000000000001</v>
      </c>
      <c r="F60" s="452">
        <f t="shared" si="2"/>
        <v>98.009999999999991</v>
      </c>
      <c r="G60" s="646">
        <v>50.59</v>
      </c>
      <c r="H60" s="452">
        <f t="shared" si="3"/>
        <v>12.65</v>
      </c>
      <c r="I60" s="452">
        <f t="shared" si="4"/>
        <v>63.24</v>
      </c>
      <c r="K60" s="443"/>
    </row>
    <row r="61" spans="1:11" ht="15" customHeight="1">
      <c r="A61" s="643" t="s">
        <v>943</v>
      </c>
      <c r="B61" s="647" t="s">
        <v>1031</v>
      </c>
      <c r="C61" s="645">
        <v>55</v>
      </c>
      <c r="D61" s="646">
        <f t="shared" si="0"/>
        <v>83.84</v>
      </c>
      <c r="E61" s="452">
        <f t="shared" si="1"/>
        <v>20.96</v>
      </c>
      <c r="F61" s="452">
        <f t="shared" si="2"/>
        <v>104.80000000000001</v>
      </c>
      <c r="G61" s="646">
        <v>54.09</v>
      </c>
      <c r="H61" s="452">
        <f t="shared" si="3"/>
        <v>13.52</v>
      </c>
      <c r="I61" s="452">
        <f t="shared" si="4"/>
        <v>67.61</v>
      </c>
      <c r="K61" s="443"/>
    </row>
    <row r="62" spans="1:11" ht="15" customHeight="1">
      <c r="A62" s="643" t="s">
        <v>945</v>
      </c>
      <c r="B62" s="647" t="s">
        <v>1031</v>
      </c>
      <c r="C62" s="645">
        <v>60</v>
      </c>
      <c r="D62" s="646">
        <f t="shared" si="0"/>
        <v>89.31</v>
      </c>
      <c r="E62" s="452">
        <f t="shared" si="1"/>
        <v>22.33</v>
      </c>
      <c r="F62" s="452">
        <f t="shared" si="2"/>
        <v>111.64</v>
      </c>
      <c r="G62" s="646">
        <v>57.62</v>
      </c>
      <c r="H62" s="452">
        <f t="shared" si="3"/>
        <v>14.41</v>
      </c>
      <c r="I62" s="647">
        <f t="shared" si="4"/>
        <v>72.03</v>
      </c>
      <c r="K62" s="443"/>
    </row>
    <row r="63" spans="1:11" ht="15" customHeight="1">
      <c r="A63" s="643" t="s">
        <v>947</v>
      </c>
      <c r="B63" s="647" t="s">
        <v>1031</v>
      </c>
      <c r="C63" s="645">
        <v>65</v>
      </c>
      <c r="D63" s="646">
        <f t="shared" si="0"/>
        <v>94.27</v>
      </c>
      <c r="E63" s="452">
        <f t="shared" si="1"/>
        <v>23.57</v>
      </c>
      <c r="F63" s="452">
        <f t="shared" si="2"/>
        <v>117.84</v>
      </c>
      <c r="G63" s="646">
        <v>60.82</v>
      </c>
      <c r="H63" s="452">
        <f t="shared" si="3"/>
        <v>15.21</v>
      </c>
      <c r="I63" s="452">
        <f t="shared" si="4"/>
        <v>76.03</v>
      </c>
      <c r="K63" s="443"/>
    </row>
    <row r="64" spans="1:11" ht="15" customHeight="1">
      <c r="A64" s="643" t="s">
        <v>948</v>
      </c>
      <c r="B64" s="647" t="s">
        <v>1031</v>
      </c>
      <c r="C64" s="645">
        <v>70</v>
      </c>
      <c r="D64" s="646">
        <f t="shared" si="0"/>
        <v>99.06</v>
      </c>
      <c r="E64" s="452">
        <f t="shared" si="1"/>
        <v>24.77</v>
      </c>
      <c r="F64" s="452">
        <f t="shared" si="2"/>
        <v>123.83</v>
      </c>
      <c r="G64" s="646">
        <v>63.91</v>
      </c>
      <c r="H64" s="452">
        <f t="shared" si="3"/>
        <v>15.98</v>
      </c>
      <c r="I64" s="647">
        <f t="shared" si="4"/>
        <v>79.89</v>
      </c>
      <c r="K64" s="443"/>
    </row>
    <row r="65" spans="1:11" ht="15" customHeight="1">
      <c r="A65" s="643" t="s">
        <v>949</v>
      </c>
      <c r="B65" s="647" t="s">
        <v>1031</v>
      </c>
      <c r="C65" s="645">
        <v>75</v>
      </c>
      <c r="D65" s="646">
        <f t="shared" si="0"/>
        <v>103.88</v>
      </c>
      <c r="E65" s="452">
        <f t="shared" si="1"/>
        <v>25.97</v>
      </c>
      <c r="F65" s="452">
        <f t="shared" si="2"/>
        <v>129.85</v>
      </c>
      <c r="G65" s="646">
        <v>67.02</v>
      </c>
      <c r="H65" s="452">
        <f t="shared" si="3"/>
        <v>16.760000000000002</v>
      </c>
      <c r="I65" s="452">
        <f t="shared" si="4"/>
        <v>83.78</v>
      </c>
      <c r="K65" s="443"/>
    </row>
    <row r="66" spans="1:11" ht="15" customHeight="1">
      <c r="A66" s="643" t="s">
        <v>951</v>
      </c>
      <c r="B66" s="647" t="s">
        <v>1031</v>
      </c>
      <c r="C66" s="645">
        <v>80</v>
      </c>
      <c r="D66" s="646">
        <f t="shared" si="0"/>
        <v>108.89</v>
      </c>
      <c r="E66" s="452">
        <f t="shared" si="1"/>
        <v>27.22</v>
      </c>
      <c r="F66" s="452">
        <f t="shared" si="2"/>
        <v>136.11000000000001</v>
      </c>
      <c r="G66" s="646">
        <v>70.25</v>
      </c>
      <c r="H66" s="452">
        <f t="shared" si="3"/>
        <v>17.559999999999999</v>
      </c>
      <c r="I66" s="452">
        <f t="shared" si="4"/>
        <v>87.81</v>
      </c>
      <c r="K66" s="443"/>
    </row>
    <row r="67" spans="1:11" ht="15" customHeight="1">
      <c r="A67" s="643" t="s">
        <v>953</v>
      </c>
      <c r="B67" s="647" t="s">
        <v>1031</v>
      </c>
      <c r="C67" s="645">
        <v>85</v>
      </c>
      <c r="D67" s="646">
        <f t="shared" si="0"/>
        <v>113.69</v>
      </c>
      <c r="E67" s="452">
        <f t="shared" si="1"/>
        <v>28.42</v>
      </c>
      <c r="F67" s="452">
        <f t="shared" si="2"/>
        <v>142.11000000000001</v>
      </c>
      <c r="G67" s="646">
        <v>73.349999999999994</v>
      </c>
      <c r="H67" s="452">
        <f t="shared" si="3"/>
        <v>18.34</v>
      </c>
      <c r="I67" s="452">
        <f t="shared" si="4"/>
        <v>91.69</v>
      </c>
      <c r="K67" s="443"/>
    </row>
    <row r="68" spans="1:11" ht="15" customHeight="1">
      <c r="A68" s="643" t="s">
        <v>955</v>
      </c>
      <c r="B68" s="647" t="s">
        <v>1031</v>
      </c>
      <c r="C68" s="645">
        <v>90</v>
      </c>
      <c r="D68" s="646">
        <f t="shared" si="0"/>
        <v>118.84</v>
      </c>
      <c r="E68" s="452">
        <f t="shared" si="1"/>
        <v>29.71</v>
      </c>
      <c r="F68" s="452">
        <f t="shared" si="2"/>
        <v>148.55000000000001</v>
      </c>
      <c r="G68" s="646">
        <v>76.67</v>
      </c>
      <c r="H68" s="452">
        <f t="shared" si="3"/>
        <v>19.170000000000002</v>
      </c>
      <c r="I68" s="452">
        <f t="shared" si="4"/>
        <v>95.84</v>
      </c>
      <c r="K68" s="443"/>
    </row>
    <row r="69" spans="1:11" ht="15" customHeight="1">
      <c r="A69" s="643" t="s">
        <v>957</v>
      </c>
      <c r="B69" s="647" t="s">
        <v>1031</v>
      </c>
      <c r="C69" s="645">
        <v>95</v>
      </c>
      <c r="D69" s="646">
        <f t="shared" si="0"/>
        <v>123.77</v>
      </c>
      <c r="E69" s="452">
        <f t="shared" si="1"/>
        <v>30.94</v>
      </c>
      <c r="F69" s="452">
        <f t="shared" si="2"/>
        <v>154.71</v>
      </c>
      <c r="G69" s="646">
        <v>79.849999999999994</v>
      </c>
      <c r="H69" s="452">
        <f t="shared" si="3"/>
        <v>19.96</v>
      </c>
      <c r="I69" s="452">
        <f t="shared" si="4"/>
        <v>99.81</v>
      </c>
      <c r="K69" s="443"/>
    </row>
    <row r="70" spans="1:11" ht="15" customHeight="1">
      <c r="A70" s="643" t="s">
        <v>959</v>
      </c>
      <c r="B70" s="647" t="s">
        <v>1031</v>
      </c>
      <c r="C70" s="645">
        <v>100</v>
      </c>
      <c r="D70" s="646">
        <f t="shared" si="0"/>
        <v>128.56</v>
      </c>
      <c r="E70" s="452">
        <f t="shared" si="1"/>
        <v>32.14</v>
      </c>
      <c r="F70" s="452">
        <f t="shared" si="2"/>
        <v>160.69999999999999</v>
      </c>
      <c r="G70" s="646">
        <v>82.94</v>
      </c>
      <c r="H70" s="452">
        <f t="shared" si="3"/>
        <v>20.74</v>
      </c>
      <c r="I70" s="452">
        <f t="shared" si="4"/>
        <v>103.67999999999999</v>
      </c>
      <c r="K70" s="443"/>
    </row>
    <row r="71" spans="1:11" ht="15" customHeight="1">
      <c r="A71" s="643" t="s">
        <v>961</v>
      </c>
      <c r="B71" s="647" t="s">
        <v>1031</v>
      </c>
      <c r="C71" s="645">
        <v>105</v>
      </c>
      <c r="D71" s="646">
        <f t="shared" si="0"/>
        <v>133.72999999999999</v>
      </c>
      <c r="E71" s="452">
        <f t="shared" si="1"/>
        <v>33.43</v>
      </c>
      <c r="F71" s="452">
        <f t="shared" si="2"/>
        <v>167.16</v>
      </c>
      <c r="G71" s="646">
        <v>86.28</v>
      </c>
      <c r="H71" s="452">
        <f t="shared" si="3"/>
        <v>21.57</v>
      </c>
      <c r="I71" s="452">
        <f t="shared" si="4"/>
        <v>107.85</v>
      </c>
      <c r="K71" s="443"/>
    </row>
    <row r="72" spans="1:11" ht="15" customHeight="1">
      <c r="A72" s="643" t="s">
        <v>963</v>
      </c>
      <c r="B72" s="647" t="s">
        <v>1031</v>
      </c>
      <c r="C72" s="645">
        <v>110</v>
      </c>
      <c r="D72" s="646">
        <f t="shared" si="0"/>
        <v>138.82</v>
      </c>
      <c r="E72" s="452">
        <f t="shared" si="1"/>
        <v>34.71</v>
      </c>
      <c r="F72" s="452">
        <f t="shared" si="2"/>
        <v>173.53</v>
      </c>
      <c r="G72" s="646">
        <v>89.56</v>
      </c>
      <c r="H72" s="452">
        <f t="shared" si="3"/>
        <v>22.39</v>
      </c>
      <c r="I72" s="452">
        <f t="shared" si="4"/>
        <v>111.95</v>
      </c>
      <c r="K72" s="443"/>
    </row>
    <row r="73" spans="1:11" ht="15" customHeight="1">
      <c r="A73" s="643" t="s">
        <v>966</v>
      </c>
      <c r="B73" s="647" t="s">
        <v>1031</v>
      </c>
      <c r="C73" s="645">
        <v>115</v>
      </c>
      <c r="D73" s="646">
        <f t="shared" si="0"/>
        <v>143.79</v>
      </c>
      <c r="E73" s="452">
        <f t="shared" si="1"/>
        <v>35.950000000000003</v>
      </c>
      <c r="F73" s="452">
        <f t="shared" si="2"/>
        <v>179.74</v>
      </c>
      <c r="G73" s="646">
        <v>92.77</v>
      </c>
      <c r="H73" s="452">
        <f t="shared" si="3"/>
        <v>23.19</v>
      </c>
      <c r="I73" s="452">
        <f t="shared" si="4"/>
        <v>115.96</v>
      </c>
      <c r="K73" s="443"/>
    </row>
    <row r="74" spans="1:11" ht="15" customHeight="1">
      <c r="A74" s="643" t="s">
        <v>967</v>
      </c>
      <c r="B74" s="647" t="s">
        <v>1031</v>
      </c>
      <c r="C74" s="645">
        <v>120</v>
      </c>
      <c r="D74" s="646">
        <f t="shared" si="0"/>
        <v>148.68</v>
      </c>
      <c r="E74" s="452">
        <f t="shared" si="1"/>
        <v>37.17</v>
      </c>
      <c r="F74" s="452">
        <f t="shared" si="2"/>
        <v>185.85000000000002</v>
      </c>
      <c r="G74" s="646">
        <v>95.92</v>
      </c>
      <c r="H74" s="452">
        <f t="shared" si="3"/>
        <v>23.98</v>
      </c>
      <c r="I74" s="452">
        <f t="shared" si="4"/>
        <v>119.9</v>
      </c>
      <c r="K74" s="443"/>
    </row>
    <row r="75" spans="1:11" ht="15" customHeight="1">
      <c r="A75" s="643" t="s">
        <v>969</v>
      </c>
      <c r="B75" s="647" t="s">
        <v>1031</v>
      </c>
      <c r="C75" s="645">
        <v>125</v>
      </c>
      <c r="D75" s="646">
        <f t="shared" ref="D75:D90" si="5">ROUND(G75*1.55,2)</f>
        <v>153.44999999999999</v>
      </c>
      <c r="E75" s="452">
        <f t="shared" si="1"/>
        <v>38.36</v>
      </c>
      <c r="F75" s="452">
        <f t="shared" si="2"/>
        <v>191.81</v>
      </c>
      <c r="G75" s="646">
        <v>99</v>
      </c>
      <c r="H75" s="452">
        <f t="shared" si="3"/>
        <v>24.75</v>
      </c>
      <c r="I75" s="452">
        <f t="shared" si="4"/>
        <v>123.75</v>
      </c>
      <c r="K75" s="443"/>
    </row>
    <row r="76" spans="1:11" ht="15" customHeight="1">
      <c r="A76" s="643" t="s">
        <v>971</v>
      </c>
      <c r="B76" s="647" t="s">
        <v>1031</v>
      </c>
      <c r="C76" s="645">
        <v>130</v>
      </c>
      <c r="D76" s="646">
        <f t="shared" si="5"/>
        <v>158.07</v>
      </c>
      <c r="E76" s="452">
        <f t="shared" ref="E76:E90" si="6">ROUND(D76*$F$6,2)</f>
        <v>39.520000000000003</v>
      </c>
      <c r="F76" s="452">
        <f t="shared" ref="F76:F90" si="7">D76+E76</f>
        <v>197.59</v>
      </c>
      <c r="G76" s="646">
        <v>101.98</v>
      </c>
      <c r="H76" s="452">
        <f t="shared" ref="H76:H90" si="8">ROUND(G76*$F$6,2)</f>
        <v>25.5</v>
      </c>
      <c r="I76" s="452">
        <f t="shared" ref="I76:I90" si="9">G76+H76</f>
        <v>127.48</v>
      </c>
      <c r="K76" s="443"/>
    </row>
    <row r="77" spans="1:11" ht="15" customHeight="1">
      <c r="A77" s="643" t="s">
        <v>973</v>
      </c>
      <c r="B77" s="647" t="s">
        <v>1031</v>
      </c>
      <c r="C77" s="645">
        <v>135</v>
      </c>
      <c r="D77" s="646">
        <f t="shared" si="5"/>
        <v>162.56</v>
      </c>
      <c r="E77" s="452">
        <f t="shared" si="6"/>
        <v>40.64</v>
      </c>
      <c r="F77" s="452">
        <f t="shared" si="7"/>
        <v>203.2</v>
      </c>
      <c r="G77" s="646">
        <v>104.88</v>
      </c>
      <c r="H77" s="452">
        <f t="shared" si="8"/>
        <v>26.22</v>
      </c>
      <c r="I77" s="452">
        <f t="shared" si="9"/>
        <v>131.1</v>
      </c>
      <c r="K77" s="443"/>
    </row>
    <row r="78" spans="1:11" ht="15" customHeight="1">
      <c r="A78" s="643" t="s">
        <v>975</v>
      </c>
      <c r="B78" s="647" t="s">
        <v>1031</v>
      </c>
      <c r="C78" s="645">
        <v>140</v>
      </c>
      <c r="D78" s="646">
        <f t="shared" si="5"/>
        <v>166.92</v>
      </c>
      <c r="E78" s="452">
        <f t="shared" si="6"/>
        <v>41.73</v>
      </c>
      <c r="F78" s="452">
        <f t="shared" si="7"/>
        <v>208.64999999999998</v>
      </c>
      <c r="G78" s="646">
        <v>107.69</v>
      </c>
      <c r="H78" s="452">
        <f t="shared" si="8"/>
        <v>26.92</v>
      </c>
      <c r="I78" s="452">
        <f t="shared" si="9"/>
        <v>134.61000000000001</v>
      </c>
      <c r="K78" s="443"/>
    </row>
    <row r="79" spans="1:11" ht="15" customHeight="1">
      <c r="A79" s="643" t="s">
        <v>977</v>
      </c>
      <c r="B79" s="647" t="s">
        <v>1031</v>
      </c>
      <c r="C79" s="645">
        <v>145</v>
      </c>
      <c r="D79" s="646">
        <f t="shared" si="5"/>
        <v>171.14</v>
      </c>
      <c r="E79" s="452">
        <f t="shared" si="6"/>
        <v>42.79</v>
      </c>
      <c r="F79" s="452">
        <f t="shared" si="7"/>
        <v>213.92999999999998</v>
      </c>
      <c r="G79" s="646">
        <v>110.41</v>
      </c>
      <c r="H79" s="452">
        <f t="shared" si="8"/>
        <v>27.6</v>
      </c>
      <c r="I79" s="452">
        <f t="shared" si="9"/>
        <v>138.01</v>
      </c>
      <c r="K79" s="443"/>
    </row>
    <row r="80" spans="1:11" ht="15" customHeight="1">
      <c r="A80" s="643" t="s">
        <v>979</v>
      </c>
      <c r="B80" s="647" t="s">
        <v>1031</v>
      </c>
      <c r="C80" s="645">
        <v>150</v>
      </c>
      <c r="D80" s="646">
        <f t="shared" si="5"/>
        <v>175.21</v>
      </c>
      <c r="E80" s="452">
        <f t="shared" si="6"/>
        <v>43.8</v>
      </c>
      <c r="F80" s="452">
        <f t="shared" si="7"/>
        <v>219.01</v>
      </c>
      <c r="G80" s="646">
        <v>113.04</v>
      </c>
      <c r="H80" s="452">
        <f t="shared" si="8"/>
        <v>28.26</v>
      </c>
      <c r="I80" s="452">
        <f t="shared" si="9"/>
        <v>141.30000000000001</v>
      </c>
      <c r="K80" s="443"/>
    </row>
    <row r="81" spans="1:11" ht="15" customHeight="1">
      <c r="A81" s="643" t="s">
        <v>981</v>
      </c>
      <c r="B81" s="647" t="s">
        <v>1031</v>
      </c>
      <c r="C81" s="645">
        <v>155</v>
      </c>
      <c r="D81" s="646">
        <f t="shared" si="5"/>
        <v>179.16</v>
      </c>
      <c r="E81" s="452">
        <f t="shared" si="6"/>
        <v>44.79</v>
      </c>
      <c r="F81" s="452">
        <f t="shared" si="7"/>
        <v>223.95</v>
      </c>
      <c r="G81" s="646">
        <v>115.59</v>
      </c>
      <c r="H81" s="452">
        <f t="shared" si="8"/>
        <v>28.9</v>
      </c>
      <c r="I81" s="452">
        <f t="shared" si="9"/>
        <v>144.49</v>
      </c>
      <c r="K81" s="443"/>
    </row>
    <row r="82" spans="1:11" ht="15" customHeight="1">
      <c r="A82" s="643" t="s">
        <v>983</v>
      </c>
      <c r="B82" s="647" t="s">
        <v>1031</v>
      </c>
      <c r="C82" s="645">
        <v>160</v>
      </c>
      <c r="D82" s="646">
        <f t="shared" si="5"/>
        <v>183.01</v>
      </c>
      <c r="E82" s="452">
        <f t="shared" si="6"/>
        <v>45.75</v>
      </c>
      <c r="F82" s="452">
        <f t="shared" si="7"/>
        <v>228.76</v>
      </c>
      <c r="G82" s="646">
        <v>118.07</v>
      </c>
      <c r="H82" s="452">
        <f t="shared" si="8"/>
        <v>29.52</v>
      </c>
      <c r="I82" s="452">
        <f t="shared" si="9"/>
        <v>147.59</v>
      </c>
      <c r="K82" s="443"/>
    </row>
    <row r="83" spans="1:11" ht="15" customHeight="1">
      <c r="A83" s="643" t="s">
        <v>985</v>
      </c>
      <c r="B83" s="647" t="s">
        <v>1031</v>
      </c>
      <c r="C83" s="645">
        <v>165</v>
      </c>
      <c r="D83" s="646">
        <f t="shared" si="5"/>
        <v>186.67</v>
      </c>
      <c r="E83" s="452">
        <f t="shared" si="6"/>
        <v>46.67</v>
      </c>
      <c r="F83" s="452">
        <f t="shared" si="7"/>
        <v>233.33999999999997</v>
      </c>
      <c r="G83" s="646">
        <v>120.43</v>
      </c>
      <c r="H83" s="452">
        <f t="shared" si="8"/>
        <v>30.11</v>
      </c>
      <c r="I83" s="452">
        <f t="shared" si="9"/>
        <v>150.54000000000002</v>
      </c>
      <c r="K83" s="443"/>
    </row>
    <row r="84" spans="1:11" ht="15" customHeight="1">
      <c r="A84" s="643" t="s">
        <v>987</v>
      </c>
      <c r="B84" s="647" t="s">
        <v>1031</v>
      </c>
      <c r="C84" s="645">
        <v>170</v>
      </c>
      <c r="D84" s="646">
        <f t="shared" si="5"/>
        <v>190.2</v>
      </c>
      <c r="E84" s="452">
        <f t="shared" si="6"/>
        <v>47.55</v>
      </c>
      <c r="F84" s="452">
        <f t="shared" si="7"/>
        <v>237.75</v>
      </c>
      <c r="G84" s="646">
        <v>122.71</v>
      </c>
      <c r="H84" s="452">
        <f t="shared" si="8"/>
        <v>30.68</v>
      </c>
      <c r="I84" s="452">
        <f t="shared" si="9"/>
        <v>153.38999999999999</v>
      </c>
      <c r="K84" s="443"/>
    </row>
    <row r="85" spans="1:11" ht="15" customHeight="1">
      <c r="A85" s="643" t="s">
        <v>989</v>
      </c>
      <c r="B85" s="647" t="s">
        <v>1031</v>
      </c>
      <c r="C85" s="645">
        <v>175</v>
      </c>
      <c r="D85" s="646">
        <f t="shared" si="5"/>
        <v>193.64</v>
      </c>
      <c r="E85" s="452">
        <f t="shared" si="6"/>
        <v>48.41</v>
      </c>
      <c r="F85" s="452">
        <f t="shared" si="7"/>
        <v>242.04999999999998</v>
      </c>
      <c r="G85" s="646">
        <v>124.93</v>
      </c>
      <c r="H85" s="452">
        <f t="shared" si="8"/>
        <v>31.23</v>
      </c>
      <c r="I85" s="452">
        <f t="shared" si="9"/>
        <v>156.16</v>
      </c>
      <c r="K85" s="443"/>
    </row>
    <row r="86" spans="1:11" ht="15" customHeight="1">
      <c r="A86" s="643" t="s">
        <v>991</v>
      </c>
      <c r="B86" s="647" t="s">
        <v>1031</v>
      </c>
      <c r="C86" s="645">
        <v>180</v>
      </c>
      <c r="D86" s="646">
        <f t="shared" si="5"/>
        <v>196.91</v>
      </c>
      <c r="E86" s="452">
        <f t="shared" si="6"/>
        <v>49.23</v>
      </c>
      <c r="F86" s="452">
        <f t="shared" si="7"/>
        <v>246.14</v>
      </c>
      <c r="G86" s="646">
        <v>127.04</v>
      </c>
      <c r="H86" s="452">
        <f t="shared" si="8"/>
        <v>31.76</v>
      </c>
      <c r="I86" s="452">
        <f t="shared" si="9"/>
        <v>158.80000000000001</v>
      </c>
      <c r="K86" s="443"/>
    </row>
    <row r="87" spans="1:11" ht="15" customHeight="1">
      <c r="A87" s="643" t="s">
        <v>992</v>
      </c>
      <c r="B87" s="647" t="s">
        <v>1031</v>
      </c>
      <c r="C87" s="645">
        <v>185</v>
      </c>
      <c r="D87" s="646">
        <f t="shared" si="5"/>
        <v>200.06</v>
      </c>
      <c r="E87" s="452">
        <f t="shared" si="6"/>
        <v>50.02</v>
      </c>
      <c r="F87" s="452">
        <f t="shared" si="7"/>
        <v>250.08</v>
      </c>
      <c r="G87" s="646">
        <v>129.07</v>
      </c>
      <c r="H87" s="452">
        <f t="shared" si="8"/>
        <v>32.270000000000003</v>
      </c>
      <c r="I87" s="452">
        <f t="shared" si="9"/>
        <v>161.34</v>
      </c>
      <c r="K87" s="443"/>
    </row>
    <row r="88" spans="1:11" ht="15" customHeight="1">
      <c r="A88" s="643" t="s">
        <v>993</v>
      </c>
      <c r="B88" s="647" t="s">
        <v>1031</v>
      </c>
      <c r="C88" s="645">
        <v>190</v>
      </c>
      <c r="D88" s="646">
        <f t="shared" si="5"/>
        <v>203.07</v>
      </c>
      <c r="E88" s="452">
        <f t="shared" si="6"/>
        <v>50.77</v>
      </c>
      <c r="F88" s="452">
        <f t="shared" si="7"/>
        <v>253.84</v>
      </c>
      <c r="G88" s="646">
        <v>131.01</v>
      </c>
      <c r="H88" s="452">
        <f t="shared" si="8"/>
        <v>32.75</v>
      </c>
      <c r="I88" s="452">
        <f t="shared" si="9"/>
        <v>163.76</v>
      </c>
      <c r="K88" s="443"/>
    </row>
    <row r="89" spans="1:11" ht="15" customHeight="1">
      <c r="A89" s="643" t="s">
        <v>995</v>
      </c>
      <c r="B89" s="647" t="s">
        <v>1031</v>
      </c>
      <c r="C89" s="645">
        <v>195</v>
      </c>
      <c r="D89" s="646">
        <f t="shared" si="5"/>
        <v>205.93</v>
      </c>
      <c r="E89" s="452">
        <f t="shared" si="6"/>
        <v>51.48</v>
      </c>
      <c r="F89" s="452">
        <f t="shared" si="7"/>
        <v>257.41000000000003</v>
      </c>
      <c r="G89" s="646">
        <v>132.86000000000001</v>
      </c>
      <c r="H89" s="452">
        <f t="shared" si="8"/>
        <v>33.22</v>
      </c>
      <c r="I89" s="452">
        <f t="shared" si="9"/>
        <v>166.08</v>
      </c>
      <c r="K89" s="443"/>
    </row>
    <row r="90" spans="1:11" ht="15" customHeight="1">
      <c r="A90" s="643" t="s">
        <v>997</v>
      </c>
      <c r="B90" s="647" t="s">
        <v>1031</v>
      </c>
      <c r="C90" s="645">
        <v>200</v>
      </c>
      <c r="D90" s="646">
        <f t="shared" si="5"/>
        <v>208.68</v>
      </c>
      <c r="E90" s="452">
        <f t="shared" si="6"/>
        <v>52.17</v>
      </c>
      <c r="F90" s="452">
        <f t="shared" si="7"/>
        <v>260.85000000000002</v>
      </c>
      <c r="G90" s="646">
        <v>134.63</v>
      </c>
      <c r="H90" s="452">
        <f t="shared" si="8"/>
        <v>33.659999999999997</v>
      </c>
      <c r="I90" s="452">
        <f t="shared" si="9"/>
        <v>168.29</v>
      </c>
      <c r="K90" s="443"/>
    </row>
  </sheetData>
  <sheetProtection selectLockedCells="1"/>
  <mergeCells count="6">
    <mergeCell ref="A4:I4"/>
    <mergeCell ref="A3:I3"/>
    <mergeCell ref="D8:F8"/>
    <mergeCell ref="G8:I8"/>
    <mergeCell ref="A8:A9"/>
    <mergeCell ref="B8:C9"/>
  </mergeCells>
  <phoneticPr fontId="44" type="noConversion"/>
  <pageMargins left="0.98425196850393704" right="0.39370078740157483" top="0.39370078740157483" bottom="0.39370078740157483" header="0.19685039370078741" footer="0.19685039370078741"/>
  <pageSetup paperSize="9" orientation="portrait" cellComments="asDisplayed" horizontalDpi="300" verticalDpi="300" r:id="rId1"/>
  <headerFooter alignWithMargins="0">
    <oddHeader>&amp;L&amp;8GIU&amp;C&amp;8CIJENIK PRIJEVOZA MATERIJALA 2009.-2013.&amp;R&amp;8&amp;D</oddHeader>
    <oddFooter>&amp;L&amp;8&amp;F&amp;C&amp;8&amp;A&amp;R&amp;8&amp;P / &amp;N</oddFooter>
  </headerFooter>
  <rowBreaks count="1" manualBreakCount="1">
    <brk id="90" max="8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E50"/>
  <sheetViews>
    <sheetView zoomScaleNormal="70" workbookViewId="0">
      <selection activeCell="I18" sqref="I18"/>
    </sheetView>
  </sheetViews>
  <sheetFormatPr defaultColWidth="8.85546875" defaultRowHeight="15.75"/>
  <cols>
    <col min="1" max="1" width="19.28515625" style="204" customWidth="1"/>
    <col min="2" max="3" width="20.7109375" style="296" customWidth="1"/>
    <col min="4" max="4" width="4.7109375" style="296" customWidth="1"/>
    <col min="5" max="16384" width="8.85546875" style="290"/>
  </cols>
  <sheetData>
    <row r="1" spans="1:5" ht="15" customHeight="1">
      <c r="A1" s="288"/>
      <c r="B1" s="289"/>
      <c r="C1" s="289"/>
      <c r="D1" s="289"/>
    </row>
    <row r="2" spans="1:5" ht="15" customHeight="1">
      <c r="A2" s="288"/>
      <c r="B2" s="289"/>
      <c r="C2" s="289"/>
      <c r="D2" s="289"/>
    </row>
    <row r="3" spans="1:5" ht="15" customHeight="1">
      <c r="A3" s="905" t="s">
        <v>1032</v>
      </c>
      <c r="B3" s="905"/>
      <c r="C3" s="905"/>
      <c r="D3" s="905"/>
    </row>
    <row r="4" spans="1:5" ht="15" customHeight="1">
      <c r="A4" s="288"/>
      <c r="B4" s="289"/>
      <c r="C4" s="289"/>
      <c r="D4" s="289"/>
    </row>
    <row r="5" spans="1:5" ht="15" customHeight="1" thickBot="1">
      <c r="A5" s="288"/>
      <c r="B5" s="289"/>
      <c r="C5" s="289"/>
      <c r="D5" s="289"/>
    </row>
    <row r="6" spans="1:5" ht="15" customHeight="1" thickBot="1">
      <c r="A6" s="291" t="s">
        <v>1033</v>
      </c>
      <c r="B6" s="292">
        <v>7.5078139999999998</v>
      </c>
      <c r="C6" s="293" t="s">
        <v>1034</v>
      </c>
      <c r="D6" s="294"/>
    </row>
    <row r="7" spans="1:5" ht="15" customHeight="1">
      <c r="A7" s="288"/>
      <c r="B7" s="289"/>
      <c r="C7" s="289"/>
      <c r="D7" s="289"/>
    </row>
    <row r="8" spans="1:5" ht="15" customHeight="1">
      <c r="A8" s="288"/>
      <c r="B8" s="295"/>
      <c r="C8" s="289"/>
      <c r="D8" s="289"/>
    </row>
    <row r="9" spans="1:5" ht="15" customHeight="1">
      <c r="A9" s="288" t="s">
        <v>1035</v>
      </c>
      <c r="B9" s="295"/>
      <c r="C9" s="289"/>
      <c r="D9" s="289"/>
      <c r="E9" s="296"/>
    </row>
    <row r="10" spans="1:5" ht="15" customHeight="1">
      <c r="A10" s="288"/>
      <c r="B10" s="295"/>
      <c r="C10" s="289"/>
      <c r="D10" s="289"/>
    </row>
    <row r="11" spans="1:5" ht="15" customHeight="1" thickBot="1">
      <c r="A11" s="288"/>
      <c r="B11" s="295"/>
      <c r="C11" s="289"/>
      <c r="D11" s="289"/>
    </row>
    <row r="12" spans="1:5" ht="15" customHeight="1" thickBot="1">
      <c r="A12" s="291" t="s">
        <v>852</v>
      </c>
      <c r="B12" s="297">
        <v>0.25</v>
      </c>
      <c r="C12" s="298"/>
      <c r="D12" s="299"/>
    </row>
    <row r="13" spans="1:5" ht="15" customHeight="1">
      <c r="A13" s="288"/>
      <c r="B13" s="295"/>
      <c r="C13" s="289"/>
      <c r="D13" s="289"/>
    </row>
    <row r="14" spans="1:5" ht="15" customHeight="1">
      <c r="A14" s="288"/>
      <c r="B14" s="295"/>
      <c r="C14" s="289"/>
      <c r="D14" s="289"/>
    </row>
    <row r="15" spans="1:5" ht="15" customHeight="1">
      <c r="A15" s="288" t="s">
        <v>1036</v>
      </c>
      <c r="B15" s="295"/>
      <c r="C15" s="289"/>
      <c r="D15" s="289"/>
    </row>
    <row r="16" spans="1:5" ht="15" customHeight="1">
      <c r="A16" s="288"/>
      <c r="B16" s="295"/>
      <c r="C16" s="289"/>
      <c r="D16" s="289"/>
    </row>
    <row r="17" spans="1:4" ht="15" customHeight="1" thickBot="1">
      <c r="A17" s="288"/>
      <c r="B17" s="295"/>
      <c r="C17" s="289"/>
      <c r="D17" s="289"/>
    </row>
    <row r="18" spans="1:4" ht="30" customHeight="1" thickBot="1">
      <c r="A18" s="300"/>
      <c r="B18" s="301" t="s">
        <v>1030</v>
      </c>
      <c r="C18" s="302" t="s">
        <v>1028</v>
      </c>
      <c r="D18" s="298"/>
    </row>
    <row r="19" spans="1:4" ht="15" customHeight="1">
      <c r="A19" s="303" t="s">
        <v>1037</v>
      </c>
      <c r="B19" s="304">
        <v>11</v>
      </c>
      <c r="C19" s="305">
        <f>B19/1.25</f>
        <v>8.8000000000000007</v>
      </c>
      <c r="D19" s="298"/>
    </row>
    <row r="20" spans="1:4" ht="15" customHeight="1" thickBot="1">
      <c r="A20" s="306" t="s">
        <v>1038</v>
      </c>
      <c r="B20" s="307">
        <v>11.1</v>
      </c>
      <c r="C20" s="308">
        <f>B20/1.25</f>
        <v>8.879999999999999</v>
      </c>
      <c r="D20" s="298"/>
    </row>
    <row r="21" spans="1:4" ht="15" customHeight="1">
      <c r="A21" s="288"/>
      <c r="B21" s="298"/>
      <c r="C21" s="309"/>
      <c r="D21" s="309"/>
    </row>
    <row r="22" spans="1:4">
      <c r="A22" s="290"/>
      <c r="B22" s="290"/>
      <c r="C22" s="290"/>
      <c r="D22" s="310"/>
    </row>
    <row r="23" spans="1:4" ht="15">
      <c r="A23" s="290"/>
      <c r="B23" s="290"/>
      <c r="C23" s="290"/>
    </row>
    <row r="24" spans="1:4" ht="15">
      <c r="A24" s="290"/>
      <c r="B24" s="290"/>
      <c r="C24" s="290"/>
    </row>
    <row r="25" spans="1:4" ht="15">
      <c r="A25" s="290"/>
      <c r="B25" s="290"/>
      <c r="C25" s="290"/>
    </row>
    <row r="26" spans="1:4" ht="15">
      <c r="A26" s="290"/>
      <c r="B26" s="290"/>
      <c r="C26" s="290"/>
    </row>
    <row r="27" spans="1:4" ht="15">
      <c r="A27" s="290"/>
      <c r="B27" s="290"/>
      <c r="C27" s="290"/>
    </row>
    <row r="28" spans="1:4" ht="15">
      <c r="A28" s="290"/>
      <c r="B28" s="290"/>
      <c r="C28" s="290"/>
    </row>
    <row r="29" spans="1:4" ht="15">
      <c r="A29" s="290"/>
      <c r="B29" s="290"/>
      <c r="C29" s="290"/>
    </row>
    <row r="30" spans="1:4" ht="15">
      <c r="A30" s="290"/>
      <c r="B30" s="290"/>
      <c r="C30" s="290"/>
    </row>
    <row r="31" spans="1:4" ht="15">
      <c r="A31" s="290"/>
      <c r="B31" s="290"/>
      <c r="C31" s="290"/>
    </row>
    <row r="32" spans="1:4" ht="15">
      <c r="A32" s="290"/>
      <c r="B32" s="290"/>
      <c r="C32" s="290"/>
    </row>
    <row r="33" spans="1:4" ht="15">
      <c r="A33" s="290"/>
      <c r="B33" s="290"/>
      <c r="C33" s="290"/>
    </row>
    <row r="34" spans="1:4" ht="15">
      <c r="A34" s="290"/>
      <c r="B34" s="290"/>
      <c r="C34" s="290"/>
    </row>
    <row r="35" spans="1:4" ht="15">
      <c r="A35" s="290"/>
      <c r="B35" s="290"/>
      <c r="C35" s="290"/>
    </row>
    <row r="36" spans="1:4" ht="15">
      <c r="A36" s="290"/>
      <c r="B36" s="290"/>
      <c r="C36" s="290"/>
    </row>
    <row r="37" spans="1:4" ht="15">
      <c r="A37" s="290"/>
      <c r="B37" s="290"/>
      <c r="C37" s="290"/>
    </row>
    <row r="38" spans="1:4" ht="12.75">
      <c r="A38" s="290"/>
      <c r="B38" s="290"/>
      <c r="C38" s="290"/>
      <c r="D38" s="311"/>
    </row>
    <row r="39" spans="1:4" ht="12.75">
      <c r="A39" s="311"/>
      <c r="B39" s="290"/>
      <c r="C39" s="311"/>
      <c r="D39" s="311"/>
    </row>
    <row r="40" spans="1:4" ht="12.75">
      <c r="A40" s="312"/>
      <c r="B40" s="290"/>
      <c r="C40" s="313"/>
      <c r="D40" s="313"/>
    </row>
    <row r="41" spans="1:4">
      <c r="B41" s="290"/>
    </row>
    <row r="42" spans="1:4">
      <c r="B42" s="290"/>
    </row>
    <row r="43" spans="1:4">
      <c r="B43" s="290"/>
    </row>
    <row r="44" spans="1:4">
      <c r="B44" s="290"/>
    </row>
    <row r="45" spans="1:4">
      <c r="B45" s="290"/>
    </row>
    <row r="46" spans="1:4">
      <c r="B46" s="290"/>
    </row>
    <row r="47" spans="1:4">
      <c r="B47" s="290"/>
    </row>
    <row r="48" spans="1:4">
      <c r="B48" s="290"/>
    </row>
    <row r="49" spans="2:2">
      <c r="B49" s="290"/>
    </row>
    <row r="50" spans="2:2">
      <c r="B50" s="290"/>
    </row>
  </sheetData>
  <sheetProtection selectLockedCells="1"/>
  <mergeCells count="1">
    <mergeCell ref="A3:D3"/>
  </mergeCells>
  <phoneticPr fontId="44" type="noConversion"/>
  <pageMargins left="0.98425196850393704" right="0.39370078740157483" top="0.39370078740157483" bottom="0.39370078740157483" header="0.19685039370078741" footer="0.19685039370078741"/>
  <pageSetup paperSize="9" orientation="portrait" horizontalDpi="4294967293" r:id="rId1"/>
  <headerFooter alignWithMargins="0">
    <oddHeader>&amp;L&amp;8HRVATSKE CESTE d.o.o.&amp;C&amp;8STANDARD REDOVNOG ODRŽAVANJA CESTA 2009.&amp;R&amp;8&amp;D</oddHeader>
    <oddFooter>&amp;L&amp;8&amp;F&amp;C&amp;8&amp;A&amp;R&amp;8&amp;P /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J85"/>
  <sheetViews>
    <sheetView topLeftCell="A57" zoomScale="85" zoomScaleNormal="70" workbookViewId="0">
      <selection activeCell="F77" sqref="F77"/>
    </sheetView>
  </sheetViews>
  <sheetFormatPr defaultRowHeight="15.75"/>
  <cols>
    <col min="1" max="1" width="6.7109375" style="314" customWidth="1"/>
    <col min="2" max="2" width="60.7109375" style="314" customWidth="1"/>
    <col min="3" max="8" width="15.7109375" style="314" customWidth="1"/>
    <col min="9" max="10" width="14.7109375" style="315" customWidth="1"/>
    <col min="11" max="16384" width="9.140625" style="314"/>
  </cols>
  <sheetData>
    <row r="1" spans="1:10" ht="4.9000000000000004" customHeight="1"/>
    <row r="2" spans="1:10" ht="4.9000000000000004" customHeight="1"/>
    <row r="3" spans="1:10" ht="15">
      <c r="A3" s="912" t="s">
        <v>1039</v>
      </c>
      <c r="B3" s="912"/>
      <c r="C3" s="912"/>
      <c r="D3" s="912"/>
      <c r="E3" s="912"/>
      <c r="F3" s="912"/>
      <c r="G3" s="912"/>
      <c r="H3" s="912"/>
      <c r="I3" s="912"/>
      <c r="J3" s="912"/>
    </row>
    <row r="4" spans="1:10" thickBot="1">
      <c r="I4" s="316"/>
      <c r="J4" s="316"/>
    </row>
    <row r="5" spans="1:10" s="317" customFormat="1" ht="19.899999999999999" customHeight="1">
      <c r="A5" s="920" t="s">
        <v>855</v>
      </c>
      <c r="B5" s="913" t="s">
        <v>1040</v>
      </c>
      <c r="C5" s="917" t="s">
        <v>1041</v>
      </c>
      <c r="D5" s="918"/>
      <c r="E5" s="918"/>
      <c r="F5" s="918"/>
      <c r="G5" s="918"/>
      <c r="H5" s="919"/>
      <c r="I5" s="915" t="s">
        <v>1042</v>
      </c>
      <c r="J5" s="915" t="s">
        <v>1043</v>
      </c>
    </row>
    <row r="6" spans="1:10" s="321" customFormat="1" ht="30" customHeight="1" thickBot="1">
      <c r="A6" s="921"/>
      <c r="B6" s="914"/>
      <c r="C6" s="318" t="s">
        <v>1044</v>
      </c>
      <c r="D6" s="319" t="s">
        <v>1045</v>
      </c>
      <c r="E6" s="319" t="s">
        <v>1046</v>
      </c>
      <c r="F6" s="319" t="s">
        <v>1047</v>
      </c>
      <c r="G6" s="319" t="s">
        <v>1048</v>
      </c>
      <c r="H6" s="320" t="s">
        <v>1049</v>
      </c>
      <c r="I6" s="916"/>
      <c r="J6" s="916"/>
    </row>
    <row r="7" spans="1:10" ht="15">
      <c r="A7" s="322" t="s">
        <v>8</v>
      </c>
      <c r="B7" s="323" t="s">
        <v>52</v>
      </c>
      <c r="C7" s="324">
        <v>65000</v>
      </c>
      <c r="D7" s="325">
        <v>110000</v>
      </c>
      <c r="E7" s="325">
        <v>131884.78</v>
      </c>
      <c r="F7" s="325">
        <v>165000</v>
      </c>
      <c r="G7" s="325">
        <v>116239.2</v>
      </c>
      <c r="H7" s="326">
        <v>79000</v>
      </c>
      <c r="I7" s="327">
        <f>ROUND(((SUM(C7:H7)-MIN(C7:H7)-MAX(C7:H7))/(COUNT(C7:H7)-2)),2)</f>
        <v>109281</v>
      </c>
      <c r="J7" s="327">
        <f>ROUND(((SUM(C7:H7)-MIN(C7:H7)-MAX(C7:H7))/(COUNT(C7:H7)-2))/'Devizni tecaj, porez i gorivo'!$B$6,2)</f>
        <v>14555.63</v>
      </c>
    </row>
    <row r="8" spans="1:10" ht="15">
      <c r="A8" s="328" t="s">
        <v>17</v>
      </c>
      <c r="B8" s="329" t="s">
        <v>1050</v>
      </c>
      <c r="C8" s="330"/>
      <c r="D8" s="331">
        <v>89000</v>
      </c>
      <c r="E8" s="331">
        <v>160000</v>
      </c>
      <c r="F8" s="331">
        <v>165000</v>
      </c>
      <c r="G8" s="331">
        <v>94350</v>
      </c>
      <c r="H8" s="332"/>
      <c r="I8" s="333">
        <f t="shared" ref="I8:I65" si="0">ROUND(((SUM(C8:H8)-MIN(C8:H8)-MAX(C8:H8))/(COUNT(C8:H8)-2)),2)</f>
        <v>127175</v>
      </c>
      <c r="J8" s="333">
        <f>ROUND(((SUM(C8:H8)-MIN(C8:H8)-MAX(C8:H8))/(COUNT(C8:H8)-2))/'Devizni tecaj, porez i gorivo'!$B$6,2)</f>
        <v>16939.02</v>
      </c>
    </row>
    <row r="9" spans="1:10" ht="15">
      <c r="A9" s="328" t="s">
        <v>23</v>
      </c>
      <c r="B9" s="329" t="s">
        <v>1051</v>
      </c>
      <c r="C9" s="330"/>
      <c r="D9" s="331">
        <v>189000</v>
      </c>
      <c r="E9" s="331"/>
      <c r="F9" s="331">
        <v>175000</v>
      </c>
      <c r="G9" s="331">
        <v>200022</v>
      </c>
      <c r="H9" s="332"/>
      <c r="I9" s="333">
        <f t="shared" si="0"/>
        <v>189000</v>
      </c>
      <c r="J9" s="333">
        <f>ROUND(((SUM(C9:H9)-MIN(C9:H9)-MAX(C9:H9))/(COUNT(C9:H9)-2))/'Devizni tecaj, porez i gorivo'!$B$6,2)</f>
        <v>25173.77</v>
      </c>
    </row>
    <row r="10" spans="1:10" ht="15">
      <c r="A10" s="328" t="s">
        <v>27</v>
      </c>
      <c r="B10" s="329" t="s">
        <v>1052</v>
      </c>
      <c r="C10" s="334">
        <v>905000</v>
      </c>
      <c r="D10" s="331">
        <v>1147500</v>
      </c>
      <c r="E10" s="331">
        <v>943238</v>
      </c>
      <c r="F10" s="331">
        <v>900000</v>
      </c>
      <c r="G10" s="331">
        <v>596292</v>
      </c>
      <c r="H10" s="332"/>
      <c r="I10" s="333">
        <f t="shared" si="0"/>
        <v>916079.33</v>
      </c>
      <c r="J10" s="333">
        <f>ROUND(((SUM(C10:H10)-MIN(C10:H10)-MAX(C10:H10))/(COUNT(C10:H10)-2))/'Devizni tecaj, porez i gorivo'!$B$6,2)</f>
        <v>122016.79</v>
      </c>
    </row>
    <row r="11" spans="1:10" ht="15">
      <c r="A11" s="328" t="s">
        <v>31</v>
      </c>
      <c r="B11" s="329" t="s">
        <v>58</v>
      </c>
      <c r="C11" s="334"/>
      <c r="D11" s="331">
        <v>650250</v>
      </c>
      <c r="E11" s="331">
        <v>700000</v>
      </c>
      <c r="F11" s="331">
        <v>750000</v>
      </c>
      <c r="G11" s="331">
        <v>576667.19999999995</v>
      </c>
      <c r="H11" s="332"/>
      <c r="I11" s="333">
        <f t="shared" si="0"/>
        <v>675125</v>
      </c>
      <c r="J11" s="333">
        <f>ROUND(((SUM(C11:H11)-MIN(C11:H11)-MAX(C11:H11))/(COUNT(C11:H11)-2))/'Devizni tecaj, porez i gorivo'!$B$6,2)</f>
        <v>89922.98</v>
      </c>
    </row>
    <row r="12" spans="1:10" ht="15">
      <c r="A12" s="328" t="s">
        <v>39</v>
      </c>
      <c r="B12" s="329" t="s">
        <v>1053</v>
      </c>
      <c r="C12" s="334">
        <v>1080000</v>
      </c>
      <c r="D12" s="331">
        <v>803250</v>
      </c>
      <c r="E12" s="331">
        <v>1003486.5</v>
      </c>
      <c r="F12" s="331">
        <v>750000</v>
      </c>
      <c r="G12" s="331">
        <v>1000000</v>
      </c>
      <c r="H12" s="332"/>
      <c r="I12" s="333">
        <f t="shared" si="0"/>
        <v>935578.83</v>
      </c>
      <c r="J12" s="333">
        <f>ROUND(((SUM(C12:H12)-MIN(C12:H12)-MAX(C12:H12))/(COUNT(C12:H12)-2))/'Devizni tecaj, porez i gorivo'!$B$6,2)</f>
        <v>124614.01</v>
      </c>
    </row>
    <row r="13" spans="1:10" ht="15">
      <c r="A13" s="328" t="s">
        <v>561</v>
      </c>
      <c r="B13" s="329" t="s">
        <v>55</v>
      </c>
      <c r="C13" s="334">
        <v>560000</v>
      </c>
      <c r="D13" s="331">
        <v>459000</v>
      </c>
      <c r="E13" s="331">
        <v>453115.5</v>
      </c>
      <c r="F13" s="331">
        <v>446000</v>
      </c>
      <c r="G13" s="331">
        <v>343434</v>
      </c>
      <c r="H13" s="332">
        <v>490000</v>
      </c>
      <c r="I13" s="333">
        <f t="shared" si="0"/>
        <v>462028.88</v>
      </c>
      <c r="J13" s="333">
        <f>ROUND(((SUM(C13:H13)-MIN(C13:H13)-MAX(C13:H13))/(COUNT(C13:H13)-2))/'Devizni tecaj, porez i gorivo'!$B$6,2)</f>
        <v>61539.73</v>
      </c>
    </row>
    <row r="14" spans="1:10" ht="15">
      <c r="A14" s="328" t="s">
        <v>615</v>
      </c>
      <c r="B14" s="329" t="s">
        <v>454</v>
      </c>
      <c r="C14" s="334">
        <v>70000</v>
      </c>
      <c r="D14" s="331">
        <v>70000</v>
      </c>
      <c r="E14" s="331">
        <v>75000</v>
      </c>
      <c r="F14" s="331">
        <v>100600</v>
      </c>
      <c r="G14" s="331">
        <v>75480</v>
      </c>
      <c r="H14" s="332"/>
      <c r="I14" s="333">
        <f t="shared" si="0"/>
        <v>73493.33</v>
      </c>
      <c r="J14" s="333">
        <f>ROUND(((SUM(C14:H14)-MIN(C14:H14)-MAX(C14:H14))/(COUNT(C14:H14)-2))/'Devizni tecaj, porez i gorivo'!$B$6,2)</f>
        <v>9788.91</v>
      </c>
    </row>
    <row r="15" spans="1:10" ht="15">
      <c r="A15" s="328" t="s">
        <v>728</v>
      </c>
      <c r="B15" s="329" t="s">
        <v>1054</v>
      </c>
      <c r="C15" s="334">
        <v>135000</v>
      </c>
      <c r="D15" s="331">
        <v>160650</v>
      </c>
      <c r="E15" s="331">
        <v>136800</v>
      </c>
      <c r="F15" s="331">
        <v>163000</v>
      </c>
      <c r="G15" s="331">
        <v>124542</v>
      </c>
      <c r="H15" s="332"/>
      <c r="I15" s="333">
        <f t="shared" si="0"/>
        <v>144150</v>
      </c>
      <c r="J15" s="333">
        <f>ROUND(((SUM(C15:H15)-MIN(C15:H15)-MAX(C15:H15))/(COUNT(C15:H15)-2))/'Devizni tecaj, porez i gorivo'!$B$6,2)</f>
        <v>19200</v>
      </c>
    </row>
    <row r="16" spans="1:10" ht="15">
      <c r="A16" s="328" t="s">
        <v>762</v>
      </c>
      <c r="B16" s="329" t="s">
        <v>1055</v>
      </c>
      <c r="C16" s="330">
        <v>141000</v>
      </c>
      <c r="D16" s="331">
        <v>237150</v>
      </c>
      <c r="E16" s="331">
        <v>174800</v>
      </c>
      <c r="F16" s="331">
        <v>350000</v>
      </c>
      <c r="G16" s="331">
        <v>184926</v>
      </c>
      <c r="H16" s="332">
        <v>310000</v>
      </c>
      <c r="I16" s="333">
        <f t="shared" si="0"/>
        <v>226719</v>
      </c>
      <c r="J16" s="333">
        <f>ROUND(((SUM(C16:H16)-MIN(C16:H16)-MAX(C16:H16))/(COUNT(C16:H16)-2))/'Devizni tecaj, porez i gorivo'!$B$6,2)</f>
        <v>30197.74</v>
      </c>
    </row>
    <row r="17" spans="1:10" ht="15">
      <c r="A17" s="328" t="s">
        <v>833</v>
      </c>
      <c r="B17" s="329" t="s">
        <v>1056</v>
      </c>
      <c r="C17" s="334">
        <v>671000</v>
      </c>
      <c r="D17" s="331">
        <v>428400</v>
      </c>
      <c r="E17" s="331">
        <v>403400</v>
      </c>
      <c r="F17" s="331">
        <v>480000</v>
      </c>
      <c r="G17" s="331">
        <v>531000</v>
      </c>
      <c r="H17" s="332">
        <v>440000</v>
      </c>
      <c r="I17" s="333">
        <f t="shared" si="0"/>
        <v>469850</v>
      </c>
      <c r="J17" s="333">
        <f>ROUND(((SUM(C17:H17)-MIN(C17:H17)-MAX(C17:H17))/(COUNT(C17:H17)-2))/'Devizni tecaj, porez i gorivo'!$B$6,2)</f>
        <v>62581.47</v>
      </c>
    </row>
    <row r="18" spans="1:10" ht="15">
      <c r="A18" s="328" t="s">
        <v>866</v>
      </c>
      <c r="B18" s="329" t="s">
        <v>1057</v>
      </c>
      <c r="C18" s="330">
        <v>18200</v>
      </c>
      <c r="D18" s="331">
        <v>26000</v>
      </c>
      <c r="E18" s="331">
        <v>16450</v>
      </c>
      <c r="F18" s="331">
        <v>20000</v>
      </c>
      <c r="G18" s="331">
        <v>25000</v>
      </c>
      <c r="H18" s="332">
        <v>32000</v>
      </c>
      <c r="I18" s="333">
        <f t="shared" si="0"/>
        <v>22300</v>
      </c>
      <c r="J18" s="333">
        <f>ROUND(((SUM(C18:H18)-MIN(C18:H18)-MAX(C18:H18))/(COUNT(C18:H18)-2))/'Devizni tecaj, porez i gorivo'!$B$6,2)</f>
        <v>2970.24</v>
      </c>
    </row>
    <row r="19" spans="1:10" ht="15">
      <c r="A19" s="328" t="s">
        <v>868</v>
      </c>
      <c r="B19" s="329" t="s">
        <v>1058</v>
      </c>
      <c r="C19" s="334">
        <v>1165000</v>
      </c>
      <c r="D19" s="331">
        <v>1912500</v>
      </c>
      <c r="E19" s="331">
        <v>953600</v>
      </c>
      <c r="F19" s="331">
        <v>1450000</v>
      </c>
      <c r="G19" s="331">
        <v>1000110</v>
      </c>
      <c r="H19" s="332">
        <v>1450000</v>
      </c>
      <c r="I19" s="333">
        <f t="shared" si="0"/>
        <v>1266277.5</v>
      </c>
      <c r="J19" s="333">
        <f>ROUND(((SUM(C19:H19)-MIN(C19:H19)-MAX(C19:H19))/(COUNT(C19:H19)-2))/'Devizni tecaj, porez i gorivo'!$B$6,2)</f>
        <v>168661.28</v>
      </c>
    </row>
    <row r="20" spans="1:10" ht="15">
      <c r="A20" s="328" t="s">
        <v>870</v>
      </c>
      <c r="B20" s="329" t="s">
        <v>1059</v>
      </c>
      <c r="C20" s="330">
        <v>207000</v>
      </c>
      <c r="D20" s="331"/>
      <c r="E20" s="331"/>
      <c r="F20" s="331"/>
      <c r="G20" s="331"/>
      <c r="H20" s="332"/>
      <c r="I20" s="333">
        <f t="shared" si="0"/>
        <v>207000</v>
      </c>
      <c r="J20" s="333">
        <f>ROUND(((SUM(C20:H20)-MIN(C20:H20)-MAX(C20:H20))/(COUNT(C20:H20)-2))/'Devizni tecaj, porez i gorivo'!$B$6,2)</f>
        <v>27571.27</v>
      </c>
    </row>
    <row r="21" spans="1:10" ht="15">
      <c r="A21" s="328" t="s">
        <v>877</v>
      </c>
      <c r="B21" s="329" t="s">
        <v>1060</v>
      </c>
      <c r="C21" s="334">
        <v>1900000</v>
      </c>
      <c r="D21" s="331">
        <v>1950000</v>
      </c>
      <c r="E21" s="331">
        <v>1880000</v>
      </c>
      <c r="F21" s="331">
        <v>1990000</v>
      </c>
      <c r="G21" s="331">
        <v>1988000</v>
      </c>
      <c r="H21" s="332">
        <v>1780000</v>
      </c>
      <c r="I21" s="333">
        <f t="shared" si="0"/>
        <v>1929500</v>
      </c>
      <c r="J21" s="333">
        <f>ROUND(((SUM(C21:H21)-MIN(C21:H21)-MAX(C21:H21))/(COUNT(C21:H21)-2))/'Devizni tecaj, porez i gorivo'!$B$6,2)</f>
        <v>256998.91</v>
      </c>
    </row>
    <row r="22" spans="1:10" ht="15">
      <c r="A22" s="328" t="s">
        <v>879</v>
      </c>
      <c r="B22" s="329" t="s">
        <v>1061</v>
      </c>
      <c r="C22" s="330">
        <v>684000</v>
      </c>
      <c r="D22" s="335">
        <v>650250</v>
      </c>
      <c r="E22" s="335">
        <v>805985.29</v>
      </c>
      <c r="F22" s="335">
        <v>750000</v>
      </c>
      <c r="G22" s="335">
        <v>537417.6</v>
      </c>
      <c r="H22" s="336">
        <v>610000</v>
      </c>
      <c r="I22" s="333">
        <f>ROUND(((SUM(C22:H22)-MIN(C22:H22)-MAX(C22:H22))/(COUNT(C22:H22)-2)),2)</f>
        <v>673562.5</v>
      </c>
      <c r="J22" s="333">
        <f>ROUND(((SUM(C22:H22)-MIN(C22:H22)-MAX(C22:H22))/(COUNT(C22:H22)-2))/'Devizni tecaj, porez i gorivo'!$B$6,2)</f>
        <v>89714.86</v>
      </c>
    </row>
    <row r="23" spans="1:10" ht="15">
      <c r="A23" s="328" t="s">
        <v>880</v>
      </c>
      <c r="B23" s="329" t="s">
        <v>1062</v>
      </c>
      <c r="C23" s="330">
        <v>217000</v>
      </c>
      <c r="D23" s="335">
        <v>135000</v>
      </c>
      <c r="E23" s="335">
        <v>171415.2</v>
      </c>
      <c r="F23" s="335">
        <v>200000</v>
      </c>
      <c r="G23" s="335">
        <v>169830</v>
      </c>
      <c r="H23" s="336">
        <v>200000</v>
      </c>
      <c r="I23" s="333">
        <f t="shared" si="0"/>
        <v>185311.3</v>
      </c>
      <c r="J23" s="333">
        <f>ROUND(((SUM(C23:H23)-MIN(C23:H23)-MAX(C23:H23))/(COUNT(C23:H23)-2))/'Devizni tecaj, porez i gorivo'!$B$6,2)</f>
        <v>24682.46</v>
      </c>
    </row>
    <row r="24" spans="1:10" ht="15">
      <c r="A24" s="328" t="s">
        <v>881</v>
      </c>
      <c r="B24" s="329" t="s">
        <v>54</v>
      </c>
      <c r="C24" s="334">
        <v>437000</v>
      </c>
      <c r="D24" s="331">
        <v>497250</v>
      </c>
      <c r="E24" s="331">
        <v>560000</v>
      </c>
      <c r="F24" s="331">
        <v>474000</v>
      </c>
      <c r="G24" s="331">
        <v>510244.8</v>
      </c>
      <c r="H24" s="332">
        <v>420000</v>
      </c>
      <c r="I24" s="333">
        <f t="shared" si="0"/>
        <v>479623.7</v>
      </c>
      <c r="J24" s="333">
        <f>ROUND(((SUM(C24:H24)-MIN(C24:H24)-MAX(C24:H24))/(COUNT(C24:H24)-2))/'Devizni tecaj, porez i gorivo'!$B$6,2)</f>
        <v>63883.27</v>
      </c>
    </row>
    <row r="25" spans="1:10" ht="15">
      <c r="A25" s="328" t="s">
        <v>882</v>
      </c>
      <c r="B25" s="329" t="s">
        <v>1063</v>
      </c>
      <c r="C25" s="334">
        <v>690000</v>
      </c>
      <c r="D25" s="331">
        <v>626750</v>
      </c>
      <c r="E25" s="331">
        <v>674150</v>
      </c>
      <c r="F25" s="331">
        <v>700000</v>
      </c>
      <c r="G25" s="331">
        <v>824996.4</v>
      </c>
      <c r="H25" s="332">
        <v>824000</v>
      </c>
      <c r="I25" s="333">
        <f t="shared" si="0"/>
        <v>722037.5</v>
      </c>
      <c r="J25" s="333">
        <f>ROUND(((SUM(C25:H25)-MIN(C25:H25)-MAX(C25:H25))/(COUNT(C25:H25)-2))/'Devizni tecaj, porez i gorivo'!$B$6,2)</f>
        <v>96171.47</v>
      </c>
    </row>
    <row r="26" spans="1:10" ht="15">
      <c r="A26" s="328" t="s">
        <v>883</v>
      </c>
      <c r="B26" s="329" t="s">
        <v>62</v>
      </c>
      <c r="C26" s="334">
        <v>330000</v>
      </c>
      <c r="D26" s="331">
        <v>719100</v>
      </c>
      <c r="E26" s="331">
        <v>470000</v>
      </c>
      <c r="F26" s="331">
        <v>350000</v>
      </c>
      <c r="G26" s="331">
        <v>551758.80000000005</v>
      </c>
      <c r="H26" s="332"/>
      <c r="I26" s="333">
        <f t="shared" si="0"/>
        <v>457252.93</v>
      </c>
      <c r="J26" s="333">
        <f>ROUND(((SUM(C26:H26)-MIN(C26:H26)-MAX(C26:H26))/(COUNT(C26:H26)-2))/'Devizni tecaj, porez i gorivo'!$B$6,2)</f>
        <v>60903.6</v>
      </c>
    </row>
    <row r="27" spans="1:10" ht="15">
      <c r="A27" s="328" t="s">
        <v>884</v>
      </c>
      <c r="B27" s="329" t="s">
        <v>1064</v>
      </c>
      <c r="C27" s="334">
        <v>722000</v>
      </c>
      <c r="D27" s="331">
        <v>750000</v>
      </c>
      <c r="E27" s="331">
        <v>736000</v>
      </c>
      <c r="F27" s="331"/>
      <c r="G27" s="331"/>
      <c r="H27" s="332"/>
      <c r="I27" s="333">
        <f t="shared" si="0"/>
        <v>736000</v>
      </c>
      <c r="J27" s="333">
        <f>ROUND(((SUM(C27:H27)-MIN(C27:H27)-MAX(C27:H27))/(COUNT(C27:H27)-2))/'Devizni tecaj, porez i gorivo'!$B$6,2)</f>
        <v>98031.2</v>
      </c>
    </row>
    <row r="28" spans="1:10" ht="15">
      <c r="A28" s="328" t="s">
        <v>886</v>
      </c>
      <c r="B28" s="329" t="s">
        <v>1065</v>
      </c>
      <c r="C28" s="334">
        <v>850000</v>
      </c>
      <c r="D28" s="331">
        <v>1147500</v>
      </c>
      <c r="E28" s="331">
        <v>805000</v>
      </c>
      <c r="F28" s="331">
        <v>550000</v>
      </c>
      <c r="G28" s="331">
        <v>407592</v>
      </c>
      <c r="H28" s="332"/>
      <c r="I28" s="333">
        <f t="shared" si="0"/>
        <v>735000</v>
      </c>
      <c r="J28" s="333">
        <f>ROUND(((SUM(C28:H28)-MIN(C28:H28)-MAX(C28:H28))/(COUNT(C28:H28)-2))/'Devizni tecaj, porez i gorivo'!$B$6,2)</f>
        <v>97898</v>
      </c>
    </row>
    <row r="29" spans="1:10" ht="15">
      <c r="A29" s="328" t="s">
        <v>888</v>
      </c>
      <c r="B29" s="329" t="s">
        <v>81</v>
      </c>
      <c r="C29" s="334">
        <v>203000</v>
      </c>
      <c r="D29" s="331">
        <v>191250</v>
      </c>
      <c r="E29" s="331">
        <v>222300</v>
      </c>
      <c r="F29" s="331">
        <v>400000</v>
      </c>
      <c r="G29" s="331">
        <v>202286.4</v>
      </c>
      <c r="H29" s="332">
        <v>330000</v>
      </c>
      <c r="I29" s="333">
        <f t="shared" si="0"/>
        <v>239396.6</v>
      </c>
      <c r="J29" s="333">
        <f>ROUND(((SUM(C29:H29)-MIN(C29:H29)-MAX(C29:H29))/(COUNT(C29:H29)-2))/'Devizni tecaj, porez i gorivo'!$B$6,2)</f>
        <v>31886.33</v>
      </c>
    </row>
    <row r="30" spans="1:10" ht="15">
      <c r="A30" s="328" t="s">
        <v>889</v>
      </c>
      <c r="B30" s="329" t="s">
        <v>80</v>
      </c>
      <c r="C30" s="334">
        <v>158000</v>
      </c>
      <c r="D30" s="331">
        <v>168300</v>
      </c>
      <c r="E30" s="331">
        <v>66303.42</v>
      </c>
      <c r="F30" s="331">
        <v>132000</v>
      </c>
      <c r="G30" s="331">
        <v>153224.4</v>
      </c>
      <c r="H30" s="332">
        <v>150000</v>
      </c>
      <c r="I30" s="333">
        <f t="shared" si="0"/>
        <v>148306.1</v>
      </c>
      <c r="J30" s="333">
        <f>ROUND(((SUM(C30:H30)-MIN(C30:H30)-MAX(C30:H30))/(COUNT(C30:H30)-2))/'Devizni tecaj, porez i gorivo'!$B$6,2)</f>
        <v>19753.57</v>
      </c>
    </row>
    <row r="31" spans="1:10" ht="15">
      <c r="A31" s="328" t="s">
        <v>890</v>
      </c>
      <c r="B31" s="329" t="s">
        <v>183</v>
      </c>
      <c r="C31" s="330">
        <v>47000</v>
      </c>
      <c r="D31" s="331">
        <v>56000</v>
      </c>
      <c r="E31" s="331">
        <v>55000</v>
      </c>
      <c r="F31" s="331">
        <v>50000</v>
      </c>
      <c r="G31" s="331">
        <v>52836</v>
      </c>
      <c r="H31" s="332">
        <v>80000</v>
      </c>
      <c r="I31" s="333">
        <f t="shared" si="0"/>
        <v>53459</v>
      </c>
      <c r="J31" s="333">
        <f>ROUND(((SUM(C31:H31)-MIN(C31:H31)-MAX(C31:H31))/(COUNT(C31:H31)-2))/'Devizni tecaj, porez i gorivo'!$B$6,2)</f>
        <v>7120.45</v>
      </c>
    </row>
    <row r="32" spans="1:10" ht="15">
      <c r="A32" s="328" t="s">
        <v>891</v>
      </c>
      <c r="B32" s="329" t="s">
        <v>1066</v>
      </c>
      <c r="C32" s="334">
        <v>3500000</v>
      </c>
      <c r="D32" s="331"/>
      <c r="E32" s="331"/>
      <c r="F32" s="331"/>
      <c r="G32" s="331"/>
      <c r="H32" s="332"/>
      <c r="I32" s="333">
        <f t="shared" si="0"/>
        <v>3500000</v>
      </c>
      <c r="J32" s="333">
        <f>ROUND(((SUM(C32:H32)-MIN(C32:H32)-MAX(C32:H32))/(COUNT(C32:H32)-2))/'Devizni tecaj, porez i gorivo'!$B$6,2)</f>
        <v>466180.97</v>
      </c>
    </row>
    <row r="33" spans="1:10" ht="15">
      <c r="A33" s="328" t="s">
        <v>894</v>
      </c>
      <c r="B33" s="329" t="s">
        <v>813</v>
      </c>
      <c r="C33" s="334">
        <v>1400000</v>
      </c>
      <c r="D33" s="331">
        <v>1683000</v>
      </c>
      <c r="E33" s="331">
        <v>856750</v>
      </c>
      <c r="F33" s="331">
        <v>1800000</v>
      </c>
      <c r="G33" s="331">
        <v>1071816</v>
      </c>
      <c r="H33" s="332">
        <v>1780000</v>
      </c>
      <c r="I33" s="333">
        <f>ROUND(((SUM(C33:H33)-MIN(C33:H33)-MAX(C33:H33))/(COUNT(C33:H33)-2)),2)</f>
        <v>1483704</v>
      </c>
      <c r="J33" s="333">
        <f>ROUND(((SUM(C33:H33)-MIN(C33:H33)-MAX(C33:H33))/(COUNT(C33:H33)-2))/'Devizni tecaj, porez i gorivo'!$B$6,2)</f>
        <v>197621.3</v>
      </c>
    </row>
    <row r="34" spans="1:10" ht="15">
      <c r="A34" s="328" t="s">
        <v>896</v>
      </c>
      <c r="B34" s="329" t="s">
        <v>805</v>
      </c>
      <c r="C34" s="330"/>
      <c r="D34" s="331">
        <v>176000</v>
      </c>
      <c r="E34" s="331">
        <v>170000</v>
      </c>
      <c r="F34" s="331">
        <v>180000</v>
      </c>
      <c r="G34" s="331">
        <v>185680.8</v>
      </c>
      <c r="H34" s="332">
        <v>266000</v>
      </c>
      <c r="I34" s="333">
        <f t="shared" si="0"/>
        <v>180560.27</v>
      </c>
      <c r="J34" s="333">
        <f>ROUND(((SUM(C34:H34)-MIN(C34:H34)-MAX(C34:H34))/(COUNT(C34:H34)-2))/'Devizni tecaj, porez i gorivo'!$B$6,2)</f>
        <v>24049.65</v>
      </c>
    </row>
    <row r="35" spans="1:10" ht="15">
      <c r="A35" s="328" t="s">
        <v>898</v>
      </c>
      <c r="B35" s="329" t="s">
        <v>829</v>
      </c>
      <c r="C35" s="330">
        <v>76000</v>
      </c>
      <c r="D35" s="331">
        <v>72000</v>
      </c>
      <c r="E35" s="331">
        <v>74583.710000000006</v>
      </c>
      <c r="F35" s="331">
        <v>78000</v>
      </c>
      <c r="G35" s="331">
        <v>75480</v>
      </c>
      <c r="H35" s="332">
        <v>90000</v>
      </c>
      <c r="I35" s="333">
        <f t="shared" si="0"/>
        <v>76015.929999999993</v>
      </c>
      <c r="J35" s="333">
        <f>ROUND(((SUM(C35:H35)-MIN(C35:H35)-MAX(C35:H35))/(COUNT(C35:H35)-2))/'Devizni tecaj, porez i gorivo'!$B$6,2)</f>
        <v>10124.91</v>
      </c>
    </row>
    <row r="36" spans="1:10" ht="15">
      <c r="A36" s="328" t="s">
        <v>900</v>
      </c>
      <c r="B36" s="329" t="s">
        <v>804</v>
      </c>
      <c r="C36" s="330">
        <v>68000</v>
      </c>
      <c r="D36" s="331">
        <v>60000</v>
      </c>
      <c r="E36" s="331">
        <v>54900</v>
      </c>
      <c r="F36" s="331">
        <v>71250</v>
      </c>
      <c r="G36" s="331">
        <v>64158</v>
      </c>
      <c r="H36" s="332">
        <v>45000</v>
      </c>
      <c r="I36" s="333">
        <f t="shared" si="0"/>
        <v>61764.5</v>
      </c>
      <c r="J36" s="333">
        <f>ROUND(((SUM(C36:H36)-MIN(C36:H36)-MAX(C36:H36))/(COUNT(C36:H36)-2))/'Devizni tecaj, porez i gorivo'!$B$6,2)</f>
        <v>8226.7000000000007</v>
      </c>
    </row>
    <row r="37" spans="1:10" ht="15">
      <c r="A37" s="328" t="s">
        <v>902</v>
      </c>
      <c r="B37" s="329" t="s">
        <v>795</v>
      </c>
      <c r="C37" s="330">
        <v>91500</v>
      </c>
      <c r="D37" s="331">
        <v>75000</v>
      </c>
      <c r="E37" s="331">
        <v>88400</v>
      </c>
      <c r="F37" s="331">
        <v>90000</v>
      </c>
      <c r="G37" s="331">
        <v>85292.4</v>
      </c>
      <c r="H37" s="332"/>
      <c r="I37" s="333">
        <f t="shared" si="0"/>
        <v>87897.47</v>
      </c>
      <c r="J37" s="333">
        <f>ROUND(((SUM(C37:H37)-MIN(C37:H37)-MAX(C37:H37))/(COUNT(C37:H37)-2))/'Devizni tecaj, porez i gorivo'!$B$6,2)</f>
        <v>11707.46</v>
      </c>
    </row>
    <row r="38" spans="1:10" ht="15">
      <c r="A38" s="328" t="s">
        <v>904</v>
      </c>
      <c r="B38" s="329" t="s">
        <v>796</v>
      </c>
      <c r="C38" s="334">
        <v>200000</v>
      </c>
      <c r="D38" s="331">
        <v>225000</v>
      </c>
      <c r="E38" s="331">
        <v>210000</v>
      </c>
      <c r="F38" s="331">
        <v>210000</v>
      </c>
      <c r="G38" s="331">
        <v>225000</v>
      </c>
      <c r="H38" s="332">
        <v>220000</v>
      </c>
      <c r="I38" s="333">
        <f t="shared" si="0"/>
        <v>216250</v>
      </c>
      <c r="J38" s="333">
        <f>ROUND(((SUM(C38:H38)-MIN(C38:H38)-MAX(C38:H38))/(COUNT(C38:H38)-2))/'Devizni tecaj, porez i gorivo'!$B$6,2)</f>
        <v>28803.32</v>
      </c>
    </row>
    <row r="39" spans="1:10" ht="15">
      <c r="A39" s="328" t="s">
        <v>906</v>
      </c>
      <c r="B39" s="329" t="s">
        <v>1067</v>
      </c>
      <c r="C39" s="334">
        <v>42000</v>
      </c>
      <c r="D39" s="331">
        <v>35000</v>
      </c>
      <c r="E39" s="331">
        <v>48750</v>
      </c>
      <c r="F39" s="331">
        <v>50000</v>
      </c>
      <c r="G39" s="331">
        <v>32456.400000000001</v>
      </c>
      <c r="H39" s="332">
        <v>43000</v>
      </c>
      <c r="I39" s="333">
        <f t="shared" si="0"/>
        <v>42187.5</v>
      </c>
      <c r="J39" s="333">
        <f>ROUND(((SUM(C39:H39)-MIN(C39:H39)-MAX(C39:H39))/(COUNT(C39:H39)-2))/'Devizni tecaj, porez i gorivo'!$B$6,2)</f>
        <v>5619.15</v>
      </c>
    </row>
    <row r="40" spans="1:10" ht="15">
      <c r="A40" s="328" t="s">
        <v>908</v>
      </c>
      <c r="B40" s="329" t="s">
        <v>792</v>
      </c>
      <c r="C40" s="334">
        <v>62000</v>
      </c>
      <c r="D40" s="331"/>
      <c r="E40" s="331"/>
      <c r="F40" s="331"/>
      <c r="G40" s="331"/>
      <c r="H40" s="332"/>
      <c r="I40" s="333">
        <f t="shared" si="0"/>
        <v>62000</v>
      </c>
      <c r="J40" s="333">
        <f>ROUND(((SUM(C40:H40)-MIN(C40:H40)-MAX(C40:H40))/(COUNT(C40:H40)-2))/'Devizni tecaj, porez i gorivo'!$B$6,2)</f>
        <v>8258.06</v>
      </c>
    </row>
    <row r="41" spans="1:10" ht="15">
      <c r="A41" s="328" t="s">
        <v>910</v>
      </c>
      <c r="B41" s="329" t="s">
        <v>59</v>
      </c>
      <c r="C41" s="334">
        <v>1200000</v>
      </c>
      <c r="D41" s="331">
        <v>1071000</v>
      </c>
      <c r="E41" s="331">
        <v>1200000</v>
      </c>
      <c r="F41" s="331">
        <v>1200000</v>
      </c>
      <c r="G41" s="331">
        <v>1200000</v>
      </c>
      <c r="H41" s="332">
        <v>1500000</v>
      </c>
      <c r="I41" s="333">
        <f t="shared" si="0"/>
        <v>1200000</v>
      </c>
      <c r="J41" s="333">
        <f>ROUND(((SUM(C41:H41)-MIN(C41:H41)-MAX(C41:H41))/(COUNT(C41:H41)-2))/'Devizni tecaj, porez i gorivo'!$B$6,2)</f>
        <v>159833.47</v>
      </c>
    </row>
    <row r="42" spans="1:10" ht="15">
      <c r="A42" s="328" t="s">
        <v>912</v>
      </c>
      <c r="B42" s="329" t="s">
        <v>803</v>
      </c>
      <c r="C42" s="334">
        <v>260000</v>
      </c>
      <c r="D42" s="331">
        <v>428400</v>
      </c>
      <c r="E42" s="331">
        <v>333631.15999999997</v>
      </c>
      <c r="F42" s="331">
        <v>300000</v>
      </c>
      <c r="G42" s="331">
        <v>280030.8</v>
      </c>
      <c r="H42" s="332">
        <v>350000</v>
      </c>
      <c r="I42" s="333">
        <f t="shared" si="0"/>
        <v>315915.49</v>
      </c>
      <c r="J42" s="333">
        <f>ROUND(((SUM(C42:H42)-MIN(C42:H42)-MAX(C42:H42))/(COUNT(C42:H42)-2))/'Devizni tecaj, porez i gorivo'!$B$6,2)</f>
        <v>42078.23</v>
      </c>
    </row>
    <row r="43" spans="1:10" ht="15">
      <c r="A43" s="328" t="s">
        <v>914</v>
      </c>
      <c r="B43" s="329" t="s">
        <v>1068</v>
      </c>
      <c r="C43" s="334">
        <v>56500</v>
      </c>
      <c r="D43" s="331">
        <v>151000</v>
      </c>
      <c r="E43" s="331">
        <v>169952</v>
      </c>
      <c r="F43" s="331">
        <v>202500</v>
      </c>
      <c r="G43" s="331">
        <v>94350</v>
      </c>
      <c r="H43" s="332"/>
      <c r="I43" s="333">
        <f t="shared" si="0"/>
        <v>138434</v>
      </c>
      <c r="J43" s="333">
        <f>ROUND(((SUM(C43:H43)-MIN(C43:H43)-MAX(C43:H43))/(COUNT(C43:H43)-2))/'Devizni tecaj, porez i gorivo'!$B$6,2)</f>
        <v>18438.66</v>
      </c>
    </row>
    <row r="44" spans="1:10" ht="15">
      <c r="A44" s="328" t="s">
        <v>916</v>
      </c>
      <c r="B44" s="329" t="s">
        <v>1069</v>
      </c>
      <c r="C44" s="330">
        <v>55000</v>
      </c>
      <c r="D44" s="331">
        <v>75000</v>
      </c>
      <c r="E44" s="331">
        <v>84400</v>
      </c>
      <c r="F44" s="331">
        <v>71250</v>
      </c>
      <c r="G44" s="331">
        <v>70951.199999999997</v>
      </c>
      <c r="H44" s="332"/>
      <c r="I44" s="333">
        <f t="shared" si="0"/>
        <v>72400.399999999994</v>
      </c>
      <c r="J44" s="333">
        <f>ROUND(((SUM(C44:H44)-MIN(C44:H44)-MAX(C44:H44))/(COUNT(C44:H44)-2))/'Devizni tecaj, porez i gorivo'!$B$6,2)</f>
        <v>9643.34</v>
      </c>
    </row>
    <row r="45" spans="1:10" ht="15">
      <c r="A45" s="328" t="s">
        <v>918</v>
      </c>
      <c r="B45" s="329" t="s">
        <v>1070</v>
      </c>
      <c r="C45" s="334">
        <v>190000</v>
      </c>
      <c r="D45" s="331"/>
      <c r="E45" s="331"/>
      <c r="F45" s="331"/>
      <c r="G45" s="331"/>
      <c r="H45" s="332"/>
      <c r="I45" s="333">
        <f t="shared" si="0"/>
        <v>190000</v>
      </c>
      <c r="J45" s="333">
        <f>ROUND(((SUM(C45:H45)-MIN(C45:H45)-MAX(C45:H45))/(COUNT(C45:H45)-2))/'Devizni tecaj, porez i gorivo'!$B$6,2)</f>
        <v>25306.97</v>
      </c>
    </row>
    <row r="46" spans="1:10" ht="15">
      <c r="A46" s="328" t="s">
        <v>920</v>
      </c>
      <c r="B46" s="329" t="s">
        <v>1071</v>
      </c>
      <c r="C46" s="334">
        <v>178000</v>
      </c>
      <c r="D46" s="331"/>
      <c r="E46" s="331"/>
      <c r="F46" s="331"/>
      <c r="G46" s="331"/>
      <c r="H46" s="332"/>
      <c r="I46" s="333">
        <f t="shared" si="0"/>
        <v>178000</v>
      </c>
      <c r="J46" s="333">
        <f>ROUND(((SUM(C46:H46)-MIN(C46:H46)-MAX(C46:H46))/(COUNT(C46:H46)-2))/'Devizni tecaj, porez i gorivo'!$B$6,2)</f>
        <v>23708.63</v>
      </c>
    </row>
    <row r="47" spans="1:10" ht="15">
      <c r="A47" s="328" t="s">
        <v>922</v>
      </c>
      <c r="B47" s="329" t="s">
        <v>1072</v>
      </c>
      <c r="C47" s="334">
        <v>86000</v>
      </c>
      <c r="D47" s="331">
        <v>68000</v>
      </c>
      <c r="E47" s="331">
        <v>50900</v>
      </c>
      <c r="F47" s="331">
        <v>118000</v>
      </c>
      <c r="G47" s="331">
        <v>72460.800000000003</v>
      </c>
      <c r="H47" s="332"/>
      <c r="I47" s="333">
        <f t="shared" si="0"/>
        <v>75486.929999999993</v>
      </c>
      <c r="J47" s="333">
        <f>ROUND(((SUM(C47:H47)-MIN(C47:H47)-MAX(C47:H47))/(COUNT(C47:H47)-2))/'Devizni tecaj, porez i gorivo'!$B$6,2)</f>
        <v>10054.450000000001</v>
      </c>
    </row>
    <row r="48" spans="1:10" ht="28.5">
      <c r="A48" s="328" t="s">
        <v>924</v>
      </c>
      <c r="B48" s="329" t="s">
        <v>1073</v>
      </c>
      <c r="C48" s="334">
        <v>146000</v>
      </c>
      <c r="D48" s="331">
        <v>176000</v>
      </c>
      <c r="E48" s="331">
        <v>190000</v>
      </c>
      <c r="F48" s="331">
        <v>160000</v>
      </c>
      <c r="G48" s="331">
        <v>185680.8</v>
      </c>
      <c r="H48" s="332"/>
      <c r="I48" s="333">
        <f t="shared" si="0"/>
        <v>173893.6</v>
      </c>
      <c r="J48" s="333">
        <f>ROUND(((SUM(C48:H48)-MIN(C48:H48)-MAX(C48:H48))/(COUNT(C48:H48)-2))/'Devizni tecaj, porez i gorivo'!$B$6,2)</f>
        <v>23161.68</v>
      </c>
    </row>
    <row r="49" spans="1:10" ht="15">
      <c r="A49" s="328" t="s">
        <v>926</v>
      </c>
      <c r="B49" s="329" t="s">
        <v>595</v>
      </c>
      <c r="C49" s="334">
        <v>104000</v>
      </c>
      <c r="D49" s="331">
        <v>113000</v>
      </c>
      <c r="E49" s="331">
        <v>128600</v>
      </c>
      <c r="F49" s="331">
        <v>138600</v>
      </c>
      <c r="G49" s="331">
        <v>208324.8</v>
      </c>
      <c r="H49" s="332"/>
      <c r="I49" s="333">
        <f t="shared" si="0"/>
        <v>126733.33</v>
      </c>
      <c r="J49" s="333">
        <f>ROUND(((SUM(C49:H49)-MIN(C49:H49)-MAX(C49:H49))/(COUNT(C49:H49)-2))/'Devizni tecaj, porez i gorivo'!$B$6,2)</f>
        <v>16880.189999999999</v>
      </c>
    </row>
    <row r="50" spans="1:10" ht="15">
      <c r="A50" s="328" t="s">
        <v>928</v>
      </c>
      <c r="B50" s="329" t="s">
        <v>1074</v>
      </c>
      <c r="C50" s="334">
        <v>1300</v>
      </c>
      <c r="D50" s="331">
        <v>5000</v>
      </c>
      <c r="E50" s="331">
        <v>2000</v>
      </c>
      <c r="F50" s="331">
        <v>3000</v>
      </c>
      <c r="G50" s="331">
        <v>5000</v>
      </c>
      <c r="H50" s="332">
        <v>4000</v>
      </c>
      <c r="I50" s="333">
        <f>ROUND(((SUM(C50:H50)-MIN(C50:H50)-MAX(C50:H50))/(COUNT(C50:H50)-2)),2)</f>
        <v>3500</v>
      </c>
      <c r="J50" s="333">
        <f>ROUND(((SUM(C50:H50)-MIN(C50:H50)-MAX(C50:H50))/(COUNT(C50:H50)-2))/'Devizni tecaj, porez i gorivo'!$B$6,2)</f>
        <v>466.18</v>
      </c>
    </row>
    <row r="51" spans="1:10" ht="15">
      <c r="A51" s="328" t="s">
        <v>930</v>
      </c>
      <c r="B51" s="329" t="s">
        <v>1075</v>
      </c>
      <c r="C51" s="334">
        <v>158000</v>
      </c>
      <c r="D51" s="331">
        <v>168300</v>
      </c>
      <c r="E51" s="331">
        <v>66303.42</v>
      </c>
      <c r="F51" s="331">
        <v>132000</v>
      </c>
      <c r="G51" s="331">
        <v>153224.4</v>
      </c>
      <c r="H51" s="332">
        <v>150000</v>
      </c>
      <c r="I51" s="333">
        <f>ROUND(((SUM(C51:H51)-MIN(C51:H51)-MAX(C51:H51))/(COUNT(C51:H51)-2)),2)</f>
        <v>148306.1</v>
      </c>
      <c r="J51" s="333">
        <f>ROUND(((SUM(C51:H51)-MIN(C51:H51)-MAX(C51:H51))/(COUNT(C51:H51)-2))/'Devizni tecaj, porez i gorivo'!$B$6,2)</f>
        <v>19753.57</v>
      </c>
    </row>
    <row r="52" spans="1:10" ht="15">
      <c r="A52" s="328" t="s">
        <v>932</v>
      </c>
      <c r="B52" s="329" t="s">
        <v>1076</v>
      </c>
      <c r="C52" s="334">
        <v>48000</v>
      </c>
      <c r="D52" s="331">
        <v>19800</v>
      </c>
      <c r="E52" s="331">
        <v>42800</v>
      </c>
      <c r="F52" s="331">
        <v>25000</v>
      </c>
      <c r="G52" s="331">
        <v>41134.400000000001</v>
      </c>
      <c r="H52" s="332">
        <v>95000</v>
      </c>
      <c r="I52" s="333">
        <f t="shared" si="0"/>
        <v>39233.599999999999</v>
      </c>
      <c r="J52" s="333">
        <f>ROUND(((SUM(C52:H52)-MIN(C52:H52)-MAX(C52:H52))/(COUNT(C52:H52)-2))/'Devizni tecaj, porez i gorivo'!$B$6,2)</f>
        <v>5225.7</v>
      </c>
    </row>
    <row r="53" spans="1:10" ht="15">
      <c r="A53" s="328" t="s">
        <v>934</v>
      </c>
      <c r="B53" s="329" t="s">
        <v>188</v>
      </c>
      <c r="C53" s="330">
        <v>407000</v>
      </c>
      <c r="D53" s="331">
        <v>220000</v>
      </c>
      <c r="E53" s="331">
        <v>570000</v>
      </c>
      <c r="F53" s="331">
        <v>240000</v>
      </c>
      <c r="G53" s="331">
        <v>351736.8</v>
      </c>
      <c r="H53" s="332"/>
      <c r="I53" s="333">
        <f t="shared" si="0"/>
        <v>332912.27</v>
      </c>
      <c r="J53" s="333">
        <f>ROUND(((SUM(C53:H53)-MIN(C53:H53)-MAX(C53:H53))/(COUNT(C53:H53)-2))/'Devizni tecaj, porez i gorivo'!$B$6,2)</f>
        <v>44342.1</v>
      </c>
    </row>
    <row r="54" spans="1:10" ht="15">
      <c r="A54" s="328" t="s">
        <v>936</v>
      </c>
      <c r="B54" s="329" t="s">
        <v>92</v>
      </c>
      <c r="C54" s="330"/>
      <c r="D54" s="331">
        <v>160000</v>
      </c>
      <c r="E54" s="331"/>
      <c r="F54" s="331">
        <v>172000</v>
      </c>
      <c r="G54" s="331">
        <v>187190.39999999999</v>
      </c>
      <c r="H54" s="332"/>
      <c r="I54" s="333">
        <f t="shared" si="0"/>
        <v>172000</v>
      </c>
      <c r="J54" s="333">
        <f>ROUND(((SUM(C54:H54)-MIN(C54:H54)-MAX(C54:H54))/(COUNT(C54:H54)-2))/'Devizni tecaj, porez i gorivo'!$B$6,2)</f>
        <v>22909.46</v>
      </c>
    </row>
    <row r="55" spans="1:10" ht="15">
      <c r="A55" s="328" t="s">
        <v>939</v>
      </c>
      <c r="B55" s="329" t="s">
        <v>93</v>
      </c>
      <c r="C55" s="330"/>
      <c r="D55" s="331">
        <v>256000</v>
      </c>
      <c r="E55" s="331"/>
      <c r="F55" s="331">
        <v>250000</v>
      </c>
      <c r="G55" s="331">
        <v>285314.40000000002</v>
      </c>
      <c r="H55" s="332"/>
      <c r="I55" s="333">
        <f t="shared" si="0"/>
        <v>256000</v>
      </c>
      <c r="J55" s="333">
        <f>ROUND(((SUM(C55:H55)-MIN(C55:H55)-MAX(C55:H55))/(COUNT(C55:H55)-2))/'Devizni tecaj, porez i gorivo'!$B$6,2)</f>
        <v>34097.81</v>
      </c>
    </row>
    <row r="56" spans="1:10" ht="15">
      <c r="A56" s="328" t="s">
        <v>940</v>
      </c>
      <c r="B56" s="329" t="s">
        <v>1077</v>
      </c>
      <c r="C56" s="334">
        <v>5000</v>
      </c>
      <c r="D56" s="331">
        <v>7500</v>
      </c>
      <c r="E56" s="331">
        <v>5000</v>
      </c>
      <c r="F56" s="331">
        <v>8000</v>
      </c>
      <c r="G56" s="331">
        <v>4200</v>
      </c>
      <c r="H56" s="332">
        <v>8500</v>
      </c>
      <c r="I56" s="333">
        <f t="shared" si="0"/>
        <v>6375</v>
      </c>
      <c r="J56" s="333">
        <f>ROUND(((SUM(C56:H56)-MIN(C56:H56)-MAX(C56:H56))/(COUNT(C56:H56)-2))/'Devizni tecaj, porez i gorivo'!$B$6,2)</f>
        <v>849.12</v>
      </c>
    </row>
    <row r="57" spans="1:10" ht="15">
      <c r="A57" s="328" t="s">
        <v>941</v>
      </c>
      <c r="B57" s="329" t="s">
        <v>1078</v>
      </c>
      <c r="C57" s="334">
        <v>9000</v>
      </c>
      <c r="D57" s="331">
        <v>8200</v>
      </c>
      <c r="E57" s="331">
        <v>3990</v>
      </c>
      <c r="F57" s="331">
        <v>8500</v>
      </c>
      <c r="G57" s="331">
        <v>9057.6</v>
      </c>
      <c r="H57" s="332">
        <v>6000</v>
      </c>
      <c r="I57" s="333">
        <f t="shared" si="0"/>
        <v>7925</v>
      </c>
      <c r="J57" s="333">
        <f>ROUND(((SUM(C57:H57)-MIN(C57:H57)-MAX(C57:H57))/(COUNT(C57:H57)-2))/'Devizni tecaj, porez i gorivo'!$B$6,2)</f>
        <v>1055.57</v>
      </c>
    </row>
    <row r="58" spans="1:10" ht="15">
      <c r="A58" s="328" t="s">
        <v>943</v>
      </c>
      <c r="B58" s="329" t="s">
        <v>1079</v>
      </c>
      <c r="C58" s="334">
        <v>22000</v>
      </c>
      <c r="D58" s="331">
        <v>35000</v>
      </c>
      <c r="E58" s="331">
        <v>16000</v>
      </c>
      <c r="F58" s="331">
        <v>16000</v>
      </c>
      <c r="G58" s="331">
        <v>14000</v>
      </c>
      <c r="H58" s="332">
        <v>28000</v>
      </c>
      <c r="I58" s="333">
        <f t="shared" si="0"/>
        <v>20500</v>
      </c>
      <c r="J58" s="333">
        <f>ROUND(((SUM(C58:H58)-MIN(C58:H58)-MAX(C58:H58))/(COUNT(C58:H58)-2))/'Devizni tecaj, porez i gorivo'!$B$6,2)</f>
        <v>2730.49</v>
      </c>
    </row>
    <row r="59" spans="1:10" ht="15">
      <c r="A59" s="328" t="s">
        <v>945</v>
      </c>
      <c r="B59" s="329" t="s">
        <v>1080</v>
      </c>
      <c r="C59" s="334">
        <v>108000</v>
      </c>
      <c r="D59" s="331"/>
      <c r="E59" s="331"/>
      <c r="F59" s="331"/>
      <c r="G59" s="331"/>
      <c r="H59" s="332"/>
      <c r="I59" s="333">
        <f t="shared" si="0"/>
        <v>108000</v>
      </c>
      <c r="J59" s="333">
        <f>ROUND(((SUM(C59:H59)-MIN(C59:H59)-MAX(C59:H59))/(COUNT(C59:H59)-2))/'Devizni tecaj, porez i gorivo'!$B$6,2)</f>
        <v>14385.01</v>
      </c>
    </row>
    <row r="60" spans="1:10" ht="28.5">
      <c r="A60" s="328" t="s">
        <v>947</v>
      </c>
      <c r="B60" s="329" t="s">
        <v>520</v>
      </c>
      <c r="C60" s="334">
        <v>180000</v>
      </c>
      <c r="D60" s="331"/>
      <c r="E60" s="331"/>
      <c r="F60" s="331"/>
      <c r="G60" s="331"/>
      <c r="H60" s="332"/>
      <c r="I60" s="333">
        <f t="shared" si="0"/>
        <v>180000</v>
      </c>
      <c r="J60" s="333">
        <f>ROUND(((SUM(C60:H60)-MIN(C60:H60)-MAX(C60:H60))/(COUNT(C60:H60)-2))/'Devizni tecaj, porez i gorivo'!$B$6,2)</f>
        <v>23975.02</v>
      </c>
    </row>
    <row r="61" spans="1:10" ht="15">
      <c r="A61" s="328" t="s">
        <v>948</v>
      </c>
      <c r="B61" s="329" t="s">
        <v>478</v>
      </c>
      <c r="C61" s="330">
        <v>65000</v>
      </c>
      <c r="D61" s="331">
        <v>80000</v>
      </c>
      <c r="E61" s="331">
        <v>91884.78</v>
      </c>
      <c r="F61" s="331">
        <v>75000</v>
      </c>
      <c r="G61" s="331">
        <v>76239.199999999997</v>
      </c>
      <c r="H61" s="332">
        <v>79000</v>
      </c>
      <c r="I61" s="333">
        <f>ROUND(((SUM(C61:H61)-MIN(C61:H61)-MAX(C61:H61))/(COUNT(C61:H61)-2)),2)</f>
        <v>77559.8</v>
      </c>
      <c r="J61" s="333">
        <f>ROUND(((SUM(C61:H61)-MIN(C61:H61)-MAX(C61:H61))/(COUNT(C61:H61)-2))/'Devizni tecaj, porez i gorivo'!$B$6,2)</f>
        <v>10330.540000000001</v>
      </c>
    </row>
    <row r="62" spans="1:10" ht="15">
      <c r="A62" s="328" t="s">
        <v>949</v>
      </c>
      <c r="B62" s="329" t="s">
        <v>1081</v>
      </c>
      <c r="C62" s="334">
        <v>94000</v>
      </c>
      <c r="D62" s="331">
        <v>125000</v>
      </c>
      <c r="E62" s="331">
        <v>130000</v>
      </c>
      <c r="F62" s="331">
        <v>150000</v>
      </c>
      <c r="G62" s="331">
        <v>144921.60000000001</v>
      </c>
      <c r="H62" s="332"/>
      <c r="I62" s="333">
        <f t="shared" si="0"/>
        <v>133307.20000000001</v>
      </c>
      <c r="J62" s="333">
        <f>ROUND(((SUM(C62:H62)-MIN(C62:H62)-MAX(C62:H62))/(COUNT(C62:H62)-2))/'Devizni tecaj, porez i gorivo'!$B$6,2)</f>
        <v>17755.79</v>
      </c>
    </row>
    <row r="63" spans="1:10" ht="15">
      <c r="A63" s="328" t="s">
        <v>951</v>
      </c>
      <c r="B63" s="329" t="s">
        <v>644</v>
      </c>
      <c r="C63" s="330">
        <v>260000</v>
      </c>
      <c r="D63" s="331">
        <v>428400</v>
      </c>
      <c r="E63" s="331">
        <v>333631.15999999997</v>
      </c>
      <c r="F63" s="331">
        <v>300000</v>
      </c>
      <c r="G63" s="331">
        <v>280030.8</v>
      </c>
      <c r="H63" s="332">
        <v>250000</v>
      </c>
      <c r="I63" s="333">
        <f>ROUND(((SUM(C63:H63)-MIN(C63:H63)-MAX(C63:H63))/(COUNT(C63:H63)-2)),2)</f>
        <v>293415.49</v>
      </c>
      <c r="J63" s="333">
        <f>ROUND(((SUM(C63:H63)-MIN(C63:H63)-MAX(C63:H63))/(COUNT(C63:H63)-2))/'Devizni tecaj, porez i gorivo'!$B$6,2)</f>
        <v>39081.35</v>
      </c>
    </row>
    <row r="64" spans="1:10" ht="15">
      <c r="A64" s="328" t="s">
        <v>953</v>
      </c>
      <c r="B64" s="329" t="s">
        <v>1082</v>
      </c>
      <c r="C64" s="334">
        <v>20000</v>
      </c>
      <c r="D64" s="331">
        <v>23000</v>
      </c>
      <c r="E64" s="331">
        <v>17974</v>
      </c>
      <c r="F64" s="331">
        <v>25000</v>
      </c>
      <c r="G64" s="331">
        <v>23398.799999999999</v>
      </c>
      <c r="H64" s="332">
        <v>21000</v>
      </c>
      <c r="I64" s="333">
        <f t="shared" si="0"/>
        <v>21849.7</v>
      </c>
      <c r="J64" s="333">
        <f>ROUND(((SUM(C64:H64)-MIN(C64:H64)-MAX(C64:H64))/(COUNT(C64:H64)-2))/'Devizni tecaj, porez i gorivo'!$B$6,2)</f>
        <v>2910.26</v>
      </c>
    </row>
    <row r="65" spans="1:10" ht="15">
      <c r="A65" s="328" t="s">
        <v>955</v>
      </c>
      <c r="B65" s="329" t="s">
        <v>1083</v>
      </c>
      <c r="C65" s="334">
        <v>115000</v>
      </c>
      <c r="D65" s="331">
        <v>28000</v>
      </c>
      <c r="E65" s="331">
        <v>15006.41</v>
      </c>
      <c r="F65" s="331">
        <v>8000</v>
      </c>
      <c r="G65" s="331">
        <v>27927.599999999999</v>
      </c>
      <c r="H65" s="332">
        <v>26000</v>
      </c>
      <c r="I65" s="333">
        <f t="shared" si="0"/>
        <v>24233.5</v>
      </c>
      <c r="J65" s="333">
        <f>ROUND(((SUM(C65:H65)-MIN(C65:H65)-MAX(C65:H65))/(COUNT(C65:H65)-2))/'Devizni tecaj, porez i gorivo'!$B$6,2)</f>
        <v>3227.77</v>
      </c>
    </row>
    <row r="66" spans="1:10" ht="15">
      <c r="A66" s="328" t="s">
        <v>957</v>
      </c>
      <c r="B66" s="329" t="s">
        <v>1084</v>
      </c>
      <c r="C66" s="330">
        <v>600000</v>
      </c>
      <c r="D66" s="331">
        <v>600000</v>
      </c>
      <c r="E66" s="331">
        <v>600000</v>
      </c>
      <c r="F66" s="331">
        <v>600000</v>
      </c>
      <c r="G66" s="331">
        <v>600000</v>
      </c>
      <c r="H66" s="332">
        <v>600000</v>
      </c>
      <c r="I66" s="333">
        <f>ROUND(((SUM(C66:H66)-MIN(C66:H66)-MAX(C66:H66))/(COUNT(C66:H66)-2)),2)</f>
        <v>600000</v>
      </c>
      <c r="J66" s="333">
        <f>ROUND(((SUM(C66:H66)-MIN(C66:H66)-MAX(C66:H66))/(COUNT(C66:H66)-2))/'Devizni tecaj, porez i gorivo'!$B$6,2)</f>
        <v>79916.740000000005</v>
      </c>
    </row>
    <row r="67" spans="1:10" ht="15">
      <c r="A67" s="328" t="s">
        <v>959</v>
      </c>
      <c r="B67" s="329" t="s">
        <v>1085</v>
      </c>
      <c r="C67" s="330">
        <v>300000</v>
      </c>
      <c r="D67" s="331">
        <v>300000</v>
      </c>
      <c r="E67" s="331">
        <v>300000</v>
      </c>
      <c r="F67" s="331">
        <v>300000</v>
      </c>
      <c r="G67" s="331">
        <v>300000</v>
      </c>
      <c r="H67" s="332">
        <v>300000</v>
      </c>
      <c r="I67" s="333">
        <f>ROUND(((SUM(C67:H67)-MIN(C67:H67)-MAX(C67:H67))/(COUNT(C67:H67)-2)),2)</f>
        <v>300000</v>
      </c>
      <c r="J67" s="333">
        <f>ROUND(((SUM(C67:H67)-MIN(C67:H67)-MAX(C67:H67))/(COUNT(C67:H67)-2))/'Devizni tecaj, porez i gorivo'!$B$6,2)</f>
        <v>39958.370000000003</v>
      </c>
    </row>
    <row r="68" spans="1:10" ht="15">
      <c r="A68" s="328" t="s">
        <v>961</v>
      </c>
      <c r="B68" s="329" t="s">
        <v>1086</v>
      </c>
      <c r="C68" s="334">
        <v>190000</v>
      </c>
      <c r="D68" s="331">
        <v>220000</v>
      </c>
      <c r="E68" s="331">
        <v>198000</v>
      </c>
      <c r="F68" s="331"/>
      <c r="G68" s="331"/>
      <c r="H68" s="332"/>
      <c r="I68" s="333">
        <f t="shared" ref="I68:I74" si="1">ROUND(((SUM(C68:H68)-MIN(C68:H68)-MAX(C68:H68))/(COUNT(C68:H68)-2)),2)</f>
        <v>198000</v>
      </c>
      <c r="J68" s="333">
        <f>ROUND(((SUM(C68:H68)-MIN(C68:H68)-MAX(C68:H68))/(COUNT(C68:H68)-2))/'Devizni tecaj, porez i gorivo'!$B$6,2)</f>
        <v>26372.52</v>
      </c>
    </row>
    <row r="69" spans="1:10" ht="15">
      <c r="A69" s="328" t="s">
        <v>963</v>
      </c>
      <c r="B69" s="329" t="s">
        <v>1087</v>
      </c>
      <c r="C69" s="334">
        <v>960000</v>
      </c>
      <c r="D69" s="331">
        <v>560000</v>
      </c>
      <c r="E69" s="331">
        <v>727000</v>
      </c>
      <c r="F69" s="331">
        <v>749000</v>
      </c>
      <c r="G69" s="331"/>
      <c r="H69" s="332"/>
      <c r="I69" s="333">
        <f t="shared" si="1"/>
        <v>738000</v>
      </c>
      <c r="J69" s="333">
        <f>ROUND(((SUM(C69:H69)-MIN(C69:H69)-MAX(C69:H69))/(COUNT(C69:H69)-2))/'Devizni tecaj, porez i gorivo'!$B$6,2)</f>
        <v>98297.59</v>
      </c>
    </row>
    <row r="70" spans="1:10" ht="15">
      <c r="A70" s="328" t="s">
        <v>966</v>
      </c>
      <c r="B70" s="329" t="s">
        <v>1088</v>
      </c>
      <c r="C70" s="334">
        <v>136000</v>
      </c>
      <c r="D70" s="331"/>
      <c r="E70" s="331"/>
      <c r="F70" s="331"/>
      <c r="G70" s="331"/>
      <c r="H70" s="332"/>
      <c r="I70" s="333">
        <f t="shared" si="1"/>
        <v>136000</v>
      </c>
      <c r="J70" s="333">
        <f>ROUND(((SUM(C70:H70)-MIN(C70:H70)-MAX(C70:H70))/(COUNT(C70:H70)-2))/'Devizni tecaj, porez i gorivo'!$B$6,2)</f>
        <v>18114.46</v>
      </c>
    </row>
    <row r="71" spans="1:10" ht="15">
      <c r="A71" s="328" t="s">
        <v>967</v>
      </c>
      <c r="B71" s="329" t="s">
        <v>1089</v>
      </c>
      <c r="C71" s="334">
        <v>174000</v>
      </c>
      <c r="D71" s="331">
        <v>270000</v>
      </c>
      <c r="E71" s="331">
        <v>222000</v>
      </c>
      <c r="F71" s="331"/>
      <c r="G71" s="331"/>
      <c r="H71" s="332"/>
      <c r="I71" s="333">
        <f t="shared" si="1"/>
        <v>222000</v>
      </c>
      <c r="J71" s="333">
        <f>ROUND(((SUM(C71:H71)-MIN(C71:H71)-MAX(C71:H71))/(COUNT(C71:H71)-2))/'Devizni tecaj, porez i gorivo'!$B$6,2)</f>
        <v>29569.19</v>
      </c>
    </row>
    <row r="72" spans="1:10" ht="15">
      <c r="A72" s="328" t="s">
        <v>969</v>
      </c>
      <c r="B72" s="329" t="s">
        <v>1090</v>
      </c>
      <c r="C72" s="334">
        <v>222000</v>
      </c>
      <c r="D72" s="331"/>
      <c r="E72" s="331"/>
      <c r="F72" s="331"/>
      <c r="G72" s="331"/>
      <c r="H72" s="332"/>
      <c r="I72" s="333">
        <f t="shared" si="1"/>
        <v>222000</v>
      </c>
      <c r="J72" s="333">
        <f>ROUND(((SUM(C72:H72)-MIN(C72:H72)-MAX(C72:H72))/(COUNT(C72:H72)-2))/'Devizni tecaj, porez i gorivo'!$B$6,2)</f>
        <v>29569.19</v>
      </c>
    </row>
    <row r="73" spans="1:10" ht="15">
      <c r="A73" s="328" t="s">
        <v>971</v>
      </c>
      <c r="B73" s="329" t="s">
        <v>210</v>
      </c>
      <c r="C73" s="337">
        <v>290000</v>
      </c>
      <c r="D73" s="338"/>
      <c r="E73" s="338"/>
      <c r="F73" s="338"/>
      <c r="G73" s="338"/>
      <c r="H73" s="339"/>
      <c r="I73" s="333">
        <f t="shared" si="1"/>
        <v>290000</v>
      </c>
      <c r="J73" s="333">
        <f>ROUND(((SUM(C73:H73)-MIN(C73:H73)-MAX(C73:H73))/(COUNT(C73:H73)-2))/'Devizni tecaj, porez i gorivo'!$B$6,2)</f>
        <v>38626.42</v>
      </c>
    </row>
    <row r="74" spans="1:10" ht="15">
      <c r="A74" s="328" t="s">
        <v>973</v>
      </c>
      <c r="B74" s="329" t="s">
        <v>1209</v>
      </c>
      <c r="C74" s="337">
        <v>227000</v>
      </c>
      <c r="D74" s="338"/>
      <c r="E74" s="338"/>
      <c r="F74" s="338"/>
      <c r="G74" s="338"/>
      <c r="H74" s="339"/>
      <c r="I74" s="333">
        <f t="shared" si="1"/>
        <v>227000</v>
      </c>
      <c r="J74" s="333">
        <f>ROUND(((SUM(C74:H74)-MIN(C74:H74)-MAX(C74:H74))/(COUNT(C74:H74)-2))/'Devizni tecaj, porez i gorivo'!$B$6,2)</f>
        <v>30235.17</v>
      </c>
    </row>
    <row r="75" spans="1:10" ht="15">
      <c r="A75" s="328" t="s">
        <v>975</v>
      </c>
      <c r="B75" s="329" t="s">
        <v>567</v>
      </c>
      <c r="C75" s="340">
        <v>7500</v>
      </c>
      <c r="D75" s="341"/>
      <c r="E75" s="341"/>
      <c r="F75" s="341"/>
      <c r="G75" s="341"/>
      <c r="H75" s="342"/>
      <c r="I75" s="343">
        <f t="shared" ref="I75:I80" si="2">ROUND(((SUM(C75:H75)-MIN(C75:H75)-MAX(C75:H75))/(COUNT(C75:H75)-2)),2)</f>
        <v>7500</v>
      </c>
      <c r="J75" s="343">
        <f>ROUND(((SUM(C75:H75)-MIN(C75:H75)-MAX(C75:H75))/(COUNT(C75:H75)-2))/'Devizni tecaj, porez i gorivo'!$B$6,2)</f>
        <v>998.96</v>
      </c>
    </row>
    <row r="76" spans="1:10" ht="15">
      <c r="A76" s="328" t="s">
        <v>977</v>
      </c>
      <c r="B76" s="329" t="s">
        <v>1091</v>
      </c>
      <c r="C76" s="340">
        <v>500000</v>
      </c>
      <c r="D76" s="341"/>
      <c r="E76" s="341"/>
      <c r="F76" s="341"/>
      <c r="G76" s="341"/>
      <c r="H76" s="342"/>
      <c r="I76" s="343">
        <f t="shared" si="2"/>
        <v>500000</v>
      </c>
      <c r="J76" s="343">
        <f>ROUND(((SUM(C76:H76)-MIN(C76:H76)-MAX(C76:H76))/(COUNT(C76:H76)-2))/'Devizni tecaj, porez i gorivo'!$B$6,2)</f>
        <v>66597.279999999999</v>
      </c>
    </row>
    <row r="77" spans="1:10" ht="15">
      <c r="A77" s="328" t="s">
        <v>979</v>
      </c>
      <c r="B77" s="329" t="s">
        <v>586</v>
      </c>
      <c r="C77" s="340">
        <v>500000</v>
      </c>
      <c r="D77" s="341"/>
      <c r="E77" s="341"/>
      <c r="F77" s="341"/>
      <c r="G77" s="341"/>
      <c r="H77" s="342"/>
      <c r="I77" s="343">
        <f t="shared" si="2"/>
        <v>500000</v>
      </c>
      <c r="J77" s="343">
        <f>ROUND(((SUM(C77:H77)-MIN(C77:H77)-MAX(C77:H77))/(COUNT(C77:H77)-2))/'Devizni tecaj, porez i gorivo'!$B$6,2)</f>
        <v>66597.279999999999</v>
      </c>
    </row>
    <row r="78" spans="1:10" ht="28.5">
      <c r="A78" s="328" t="s">
        <v>981</v>
      </c>
      <c r="B78" s="329" t="s">
        <v>1092</v>
      </c>
      <c r="C78" s="340">
        <v>280000</v>
      </c>
      <c r="D78" s="341"/>
      <c r="E78" s="341"/>
      <c r="F78" s="341"/>
      <c r="G78" s="341"/>
      <c r="H78" s="342"/>
      <c r="I78" s="343">
        <f t="shared" si="2"/>
        <v>280000</v>
      </c>
      <c r="J78" s="343">
        <f>ROUND(((SUM(C78:H78)-MIN(C78:H78)-MAX(C78:H78))/(COUNT(C78:H78)-2))/'Devizni tecaj, porez i gorivo'!$B$6,2)</f>
        <v>37294.480000000003</v>
      </c>
    </row>
    <row r="79" spans="1:10" ht="15">
      <c r="A79" s="328" t="s">
        <v>983</v>
      </c>
      <c r="B79" s="329" t="s">
        <v>1093</v>
      </c>
      <c r="C79" s="340">
        <v>280000</v>
      </c>
      <c r="D79" s="341"/>
      <c r="E79" s="341"/>
      <c r="F79" s="341"/>
      <c r="G79" s="341"/>
      <c r="H79" s="342"/>
      <c r="I79" s="343">
        <f t="shared" si="2"/>
        <v>280000</v>
      </c>
      <c r="J79" s="343">
        <f>ROUND(((SUM(C79:H79)-MIN(C79:H79)-MAX(C79:H79))/(COUNT(C79:H79)-2))/'Devizni tecaj, porez i gorivo'!$B$6,2)</f>
        <v>37294.480000000003</v>
      </c>
    </row>
    <row r="80" spans="1:10" ht="15">
      <c r="A80" s="328" t="s">
        <v>985</v>
      </c>
      <c r="B80" s="329" t="s">
        <v>1094</v>
      </c>
      <c r="C80" s="340">
        <v>1184000</v>
      </c>
      <c r="D80" s="341">
        <v>800625</v>
      </c>
      <c r="E80" s="341">
        <v>800625</v>
      </c>
      <c r="F80" s="341">
        <v>800625</v>
      </c>
      <c r="G80" s="341">
        <v>800625</v>
      </c>
      <c r="H80" s="341">
        <v>800625</v>
      </c>
      <c r="I80" s="343">
        <f t="shared" si="2"/>
        <v>800625</v>
      </c>
      <c r="J80" s="343">
        <f>ROUND(((SUM(C80:H80)-MIN(C80:H80)-MAX(C80:H80))/(COUNT(C80:H80)-2))/'Devizni tecaj, porez i gorivo'!$B$6,2)</f>
        <v>106638.9</v>
      </c>
    </row>
    <row r="81" spans="1:10" ht="15">
      <c r="A81" s="344" t="s">
        <v>987</v>
      </c>
      <c r="B81" s="345" t="s">
        <v>1095</v>
      </c>
      <c r="C81" s="346">
        <v>15000</v>
      </c>
      <c r="D81" s="347"/>
      <c r="E81" s="347"/>
      <c r="F81" s="347"/>
      <c r="G81" s="347"/>
      <c r="H81" s="348"/>
      <c r="I81" s="349">
        <f>ROUND(((SUM(C81:H81)-MIN(C81:H81)-MAX(C81:H81))/(COUNT(C81:H81)-2)),2)</f>
        <v>15000</v>
      </c>
      <c r="J81" s="349">
        <f>ROUND(((SUM(C81:H81)-MIN(C81:H81)-MAX(C81:H81))/(COUNT(C81:H81)-2))/'Devizni tecaj, porez i gorivo'!$B$6,2)</f>
        <v>1997.92</v>
      </c>
    </row>
    <row r="82" spans="1:10" ht="15">
      <c r="A82" s="328" t="s">
        <v>989</v>
      </c>
      <c r="B82" s="329" t="s">
        <v>1096</v>
      </c>
      <c r="C82" s="340">
        <v>70000</v>
      </c>
      <c r="D82" s="341"/>
      <c r="E82" s="341"/>
      <c r="F82" s="341"/>
      <c r="G82" s="341"/>
      <c r="H82" s="342"/>
      <c r="I82" s="343">
        <f>ROUND(((SUM(C82:H82)-MIN(C82:H82)-MAX(C82:H82))/(COUNT(C82:H82)-2)),2)</f>
        <v>70000</v>
      </c>
      <c r="J82" s="343">
        <f>ROUND(((SUM(C82:H82)-MIN(C82:H82)-MAX(C82:H82))/(COUNT(C82:H82)-2))/'Devizni tecaj, porez i gorivo'!$B$6,2)</f>
        <v>9323.6200000000008</v>
      </c>
    </row>
    <row r="83" spans="1:10" ht="15">
      <c r="A83" s="350" t="s">
        <v>991</v>
      </c>
      <c r="B83" s="351" t="s">
        <v>78</v>
      </c>
      <c r="C83" s="352">
        <v>29500</v>
      </c>
      <c r="D83" s="353">
        <v>114750</v>
      </c>
      <c r="E83" s="353">
        <v>28750</v>
      </c>
      <c r="F83" s="353">
        <v>30000</v>
      </c>
      <c r="G83" s="353">
        <v>83028</v>
      </c>
      <c r="H83" s="354"/>
      <c r="I83" s="355">
        <f>ROUND(((SUM(C83:H83)-MIN(C83:H83)-MAX(C83:H83))/(COUNT(C83:H83)-2)),2)</f>
        <v>47509.33</v>
      </c>
      <c r="J83" s="355">
        <f>ROUND(((SUM(C83:H83)-MIN(C83:H83)-MAX(C83:H83))/(COUNT(C83:H83)-2))/'Devizni tecaj, porez i gorivo'!$B$6,2)</f>
        <v>6327.98</v>
      </c>
    </row>
    <row r="84" spans="1:10" ht="15">
      <c r="A84" s="350">
        <v>78</v>
      </c>
      <c r="B84" s="351" t="s">
        <v>1097</v>
      </c>
      <c r="C84" s="352">
        <v>58000</v>
      </c>
      <c r="D84" s="353">
        <v>56500</v>
      </c>
      <c r="E84" s="353">
        <v>63000</v>
      </c>
      <c r="F84" s="353">
        <v>61000</v>
      </c>
      <c r="G84" s="353">
        <v>59000</v>
      </c>
      <c r="H84" s="354">
        <v>63000</v>
      </c>
      <c r="I84" s="355">
        <f>ROUND(((SUM(C84:H84)-MIN(C84:H84)-MAX(C84:H84))/(COUNT(C84:H84)-2)),2)</f>
        <v>60250</v>
      </c>
      <c r="J84" s="355">
        <f>ROUND(((SUM(C84:H84)-MIN(C84:H84)-MAX(C84:H84))/(COUNT(C84:H84)-2))/'Devizni tecaj, porez i gorivo'!$B$6,2)</f>
        <v>8024.97</v>
      </c>
    </row>
    <row r="85" spans="1:10" ht="15">
      <c r="A85" s="350">
        <v>79</v>
      </c>
      <c r="B85" s="351" t="s">
        <v>811</v>
      </c>
      <c r="C85" s="352">
        <v>30000</v>
      </c>
      <c r="D85" s="353">
        <v>32000</v>
      </c>
      <c r="E85" s="353">
        <v>31500</v>
      </c>
      <c r="F85" s="353">
        <v>36000</v>
      </c>
      <c r="G85" s="353">
        <v>33000</v>
      </c>
      <c r="H85" s="354">
        <v>33500</v>
      </c>
      <c r="I85" s="355">
        <f>ROUND(((SUM(C85:H85)-MIN(C85:H85)-MAX(C85:H85))/(COUNT(C85:H85)-2)),2)</f>
        <v>32500</v>
      </c>
      <c r="J85" s="355">
        <f>ROUND(((SUM(C85:H85)-MIN(C85:H85)-MAX(C85:H85))/(COUNT(C85:H85)-2))/'Devizni tecaj, porez i gorivo'!$B$6,2)</f>
        <v>4328.82</v>
      </c>
    </row>
  </sheetData>
  <sheetProtection selectLockedCells="1"/>
  <mergeCells count="6">
    <mergeCell ref="A3:J3"/>
    <mergeCell ref="B5:B6"/>
    <mergeCell ref="J5:J6"/>
    <mergeCell ref="C5:H5"/>
    <mergeCell ref="A5:A6"/>
    <mergeCell ref="I5:I6"/>
  </mergeCells>
  <phoneticPr fontId="44" type="noConversion"/>
  <pageMargins left="0.98425196850393704" right="0.39370078740157483" top="0.39370078740157483" bottom="0.39370078740157483" header="0.19685039370078741" footer="0.19685039370078741"/>
  <pageSetup paperSize="9" scale="55" orientation="portrait" horizontalDpi="4294967293" r:id="rId1"/>
  <headerFooter alignWithMargins="0">
    <oddHeader>&amp;L&amp;8HRVATSKE CESTE d.o.o.&amp;C&amp;8STANDARD REDOVNOG ODRŽAVANJA CESTA 2009.&amp;R&amp;8&amp;D</oddHeader>
    <oddFooter>&amp;L&amp;8&amp;F&amp;C&amp;8&amp;A&amp;R&amp;8&amp;P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F37"/>
  <sheetViews>
    <sheetView showZeros="0" view="pageBreakPreview" zoomScale="115" zoomScaleNormal="85" zoomScaleSheetLayoutView="115" workbookViewId="0">
      <pane ySplit="7" topLeftCell="A19" activePane="bottomLeft" state="frozen"/>
      <selection activeCell="R308" sqref="R308"/>
      <selection pane="bottomLeft" activeCell="D31" sqref="D31"/>
    </sheetView>
  </sheetViews>
  <sheetFormatPr defaultRowHeight="12.75"/>
  <cols>
    <col min="1" max="1" width="7.140625" style="474" customWidth="1"/>
    <col min="2" max="2" width="45" style="534" customWidth="1"/>
    <col min="3" max="3" width="7" style="475" customWidth="1"/>
    <col min="4" max="4" width="6.85546875" style="476" customWidth="1"/>
    <col min="5" max="5" width="9" style="545" customWidth="1"/>
    <col min="6" max="6" width="10.140625" style="477" customWidth="1"/>
    <col min="7" max="16384" width="9.140625" style="477"/>
  </cols>
  <sheetData>
    <row r="1" spans="1:6" s="473" customFormat="1">
      <c r="A1" s="819" t="s">
        <v>0</v>
      </c>
      <c r="B1" s="820"/>
      <c r="C1" s="825" t="s">
        <v>1197</v>
      </c>
      <c r="D1" s="826"/>
      <c r="E1" s="826"/>
      <c r="F1" s="826"/>
    </row>
    <row r="2" spans="1:6">
      <c r="A2" s="823" t="s">
        <v>1</v>
      </c>
      <c r="B2" s="824"/>
    </row>
    <row r="3" spans="1:6" ht="44.25" customHeight="1">
      <c r="A3" s="821" t="s">
        <v>1195</v>
      </c>
      <c r="B3" s="821"/>
      <c r="C3" s="821"/>
      <c r="D3" s="721"/>
      <c r="E3" s="544"/>
      <c r="F3" s="473"/>
    </row>
    <row r="4" spans="1:6" ht="15" customHeight="1" thickBot="1">
      <c r="A4" s="480"/>
      <c r="B4" s="719" t="s">
        <v>1196</v>
      </c>
      <c r="C4" s="481"/>
      <c r="D4" s="479"/>
      <c r="E4" s="546"/>
    </row>
    <row r="5" spans="1:6" ht="23.25" customHeight="1" thickBot="1">
      <c r="A5" s="480"/>
      <c r="B5" s="535"/>
      <c r="C5" s="481"/>
      <c r="D5" s="816"/>
      <c r="E5" s="817"/>
      <c r="F5" s="818"/>
    </row>
    <row r="6" spans="1:6" s="720" customFormat="1" ht="34.5" thickBot="1">
      <c r="A6" s="482" t="s">
        <v>2</v>
      </c>
      <c r="B6" s="536" t="s">
        <v>3</v>
      </c>
      <c r="C6" s="483" t="s">
        <v>4</v>
      </c>
      <c r="D6" s="483" t="s">
        <v>5</v>
      </c>
      <c r="E6" s="547" t="s">
        <v>6</v>
      </c>
      <c r="F6" s="484" t="s">
        <v>7</v>
      </c>
    </row>
    <row r="7" spans="1:6" s="488" customFormat="1">
      <c r="A7" s="485"/>
      <c r="B7" s="537"/>
      <c r="C7" s="486"/>
      <c r="D7" s="487"/>
      <c r="E7" s="548"/>
    </row>
    <row r="8" spans="1:6" ht="11.25">
      <c r="A8" s="489" t="s">
        <v>8</v>
      </c>
      <c r="B8" s="538" t="s">
        <v>9</v>
      </c>
      <c r="C8" s="490"/>
      <c r="D8" s="491"/>
      <c r="E8" s="549"/>
      <c r="F8" s="492">
        <f>F9</f>
        <v>6200</v>
      </c>
    </row>
    <row r="9" spans="1:6" ht="11.25">
      <c r="A9" s="493" t="s">
        <v>10</v>
      </c>
      <c r="B9" s="539" t="s">
        <v>11</v>
      </c>
      <c r="C9" s="494"/>
      <c r="D9" s="495"/>
      <c r="E9" s="550"/>
      <c r="F9" s="496">
        <f>SUM(F10:F11)</f>
        <v>6200</v>
      </c>
    </row>
    <row r="10" spans="1:6" ht="33.75">
      <c r="A10" s="497" t="s">
        <v>12</v>
      </c>
      <c r="B10" s="540" t="s">
        <v>13</v>
      </c>
      <c r="C10" s="498" t="s">
        <v>14</v>
      </c>
      <c r="D10" s="499">
        <v>1</v>
      </c>
      <c r="E10" s="551">
        <v>5000</v>
      </c>
      <c r="F10" s="500">
        <f>ROUND(ROUND(D10,2)*ROUND(E10,2),2)</f>
        <v>5000</v>
      </c>
    </row>
    <row r="11" spans="1:6" ht="40.5" customHeight="1">
      <c r="A11" s="497" t="s">
        <v>15</v>
      </c>
      <c r="B11" s="540" t="s">
        <v>16</v>
      </c>
      <c r="C11" s="498" t="s">
        <v>14</v>
      </c>
      <c r="D11" s="499">
        <v>1</v>
      </c>
      <c r="E11" s="551">
        <v>1200</v>
      </c>
      <c r="F11" s="500">
        <f>ROUND(ROUND(D11,2)*ROUND(E11,2),2)</f>
        <v>1200</v>
      </c>
    </row>
    <row r="12" spans="1:6" ht="11.25">
      <c r="A12" s="489" t="s">
        <v>17</v>
      </c>
      <c r="B12" s="538" t="s">
        <v>18</v>
      </c>
      <c r="C12" s="490"/>
      <c r="D12" s="491"/>
      <c r="E12" s="549"/>
      <c r="F12" s="492">
        <f>F13</f>
        <v>3000</v>
      </c>
    </row>
    <row r="13" spans="1:6" ht="11.25">
      <c r="A13" s="493" t="s">
        <v>19</v>
      </c>
      <c r="B13" s="539" t="s">
        <v>20</v>
      </c>
      <c r="C13" s="494"/>
      <c r="D13" s="495"/>
      <c r="E13" s="550"/>
      <c r="F13" s="496">
        <f>SUM(F14:F14)</f>
        <v>3000</v>
      </c>
    </row>
    <row r="14" spans="1:6" ht="22.5">
      <c r="A14" s="497" t="s">
        <v>21</v>
      </c>
      <c r="B14" s="540" t="s">
        <v>22</v>
      </c>
      <c r="C14" s="498" t="s">
        <v>1186</v>
      </c>
      <c r="D14" s="499">
        <v>1</v>
      </c>
      <c r="E14" s="551">
        <v>3000</v>
      </c>
      <c r="F14" s="500">
        <f t="shared" ref="F14" si="0">ROUND(ROUND(D14,2)*ROUND(E14,2),2)</f>
        <v>3000</v>
      </c>
    </row>
    <row r="15" spans="1:6" ht="11.25">
      <c r="A15" s="489" t="s">
        <v>23</v>
      </c>
      <c r="B15" s="538" t="s">
        <v>24</v>
      </c>
      <c r="C15" s="490"/>
      <c r="D15" s="491"/>
      <c r="E15" s="549"/>
      <c r="F15" s="492">
        <f>SUM(F16:F16)</f>
        <v>4000</v>
      </c>
    </row>
    <row r="16" spans="1:6" ht="22.5">
      <c r="A16" s="501" t="s">
        <v>25</v>
      </c>
      <c r="B16" s="540" t="s">
        <v>26</v>
      </c>
      <c r="C16" s="498" t="s">
        <v>14</v>
      </c>
      <c r="D16" s="499">
        <v>1</v>
      </c>
      <c r="E16" s="551">
        <v>4000</v>
      </c>
      <c r="F16" s="500">
        <f t="shared" ref="F16" si="1">ROUND(ROUND(D16,2)*ROUND(E16,2),2)</f>
        <v>4000</v>
      </c>
    </row>
    <row r="17" spans="1:6" ht="22.5">
      <c r="A17" s="489" t="s">
        <v>27</v>
      </c>
      <c r="B17" s="538" t="s">
        <v>28</v>
      </c>
      <c r="C17" s="490"/>
      <c r="D17" s="491"/>
      <c r="E17" s="549"/>
      <c r="F17" s="492">
        <f>SUM(F18:F18)</f>
        <v>1000</v>
      </c>
    </row>
    <row r="18" spans="1:6" ht="45">
      <c r="A18" s="501" t="s">
        <v>29</v>
      </c>
      <c r="B18" s="540" t="s">
        <v>1187</v>
      </c>
      <c r="C18" s="498" t="s">
        <v>441</v>
      </c>
      <c r="D18" s="499">
        <v>10</v>
      </c>
      <c r="E18" s="551">
        <v>100</v>
      </c>
      <c r="F18" s="500">
        <f t="shared" ref="F18" si="2">ROUND(ROUND(D18,2)*ROUND(E18,2),2)</f>
        <v>1000</v>
      </c>
    </row>
    <row r="19" spans="1:6" ht="11.25">
      <c r="A19" s="489" t="s">
        <v>31</v>
      </c>
      <c r="B19" s="538" t="s">
        <v>32</v>
      </c>
      <c r="C19" s="490"/>
      <c r="D19" s="491"/>
      <c r="E19" s="549"/>
      <c r="F19" s="492">
        <f>F20</f>
        <v>26600</v>
      </c>
    </row>
    <row r="20" spans="1:6" ht="11.25">
      <c r="A20" s="493" t="s">
        <v>33</v>
      </c>
      <c r="B20" s="539" t="s">
        <v>34</v>
      </c>
      <c r="C20" s="494"/>
      <c r="D20" s="495"/>
      <c r="E20" s="550"/>
      <c r="F20" s="496">
        <f>SUM(F21:F22)</f>
        <v>26600</v>
      </c>
    </row>
    <row r="21" spans="1:6" ht="45">
      <c r="A21" s="501" t="s">
        <v>35</v>
      </c>
      <c r="B21" s="540" t="s">
        <v>36</v>
      </c>
      <c r="C21" s="498" t="s">
        <v>441</v>
      </c>
      <c r="D21" s="499">
        <v>16</v>
      </c>
      <c r="E21" s="551">
        <v>100</v>
      </c>
      <c r="F21" s="500">
        <f t="shared" ref="F21:F22" si="3">ROUND(ROUND(D21,2)*ROUND(E21,2),2)</f>
        <v>1600</v>
      </c>
    </row>
    <row r="22" spans="1:6" ht="33.75">
      <c r="A22" s="501" t="s">
        <v>38</v>
      </c>
      <c r="B22" s="540" t="s">
        <v>1188</v>
      </c>
      <c r="C22" s="498" t="s">
        <v>14</v>
      </c>
      <c r="D22" s="499">
        <v>1</v>
      </c>
      <c r="E22" s="551">
        <v>25000</v>
      </c>
      <c r="F22" s="500">
        <f t="shared" si="3"/>
        <v>25000</v>
      </c>
    </row>
    <row r="23" spans="1:6" ht="11.25">
      <c r="A23" s="489" t="s">
        <v>39</v>
      </c>
      <c r="B23" s="538" t="s">
        <v>40</v>
      </c>
      <c r="C23" s="490"/>
      <c r="D23" s="491"/>
      <c r="E23" s="549"/>
      <c r="F23" s="492">
        <f>F24</f>
        <v>2000</v>
      </c>
    </row>
    <row r="24" spans="1:6" ht="11.25">
      <c r="A24" s="493" t="s">
        <v>41</v>
      </c>
      <c r="B24" s="539" t="s">
        <v>42</v>
      </c>
      <c r="C24" s="494"/>
      <c r="D24" s="495"/>
      <c r="E24" s="550"/>
      <c r="F24" s="496">
        <f>SUM(F25:F25)</f>
        <v>2000</v>
      </c>
    </row>
    <row r="25" spans="1:6" ht="33.75">
      <c r="A25" s="497" t="s">
        <v>43</v>
      </c>
      <c r="B25" s="540" t="s">
        <v>1206</v>
      </c>
      <c r="C25" s="498" t="s">
        <v>14</v>
      </c>
      <c r="D25" s="499">
        <v>1</v>
      </c>
      <c r="E25" s="551">
        <v>2000</v>
      </c>
      <c r="F25" s="500">
        <f t="shared" ref="F25" si="4">ROUND(ROUND(D25,2)*ROUND(E25,2),2)</f>
        <v>2000</v>
      </c>
    </row>
    <row r="26" spans="1:6" s="505" customFormat="1">
      <c r="A26" s="502"/>
      <c r="B26" s="541"/>
      <c r="C26" s="503"/>
      <c r="D26" s="503"/>
      <c r="E26" s="552"/>
      <c r="F26" s="504"/>
    </row>
    <row r="27" spans="1:6" s="505" customFormat="1">
      <c r="A27" s="822" t="s">
        <v>48</v>
      </c>
      <c r="B27" s="822"/>
      <c r="C27" s="506"/>
      <c r="D27" s="506"/>
      <c r="E27" s="553"/>
      <c r="F27" s="695">
        <f>F8+F12+F15+F17+F19+F23</f>
        <v>42800</v>
      </c>
    </row>
    <row r="28" spans="1:6" ht="11.25">
      <c r="A28" s="690"/>
      <c r="B28" s="691" t="s">
        <v>49</v>
      </c>
      <c r="C28" s="506"/>
      <c r="D28" s="506"/>
      <c r="E28" s="553"/>
      <c r="F28" s="695">
        <f>SUM(F27*25%)</f>
        <v>10700</v>
      </c>
    </row>
    <row r="29" spans="1:6" ht="11.25">
      <c r="A29" s="690"/>
      <c r="B29" s="691" t="s">
        <v>50</v>
      </c>
      <c r="C29" s="506"/>
      <c r="D29" s="506"/>
      <c r="E29" s="553"/>
      <c r="F29" s="695">
        <f>SUM(F27:F28)</f>
        <v>53500</v>
      </c>
    </row>
    <row r="35" spans="2:3">
      <c r="B35" s="509" t="s">
        <v>1189</v>
      </c>
      <c r="C35" s="533" t="s">
        <v>1190</v>
      </c>
    </row>
    <row r="36" spans="2:3">
      <c r="B36" s="509"/>
      <c r="C36" s="533"/>
    </row>
    <row r="37" spans="2:3">
      <c r="B37" s="509" t="s">
        <v>1193</v>
      </c>
      <c r="C37" s="533" t="s">
        <v>1194</v>
      </c>
    </row>
  </sheetData>
  <mergeCells count="6">
    <mergeCell ref="A27:B27"/>
    <mergeCell ref="A1:B1"/>
    <mergeCell ref="C1:F1"/>
    <mergeCell ref="A2:B2"/>
    <mergeCell ref="A3:C3"/>
    <mergeCell ref="D5:F5"/>
  </mergeCells>
  <printOptions horizontalCentered="1"/>
  <pageMargins left="0" right="0" top="0.39370078740157483" bottom="0.39370078740157483" header="0.19685039370078741" footer="0.19685039370078741"/>
  <pageSetup paperSize="9" scale="80" fitToWidth="0" fitToHeight="13" orientation="portrait" verticalDpi="597" r:id="rId1"/>
  <headerFooter alignWithMargins="0">
    <oddHeader>&amp;C&amp;5TROŠKOVNIK RADOVA REDOVITOG ODRŽAVANJA I ZAŠTITE DRŽAVNIH CESTA</oddHeader>
    <oddFooter>&amp;L&amp;5&amp;F&amp;R&amp;5&amp;P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</sheetPr>
  <dimension ref="A1:CB58"/>
  <sheetViews>
    <sheetView zoomScale="115" zoomScaleNormal="115" zoomScaleSheetLayoutView="75" workbookViewId="0">
      <pane xSplit="1" ySplit="4" topLeftCell="BQ36" activePane="bottomRight" state="frozen"/>
      <selection pane="topRight" activeCell="B21" sqref="B21"/>
      <selection pane="bottomLeft" activeCell="B21" sqref="B21"/>
      <selection pane="bottomRight" activeCell="D76" sqref="D76"/>
    </sheetView>
  </sheetViews>
  <sheetFormatPr defaultColWidth="9.28515625" defaultRowHeight="12.75"/>
  <cols>
    <col min="1" max="1" width="55.140625" style="356" customWidth="1"/>
    <col min="2" max="2" width="28.7109375" style="357" customWidth="1"/>
    <col min="3" max="55" width="28.7109375" style="312" customWidth="1"/>
    <col min="56" max="56" width="28.7109375" style="357" customWidth="1"/>
    <col min="57" max="62" width="28.7109375" style="312" customWidth="1"/>
    <col min="63" max="70" width="28.7109375" style="290" customWidth="1"/>
    <col min="71" max="74" width="28.7109375" style="358" customWidth="1"/>
    <col min="75" max="78" width="28.7109375" style="290" customWidth="1"/>
    <col min="79" max="79" width="26" style="290" customWidth="1"/>
    <col min="80" max="80" width="29.7109375" style="290" customWidth="1"/>
    <col min="81" max="16384" width="9.28515625" style="290"/>
  </cols>
  <sheetData>
    <row r="1" spans="1:80" ht="13.5" customHeight="1">
      <c r="BS1" s="677"/>
      <c r="BT1" s="677"/>
      <c r="BU1" s="677"/>
      <c r="BV1" s="677"/>
      <c r="CB1" s="312"/>
    </row>
    <row r="2" spans="1:80">
      <c r="A2" s="359" t="s">
        <v>1098</v>
      </c>
      <c r="S2" s="360"/>
      <c r="BS2" s="677"/>
      <c r="BT2" s="677"/>
      <c r="BU2" s="677"/>
      <c r="BV2" s="677"/>
      <c r="CB2" s="312"/>
    </row>
    <row r="3" spans="1:80" s="363" customFormat="1" ht="12" customHeight="1">
      <c r="A3" s="361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S3" s="364"/>
      <c r="BT3" s="364"/>
      <c r="BU3" s="364"/>
      <c r="BV3" s="364"/>
      <c r="CB3" s="362"/>
    </row>
    <row r="4" spans="1:80" s="369" customFormat="1" ht="60" customHeight="1">
      <c r="A4" s="191"/>
      <c r="B4" s="365" t="str">
        <f>'Nabavna cijena'!$B7</f>
        <v>Ophodarsko vozilo</v>
      </c>
      <c r="C4" s="365" t="str">
        <f>'Nabavna cijena'!$B8</f>
        <v>Vozilo za vage (citroen jumper)</v>
      </c>
      <c r="D4" s="365" t="str">
        <f>'Nabavna cijena'!$B9</f>
        <v>Vage</v>
      </c>
      <c r="E4" s="365" t="str">
        <f>'Nabavna cijena'!$B10</f>
        <v>Grejder</v>
      </c>
      <c r="F4" s="365" t="str">
        <f>'Nabavna cijena'!$B11</f>
        <v>Utovarivač</v>
      </c>
      <c r="G4" s="365" t="str">
        <f>'Nabavna cijena'!$B12</f>
        <v>Rovokopač (bager) na kotačima</v>
      </c>
      <c r="H4" s="365" t="str">
        <f>'Nabavna cijena'!$B13</f>
        <v>Rovokopač - utovarivač</v>
      </c>
      <c r="I4" s="365" t="str">
        <f>'Nabavna cijena'!$B14</f>
        <v>Pneumatski čekić</v>
      </c>
      <c r="J4" s="365" t="str">
        <f>'Nabavna cijena'!$B15</f>
        <v>Valjak do 2 t</v>
      </c>
      <c r="K4" s="365" t="str">
        <f>'Nabavna cijena'!$B16</f>
        <v>Valjak 2-6 t</v>
      </c>
      <c r="L4" s="365" t="str">
        <f>'Nabavna cijena'!$B17</f>
        <v>Valjak &gt; 6 t</v>
      </c>
      <c r="M4" s="365" t="str">
        <f>'Nabavna cijena'!$B18</f>
        <v>Rezač asfalta</v>
      </c>
      <c r="N4" s="365" t="str">
        <f>'Nabavna cijena'!$B19</f>
        <v>Freza za asfalt</v>
      </c>
      <c r="O4" s="365" t="str">
        <f>'Nabavna cijena'!$B20</f>
        <v>Cisterna za bitumensku emulziju s rampom za prskanje</v>
      </c>
      <c r="P4" s="365" t="str">
        <f>'Nabavna cijena'!$B21</f>
        <v xml:space="preserve">Finišer širine polaganja asfalta 5,0-7,0 m </v>
      </c>
      <c r="Q4" s="365" t="str">
        <f>'Nabavna cijena'!B22</f>
        <v>Finišer za remiks</v>
      </c>
      <c r="R4" s="365" t="str">
        <f>'Nabavna cijena'!$B23</f>
        <v>Kamion do 2 t</v>
      </c>
      <c r="S4" s="365" t="str">
        <f>'Nabavna cijena'!$B24</f>
        <v>Teretni automobil nosivosti 3,5 - 12 t</v>
      </c>
      <c r="T4" s="365" t="str">
        <f>'Nabavna cijena'!$B25</f>
        <v>Teretni automobil nosivosti &gt; 12 t</v>
      </c>
      <c r="U4" s="365" t="str">
        <f>'Nabavna cijena'!$B26</f>
        <v>Teretni automobil cisterna</v>
      </c>
      <c r="V4" s="365" t="str">
        <f>'Nabavna cijena'!$B27</f>
        <v>Teretni automobil nosivosti 3,5-12 t sa dizalicom</v>
      </c>
      <c r="W4" s="365" t="str">
        <f>'Nabavna cijena'!$B28</f>
        <v>Autodizalica 28 t</v>
      </c>
      <c r="X4" s="365" t="str">
        <f>'Nabavna cijena'!$B29</f>
        <v>Prikolica za prijevoz stroja nosivosti 24 t</v>
      </c>
      <c r="Y4" s="365" t="str">
        <f>'Nabavna cijena'!$B30</f>
        <v>Prikolica za prijevoz stroja nosivosti 7 t</v>
      </c>
      <c r="Z4" s="365" t="str">
        <f>'Nabavna cijena'!$B31</f>
        <v>Prikolica za prijevoz stroja nosivosti 3,5 t</v>
      </c>
      <c r="AA4" s="365" t="str">
        <f>'Nabavna cijena'!$B32</f>
        <v>Specijalni stroj (Mulag)</v>
      </c>
      <c r="AB4" s="365" t="str">
        <f>'Nabavna cijena'!B33</f>
        <v>Snježna freza (samohodna)</v>
      </c>
      <c r="AC4" s="365" t="str">
        <f>'Nabavna cijena'!$B34</f>
        <v>Odbacivač snijega</v>
      </c>
      <c r="AD4" s="365" t="str">
        <f>'Nabavna cijena'!$B35</f>
        <v>Uređaj za pripremu sredstva za mokro posipanje</v>
      </c>
      <c r="AE4" s="365" t="str">
        <f>'Nabavna cijena'!$B36</f>
        <v>Manja ralica</v>
      </c>
      <c r="AF4" s="365" t="str">
        <f>'Nabavna cijena'!$B37</f>
        <v>Snježni plug radne širine do 3,5 m</v>
      </c>
      <c r="AG4" s="365" t="str">
        <f>'Nabavna cijena'!$B38</f>
        <v>Silosni posipač zapremine 6,0 m3</v>
      </c>
      <c r="AH4" s="365" t="str">
        <f>'Nabavna cijena'!$B39</f>
        <v>Vučni posipač</v>
      </c>
      <c r="AI4" s="365" t="str">
        <f>'Nabavna cijena'!$B40</f>
        <v>Silosni posipač zapremine 1,0 m3</v>
      </c>
      <c r="AJ4" s="365" t="str">
        <f>'Nabavna cijena'!$B41</f>
        <v>Specijalni stroj (Unimog)</v>
      </c>
      <c r="AK4" s="365" t="str">
        <f>'Nabavna cijena'!$B42</f>
        <v>Traktor</v>
      </c>
      <c r="AL4" s="365" t="str">
        <f>'Nabavna cijena'!$B43</f>
        <v>Silosni posipač za specijalni stroj (Unimog)</v>
      </c>
      <c r="AM4" s="365" t="str">
        <f>'Nabavna cijena'!$B44</f>
        <v>Snježni plug za specijani stroj (Unimog)</v>
      </c>
      <c r="AN4" s="365" t="str">
        <f>'Nabavna cijena'!$B45</f>
        <v>Hidraulička ruka sa kosilicom za specijalni stroj (Unimog)</v>
      </c>
      <c r="AO4" s="365" t="str">
        <f>'Nabavna cijena'!$B46</f>
        <v>Hidraulička ruka sa kosilicom za traktor</v>
      </c>
      <c r="AP4" s="365" t="str">
        <f>'Nabavna cijena'!$B47</f>
        <v>Četka za kolnik za specijalni stroj (Unimog)</v>
      </c>
      <c r="AQ4" s="365" t="str">
        <f>'Nabavna cijena'!$B48</f>
        <v>Hidraulička ruka sa škarama za rezanje granja za specijalni stroj (Unimog)</v>
      </c>
      <c r="AR4" s="365" t="str">
        <f>'Nabavna cijena'!$B49</f>
        <v>Mlin za granje (drobilica)</v>
      </c>
      <c r="AS4" s="365" t="str">
        <f>'Nabavna cijena'!B50</f>
        <v>Motorna pila</v>
      </c>
      <c r="AT4" s="365" t="str">
        <f>'Nabavna cijena'!B51</f>
        <v>Traktorska prikolica</v>
      </c>
      <c r="AU4" s="365" t="str">
        <f>'Nabavna cijena'!$B52</f>
        <v>Traktorska utovarna korpa</v>
      </c>
      <c r="AV4" s="365" t="str">
        <f>'Nabavna cijena'!$B53</f>
        <v>Freza za uklanjanje nadvišenih dijelova bankine</v>
      </c>
      <c r="AW4" s="365" t="str">
        <f>'Nabavna cijena'!$B54</f>
        <v>Freza za fuge SSF 12</v>
      </c>
      <c r="AX4" s="365" t="str">
        <f>'Nabavna cijena'!$B55</f>
        <v>Stroj za fugiranje RWK 190/150</v>
      </c>
      <c r="AY4" s="365" t="str">
        <f>'Nabavna cijena'!$B56</f>
        <v>Betonska miješalica</v>
      </c>
      <c r="AZ4" s="365" t="str">
        <f>'Nabavna cijena'!$B57</f>
        <v>Pumpa za vodu</v>
      </c>
      <c r="BA4" s="365" t="str">
        <f>'Nabavna cijena'!$B58</f>
        <v>Vibroploča</v>
      </c>
      <c r="BB4" s="365" t="str">
        <f>'Nabavna cijena'!$B59</f>
        <v>Skidač oznaka na kolniku</v>
      </c>
      <c r="BC4" s="365" t="str">
        <f>'Nabavna cijena'!$B60</f>
        <v>Ručno vođeni stroj za nanošenje boje sa bezračnim "Airless" rasprskavajućim pištoljem</v>
      </c>
      <c r="BD4" s="365" t="str">
        <f>'Nabavna cijena'!B61</f>
        <v>Trokolica</v>
      </c>
      <c r="BE4" s="365" t="str">
        <f>'Nabavna cijena'!$B62</f>
        <v>Pokretni kompresor s priključcima</v>
      </c>
      <c r="BF4" s="365" t="str">
        <f>'Nabavna cijena'!B63</f>
        <v>Hidraulična košara</v>
      </c>
      <c r="BG4" s="365" t="str">
        <f>'Nabavna cijena'!$B64</f>
        <v>Pokretni semafor</v>
      </c>
      <c r="BH4" s="365" t="str">
        <f>'Nabavna cijena'!$B65</f>
        <v>Prijenosni agregat za struju s priključcima</v>
      </c>
      <c r="BI4" s="365" t="str">
        <f>'Nabavna cijena'!B66</f>
        <v>Silos za sol</v>
      </c>
      <c r="BJ4" s="365" t="str">
        <f>'Nabavna cijena'!B67</f>
        <v>Nadstrešnica za sol</v>
      </c>
      <c r="BK4" s="365" t="str">
        <f>'Nabavna cijena'!B68</f>
        <v>Termokontejner za asfalt (6t)</v>
      </c>
      <c r="BL4" s="366" t="str">
        <f>'Nabavna cijena'!B69</f>
        <v>Mali finišer širine polaganja asfalta 0,5-3,2 m</v>
      </c>
      <c r="BM4" s="366" t="str">
        <f>'Nabavna cijena'!B70</f>
        <v>Malčer - rotositnilica za bager</v>
      </c>
      <c r="BN4" s="367" t="str">
        <f>'Nabavna cijena'!B71</f>
        <v>Mini rovokopač (bager)</v>
      </c>
      <c r="BO4" s="366" t="str">
        <f>'Nabavna cijena'!B72</f>
        <v>Mini utovarivač</v>
      </c>
      <c r="BP4" s="367" t="str">
        <f>'Nabavna cijena'!B73</f>
        <v>Stroj za izradu bankina</v>
      </c>
      <c r="BQ4" s="641" t="str">
        <f>'Nabavna cijena'!B74</f>
        <v>Teretni automobil nosivosti do 3,5t</v>
      </c>
      <c r="BR4" s="365" t="str">
        <f>'Nabavna cijena'!B75</f>
        <v>Ručni trimer za travu</v>
      </c>
      <c r="BS4" s="368" t="str">
        <f>'Nabavna cijena'!B76</f>
        <v>Priključak za specijalni stroj (Unimog) - usisavač trave</v>
      </c>
      <c r="BT4" s="365" t="str">
        <f>'Nabavna cijena'!B77</f>
        <v>Priključak za traktor - usisavač trave</v>
      </c>
      <c r="BU4" s="368" t="str">
        <f>'Nabavna cijena'!B78</f>
        <v>Priključak za specijalni stroj (Unimog)  - prikolica za skupljanje usisane trave</v>
      </c>
      <c r="BV4" s="365" t="str">
        <f>'Nabavna cijena'!B79</f>
        <v>Priključak za traktor  - prikolica za skupljanje usisane trave</v>
      </c>
      <c r="BW4" s="638" t="str">
        <f>'Nabavna cijena'!B80</f>
        <v>Samohodni stroj za oznake na kolniku + Amakos</v>
      </c>
      <c r="BX4" s="365" t="str">
        <f>'Nabavna cijena'!B81</f>
        <v>Pervibrator</v>
      </c>
      <c r="BY4" s="365" t="str">
        <f>'Nabavna cijena'!B82</f>
        <v>Četka za mini utovarivač</v>
      </c>
      <c r="BZ4" s="365" t="str">
        <f>'Nabavna cijena'!B83</f>
        <v>Ručna prijenosna prskalica za bitumensku emulziju</v>
      </c>
      <c r="CA4" s="367" t="str">
        <f>'Nabavna cijena'!B84</f>
        <v>Viličar</v>
      </c>
      <c r="CB4" s="365" t="str">
        <f>'Nabavna cijena'!B85</f>
        <v>Snježna freza - ručna</v>
      </c>
    </row>
    <row r="5" spans="1:80" ht="15.75" customHeight="1">
      <c r="A5" s="370" t="s">
        <v>1099</v>
      </c>
      <c r="B5" s="371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1"/>
      <c r="BE5" s="372"/>
      <c r="BF5" s="372"/>
      <c r="BG5" s="372"/>
      <c r="BH5" s="372"/>
      <c r="BI5" s="372"/>
      <c r="BJ5" s="372"/>
      <c r="BK5" s="373"/>
      <c r="BL5" s="372"/>
      <c r="BM5" s="372"/>
      <c r="BN5" s="372"/>
      <c r="BO5" s="372"/>
      <c r="BP5" s="372"/>
      <c r="BQ5" s="372"/>
      <c r="BR5" s="372"/>
      <c r="BS5" s="678"/>
      <c r="BT5" s="678"/>
      <c r="BU5" s="678"/>
      <c r="BV5" s="678"/>
      <c r="BW5" s="372"/>
      <c r="BX5" s="372"/>
      <c r="BY5" s="372"/>
      <c r="BZ5" s="372"/>
      <c r="CA5" s="372"/>
      <c r="CB5" s="372"/>
    </row>
    <row r="6" spans="1:80" s="437" customFormat="1" ht="15.75" customHeight="1">
      <c r="A6" s="374" t="s">
        <v>1100</v>
      </c>
      <c r="B6" s="375">
        <v>0</v>
      </c>
      <c r="C6" s="376">
        <v>0</v>
      </c>
      <c r="D6" s="376">
        <v>0</v>
      </c>
      <c r="E6" s="376">
        <f>'Cjenik RS'!$D$15/'Cjenik RS'!$D$6</f>
        <v>35.865624999999994</v>
      </c>
      <c r="F6" s="376">
        <f>'Cjenik RS'!$D$15/'Cjenik RS'!$D$6</f>
        <v>35.865624999999994</v>
      </c>
      <c r="G6" s="376">
        <f>'Cjenik RS'!$D$15/'Cjenik RS'!$D$6</f>
        <v>35.865624999999994</v>
      </c>
      <c r="H6" s="376">
        <f>'Cjenik RS'!$D$14/'Cjenik RS'!$D$6</f>
        <v>31.806249999999999</v>
      </c>
      <c r="I6" s="376">
        <f>'Cjenik RS'!$D$12/'Cjenik RS'!$D$6</f>
        <v>30.793749999999999</v>
      </c>
      <c r="J6" s="376">
        <f>'Cjenik RS'!$D$14/'Cjenik RS'!$D$6</f>
        <v>31.806249999999999</v>
      </c>
      <c r="K6" s="376">
        <f>'Cjenik RS'!$D$14/'Cjenik RS'!$D$6</f>
        <v>31.806249999999999</v>
      </c>
      <c r="L6" s="376">
        <f>'Cjenik RS'!$D$14/'Cjenik RS'!$D$6</f>
        <v>31.806249999999999</v>
      </c>
      <c r="M6" s="376">
        <f>'Cjenik RS'!$D$12/'Cjenik RS'!$D$6</f>
        <v>30.793749999999999</v>
      </c>
      <c r="N6" s="376">
        <f>'Cjenik RS'!$D$15/'Cjenik RS'!$D$6</f>
        <v>35.865624999999994</v>
      </c>
      <c r="O6" s="376">
        <f>'Cjenik RS'!$D$12/'Cjenik RS'!$D$6</f>
        <v>30.793749999999999</v>
      </c>
      <c r="P6" s="376">
        <f>'Cjenik RS'!$D$15/'Cjenik RS'!$D$6</f>
        <v>35.865624999999994</v>
      </c>
      <c r="Q6" s="376">
        <f>'Cjenik RS'!$D$15/'Cjenik RS'!$D$6</f>
        <v>35.865624999999994</v>
      </c>
      <c r="R6" s="376">
        <f>'Cjenik RS'!$D$16/'Cjenik RS'!$D$6</f>
        <v>34.849999999999994</v>
      </c>
      <c r="S6" s="376">
        <f>'Cjenik RS'!$D$16/'Cjenik RS'!$D$6</f>
        <v>34.849999999999994</v>
      </c>
      <c r="T6" s="376">
        <f>'Cjenik RS'!$D$17/'Cjenik RS'!$D$6</f>
        <v>35.865624999999994</v>
      </c>
      <c r="U6" s="376">
        <f>'Cjenik RS'!$D$17/'Cjenik RS'!$D$6</f>
        <v>35.865624999999994</v>
      </c>
      <c r="V6" s="376">
        <f>'Cjenik RS'!$D$17/'Cjenik RS'!$D$6</f>
        <v>35.865624999999994</v>
      </c>
      <c r="W6" s="376">
        <f>'Cjenik RS'!$D$17/'Cjenik RS'!$D$6</f>
        <v>35.865624999999994</v>
      </c>
      <c r="X6" s="376">
        <v>0</v>
      </c>
      <c r="Y6" s="376">
        <v>0</v>
      </c>
      <c r="Z6" s="376">
        <v>0</v>
      </c>
      <c r="AA6" s="376">
        <f>'Cjenik RS'!$D$15/'Cjenik RS'!$D$6</f>
        <v>35.865624999999994</v>
      </c>
      <c r="AB6" s="376">
        <f>'Cjenik RS'!$D$15/'Cjenik RS'!$D$6</f>
        <v>35.865624999999994</v>
      </c>
      <c r="AC6" s="376">
        <v>0</v>
      </c>
      <c r="AD6" s="376">
        <f>'Cjenik RS'!$D$12/'Cjenik RS'!$D$6</f>
        <v>30.793749999999999</v>
      </c>
      <c r="AE6" s="376">
        <v>0</v>
      </c>
      <c r="AF6" s="376">
        <v>0</v>
      </c>
      <c r="AG6" s="376">
        <f>'Cjenik RS'!$D$16/'Cjenik RS'!$D$6</f>
        <v>34.849999999999994</v>
      </c>
      <c r="AH6" s="376">
        <v>0</v>
      </c>
      <c r="AI6" s="376">
        <v>0</v>
      </c>
      <c r="AJ6" s="376">
        <f>'Cjenik RS'!$D$16/'Cjenik RS'!$D$6</f>
        <v>34.849999999999994</v>
      </c>
      <c r="AK6" s="376">
        <f>'Cjenik RS'!$D$14/'Cjenik RS'!$D$6</f>
        <v>31.806249999999999</v>
      </c>
      <c r="AL6" s="376">
        <v>0</v>
      </c>
      <c r="AM6" s="376">
        <v>0</v>
      </c>
      <c r="AN6" s="376">
        <v>0</v>
      </c>
      <c r="AO6" s="376">
        <v>0</v>
      </c>
      <c r="AP6" s="376">
        <v>0</v>
      </c>
      <c r="AQ6" s="376">
        <v>0</v>
      </c>
      <c r="AR6" s="376">
        <v>0</v>
      </c>
      <c r="AS6" s="376">
        <v>0</v>
      </c>
      <c r="AT6" s="376">
        <v>0</v>
      </c>
      <c r="AU6" s="376">
        <v>0</v>
      </c>
      <c r="AV6" s="376">
        <f>'Cjenik RS'!$D$14/'Cjenik RS'!$D$6</f>
        <v>31.806249999999999</v>
      </c>
      <c r="AW6" s="376">
        <f>'Cjenik RS'!$D$14/'Cjenik RS'!$D$6</f>
        <v>31.806249999999999</v>
      </c>
      <c r="AX6" s="376">
        <f>'Cjenik RS'!$D$14/'Cjenik RS'!$D$6</f>
        <v>31.806249999999999</v>
      </c>
      <c r="AY6" s="376">
        <f>'Cjenik RS'!$D$12/'Cjenik RS'!$D$6</f>
        <v>30.793749999999999</v>
      </c>
      <c r="AZ6" s="376">
        <f>'Cjenik RS'!$D$12/'Cjenik RS'!$D$6</f>
        <v>30.793749999999999</v>
      </c>
      <c r="BA6" s="376">
        <f>'Cjenik RS'!$D$12/'Cjenik RS'!$D$6</f>
        <v>30.793749999999999</v>
      </c>
      <c r="BB6" s="376">
        <f>'Cjenik RS'!$D$12/'Cjenik RS'!$D$6</f>
        <v>30.793749999999999</v>
      </c>
      <c r="BC6" s="376">
        <f>'Cjenik RS'!$D$14/'Cjenik RS'!$D$6</f>
        <v>31.806249999999999</v>
      </c>
      <c r="BD6" s="376">
        <f>'Cjenik RS'!$D$12/'Cjenik RS'!$D$6</f>
        <v>30.793749999999999</v>
      </c>
      <c r="BE6" s="376">
        <f>'Cjenik RS'!$D$14/'Cjenik RS'!$D$6</f>
        <v>31.806249999999999</v>
      </c>
      <c r="BF6" s="376">
        <f>'Cjenik RS'!$D$16/'Cjenik RS'!$D$6</f>
        <v>34.849999999999994</v>
      </c>
      <c r="BG6" s="376">
        <v>0</v>
      </c>
      <c r="BH6" s="376">
        <v>0</v>
      </c>
      <c r="BI6" s="376">
        <v>0</v>
      </c>
      <c r="BJ6" s="376">
        <v>0</v>
      </c>
      <c r="BK6" s="376">
        <v>0</v>
      </c>
      <c r="BL6" s="376">
        <f>'Cjenik RS'!$D$15/'Cjenik RS'!$D$6</f>
        <v>35.865624999999994</v>
      </c>
      <c r="BM6" s="376">
        <v>0</v>
      </c>
      <c r="BN6" s="376">
        <f>'Cjenik RS'!$D$14/'Cjenik RS'!$D$6</f>
        <v>31.806249999999999</v>
      </c>
      <c r="BO6" s="376">
        <f>'Cjenik RS'!$D$14/'Cjenik RS'!$D$6</f>
        <v>31.806249999999999</v>
      </c>
      <c r="BP6" s="376">
        <f>'Cjenik RS'!$D$14/'Cjenik RS'!$D$6</f>
        <v>31.806249999999999</v>
      </c>
      <c r="BQ6" s="376">
        <f>'Cjenik RS'!$D$16/'Cjenik RS'!$D$6</f>
        <v>34.849999999999994</v>
      </c>
      <c r="BR6" s="376">
        <v>0</v>
      </c>
      <c r="BS6" s="376">
        <v>0</v>
      </c>
      <c r="BT6" s="376">
        <v>0</v>
      </c>
      <c r="BU6" s="376">
        <v>0</v>
      </c>
      <c r="BV6" s="376">
        <v>0</v>
      </c>
      <c r="BW6" s="376">
        <f>'Cjenik RS'!$D$14/'Cjenik RS'!$D$6</f>
        <v>31.806249999999999</v>
      </c>
      <c r="BX6" s="376">
        <f>'Cjenik RS'!$D$12/'Cjenik RS'!$D$6</f>
        <v>30.793749999999999</v>
      </c>
      <c r="BY6" s="376">
        <v>0</v>
      </c>
      <c r="BZ6" s="376">
        <v>0</v>
      </c>
      <c r="CA6" s="376">
        <f>'Cjenik RS'!$D$14/'Cjenik RS'!$D$6</f>
        <v>31.806249999999999</v>
      </c>
      <c r="CB6" s="376">
        <f>'Cjenik RS'!$D$14/'Cjenik RS'!$D$6</f>
        <v>31.806249999999999</v>
      </c>
    </row>
    <row r="7" spans="1:80" ht="15" customHeight="1">
      <c r="A7" s="377" t="s">
        <v>1101</v>
      </c>
      <c r="B7" s="378">
        <v>1750</v>
      </c>
      <c r="C7" s="379">
        <v>1750</v>
      </c>
      <c r="D7" s="379">
        <v>0</v>
      </c>
      <c r="E7" s="380">
        <v>1750</v>
      </c>
      <c r="F7" s="380">
        <v>1750</v>
      </c>
      <c r="G7" s="380">
        <v>1750</v>
      </c>
      <c r="H7" s="380">
        <v>1750</v>
      </c>
      <c r="I7" s="379">
        <v>0</v>
      </c>
      <c r="J7" s="380">
        <v>700</v>
      </c>
      <c r="K7" s="380">
        <v>700</v>
      </c>
      <c r="L7" s="380">
        <v>900</v>
      </c>
      <c r="M7" s="380">
        <v>600</v>
      </c>
      <c r="N7" s="380">
        <v>1750</v>
      </c>
      <c r="O7" s="380">
        <v>1750</v>
      </c>
      <c r="P7" s="380">
        <v>1750</v>
      </c>
      <c r="Q7" s="380">
        <v>1750</v>
      </c>
      <c r="R7" s="380">
        <v>1750</v>
      </c>
      <c r="S7" s="380">
        <v>1750</v>
      </c>
      <c r="T7" s="380">
        <v>1750</v>
      </c>
      <c r="U7" s="380">
        <v>1200</v>
      </c>
      <c r="V7" s="380">
        <v>1750</v>
      </c>
      <c r="W7" s="380">
        <v>400</v>
      </c>
      <c r="X7" s="380">
        <v>0</v>
      </c>
      <c r="Y7" s="380">
        <v>0</v>
      </c>
      <c r="Z7" s="380">
        <v>0</v>
      </c>
      <c r="AA7" s="380">
        <v>1750</v>
      </c>
      <c r="AB7" s="380">
        <v>650</v>
      </c>
      <c r="AC7" s="380">
        <v>0</v>
      </c>
      <c r="AD7" s="380">
        <v>100</v>
      </c>
      <c r="AE7" s="380">
        <v>0</v>
      </c>
      <c r="AF7" s="380">
        <v>0</v>
      </c>
      <c r="AG7" s="380">
        <v>0</v>
      </c>
      <c r="AH7" s="380">
        <v>0</v>
      </c>
      <c r="AI7" s="380">
        <v>0</v>
      </c>
      <c r="AJ7" s="380">
        <v>1750</v>
      </c>
      <c r="AK7" s="380">
        <v>900</v>
      </c>
      <c r="AL7" s="380">
        <v>0</v>
      </c>
      <c r="AM7" s="380">
        <v>0</v>
      </c>
      <c r="AN7" s="380">
        <v>0</v>
      </c>
      <c r="AO7" s="380">
        <v>0</v>
      </c>
      <c r="AP7" s="380">
        <v>0</v>
      </c>
      <c r="AQ7" s="380">
        <v>0</v>
      </c>
      <c r="AR7" s="380">
        <v>0</v>
      </c>
      <c r="AS7" s="380">
        <v>0</v>
      </c>
      <c r="AT7" s="380">
        <v>0</v>
      </c>
      <c r="AU7" s="380">
        <v>0</v>
      </c>
      <c r="AV7" s="380">
        <v>800</v>
      </c>
      <c r="AW7" s="380">
        <v>1750</v>
      </c>
      <c r="AX7" s="380">
        <v>1750</v>
      </c>
      <c r="AY7" s="380">
        <v>400</v>
      </c>
      <c r="AZ7" s="380">
        <v>300</v>
      </c>
      <c r="BA7" s="380">
        <v>700</v>
      </c>
      <c r="BB7" s="380">
        <v>300</v>
      </c>
      <c r="BC7" s="381">
        <v>1750</v>
      </c>
      <c r="BD7" s="380">
        <v>1000</v>
      </c>
      <c r="BE7" s="380">
        <v>500</v>
      </c>
      <c r="BF7" s="380">
        <v>1100</v>
      </c>
      <c r="BG7" s="380">
        <v>150</v>
      </c>
      <c r="BH7" s="380">
        <v>50</v>
      </c>
      <c r="BI7" s="380"/>
      <c r="BJ7" s="380"/>
      <c r="BK7" s="380">
        <v>1750</v>
      </c>
      <c r="BL7" s="380">
        <v>1750</v>
      </c>
      <c r="BM7" s="380">
        <v>1750</v>
      </c>
      <c r="BN7" s="380">
        <v>1750</v>
      </c>
      <c r="BO7" s="380">
        <v>1750</v>
      </c>
      <c r="BP7" s="380">
        <v>1750</v>
      </c>
      <c r="BQ7" s="380">
        <v>1750</v>
      </c>
      <c r="BR7" s="380"/>
      <c r="BS7" s="380"/>
      <c r="BT7" s="380"/>
      <c r="BU7" s="380"/>
      <c r="BV7" s="380"/>
      <c r="BW7" s="380">
        <v>1750</v>
      </c>
      <c r="BX7" s="380"/>
      <c r="BY7" s="380"/>
      <c r="BZ7" s="380"/>
      <c r="CA7" s="380">
        <v>1750</v>
      </c>
      <c r="CB7" s="380">
        <v>650</v>
      </c>
    </row>
    <row r="8" spans="1:80">
      <c r="A8" s="377" t="s">
        <v>1102</v>
      </c>
      <c r="B8" s="378">
        <v>1750</v>
      </c>
      <c r="C8" s="379">
        <v>1750</v>
      </c>
      <c r="D8" s="379">
        <v>1750</v>
      </c>
      <c r="E8" s="380">
        <v>1200</v>
      </c>
      <c r="F8" s="380">
        <v>800</v>
      </c>
      <c r="G8" s="380">
        <v>1200</v>
      </c>
      <c r="H8" s="380">
        <v>1500</v>
      </c>
      <c r="I8" s="379">
        <v>300</v>
      </c>
      <c r="J8" s="380">
        <v>700</v>
      </c>
      <c r="K8" s="380">
        <v>700</v>
      </c>
      <c r="L8" s="380">
        <v>900</v>
      </c>
      <c r="M8" s="380">
        <v>600</v>
      </c>
      <c r="N8" s="380">
        <v>800</v>
      </c>
      <c r="O8" s="380">
        <v>800</v>
      </c>
      <c r="P8" s="380">
        <v>1000</v>
      </c>
      <c r="Q8" s="380">
        <v>1150</v>
      </c>
      <c r="R8" s="380">
        <v>1750</v>
      </c>
      <c r="S8" s="380">
        <v>1750</v>
      </c>
      <c r="T8" s="380">
        <v>1750</v>
      </c>
      <c r="U8" s="380">
        <v>1200</v>
      </c>
      <c r="V8" s="380">
        <v>1750</v>
      </c>
      <c r="W8" s="380">
        <v>400</v>
      </c>
      <c r="X8" s="380">
        <v>600</v>
      </c>
      <c r="Y8" s="380">
        <v>600</v>
      </c>
      <c r="Z8" s="380">
        <v>600</v>
      </c>
      <c r="AA8" s="380">
        <v>1200</v>
      </c>
      <c r="AB8" s="380">
        <v>650</v>
      </c>
      <c r="AC8" s="380">
        <v>450</v>
      </c>
      <c r="AD8" s="380">
        <v>100</v>
      </c>
      <c r="AE8" s="380">
        <v>400</v>
      </c>
      <c r="AF8" s="380">
        <v>400</v>
      </c>
      <c r="AG8" s="380">
        <v>500</v>
      </c>
      <c r="AH8" s="380">
        <v>400</v>
      </c>
      <c r="AI8" s="380">
        <v>350</v>
      </c>
      <c r="AJ8" s="380">
        <v>1600</v>
      </c>
      <c r="AK8" s="380">
        <v>800</v>
      </c>
      <c r="AL8" s="380">
        <v>400</v>
      </c>
      <c r="AM8" s="380">
        <v>400</v>
      </c>
      <c r="AN8" s="380">
        <v>800</v>
      </c>
      <c r="AO8" s="380">
        <v>800</v>
      </c>
      <c r="AP8" s="380">
        <v>800</v>
      </c>
      <c r="AQ8" s="380">
        <v>800</v>
      </c>
      <c r="AR8" s="380">
        <v>800</v>
      </c>
      <c r="AS8" s="380">
        <v>250</v>
      </c>
      <c r="AT8" s="380">
        <v>600</v>
      </c>
      <c r="AU8" s="380">
        <v>400</v>
      </c>
      <c r="AV8" s="380">
        <v>800</v>
      </c>
      <c r="AW8" s="380">
        <v>1000</v>
      </c>
      <c r="AX8" s="380">
        <v>1000</v>
      </c>
      <c r="AY8" s="380">
        <v>400</v>
      </c>
      <c r="AZ8" s="380">
        <v>600</v>
      </c>
      <c r="BA8" s="380">
        <v>700</v>
      </c>
      <c r="BB8" s="380">
        <v>300</v>
      </c>
      <c r="BC8" s="381">
        <v>1150</v>
      </c>
      <c r="BD8" s="380">
        <v>1000</v>
      </c>
      <c r="BE8" s="380">
        <v>500</v>
      </c>
      <c r="BF8" s="380">
        <v>600</v>
      </c>
      <c r="BG8" s="380">
        <v>750</v>
      </c>
      <c r="BH8" s="380">
        <v>600</v>
      </c>
      <c r="BI8" s="380">
        <v>72000</v>
      </c>
      <c r="BJ8" s="380">
        <v>72000</v>
      </c>
      <c r="BK8" s="380">
        <v>800</v>
      </c>
      <c r="BL8" s="380">
        <v>900</v>
      </c>
      <c r="BM8" s="380">
        <v>800</v>
      </c>
      <c r="BN8" s="380">
        <v>1000</v>
      </c>
      <c r="BO8" s="380">
        <v>800</v>
      </c>
      <c r="BP8" s="380">
        <v>600</v>
      </c>
      <c r="BQ8" s="380">
        <v>1750</v>
      </c>
      <c r="BR8" s="380">
        <v>500</v>
      </c>
      <c r="BS8" s="380">
        <v>800</v>
      </c>
      <c r="BT8" s="380">
        <v>800</v>
      </c>
      <c r="BU8" s="380">
        <v>800</v>
      </c>
      <c r="BV8" s="380">
        <v>800</v>
      </c>
      <c r="BW8" s="380">
        <v>1150</v>
      </c>
      <c r="BX8" s="380">
        <v>200</v>
      </c>
      <c r="BY8" s="380">
        <v>400</v>
      </c>
      <c r="BZ8" s="380">
        <v>400</v>
      </c>
      <c r="CA8" s="380">
        <v>1000</v>
      </c>
      <c r="CB8" s="380">
        <v>650</v>
      </c>
    </row>
    <row r="9" spans="1:80">
      <c r="A9" s="377" t="s">
        <v>1103</v>
      </c>
      <c r="B9" s="382">
        <f>ROUND(B10*B11,2)</f>
        <v>109280.96000000001</v>
      </c>
      <c r="C9" s="383">
        <f t="shared" ref="C9:BH9" si="0">ROUND(C10*C11,2)</f>
        <v>127175.01</v>
      </c>
      <c r="D9" s="383">
        <f t="shared" si="0"/>
        <v>188999.98</v>
      </c>
      <c r="E9" s="383">
        <f t="shared" si="0"/>
        <v>916079.36</v>
      </c>
      <c r="F9" s="383">
        <f t="shared" si="0"/>
        <v>675125.01</v>
      </c>
      <c r="G9" s="383">
        <f t="shared" si="0"/>
        <v>935578.81</v>
      </c>
      <c r="H9" s="383">
        <f t="shared" si="0"/>
        <v>462028.85</v>
      </c>
      <c r="I9" s="383">
        <v>48000</v>
      </c>
      <c r="J9" s="383">
        <f t="shared" si="0"/>
        <v>144150.03</v>
      </c>
      <c r="K9" s="383">
        <f t="shared" si="0"/>
        <v>226719.02</v>
      </c>
      <c r="L9" s="383">
        <f t="shared" si="0"/>
        <v>469850.04</v>
      </c>
      <c r="M9" s="383">
        <f t="shared" si="0"/>
        <v>22300.01</v>
      </c>
      <c r="N9" s="383">
        <f t="shared" si="0"/>
        <v>1266277.52</v>
      </c>
      <c r="O9" s="383">
        <f t="shared" si="0"/>
        <v>206999.97</v>
      </c>
      <c r="P9" s="383">
        <f t="shared" si="0"/>
        <v>1929500.01</v>
      </c>
      <c r="Q9" s="383">
        <f t="shared" si="0"/>
        <v>673562.48</v>
      </c>
      <c r="R9" s="383">
        <f t="shared" si="0"/>
        <v>185311.32</v>
      </c>
      <c r="S9" s="383">
        <f t="shared" si="0"/>
        <v>479623.71</v>
      </c>
      <c r="T9" s="383">
        <f t="shared" si="0"/>
        <v>722037.51</v>
      </c>
      <c r="U9" s="383">
        <f t="shared" si="0"/>
        <v>457252.9</v>
      </c>
      <c r="V9" s="383">
        <f t="shared" si="0"/>
        <v>736000.02</v>
      </c>
      <c r="W9" s="383">
        <f t="shared" si="0"/>
        <v>734999.97</v>
      </c>
      <c r="X9" s="383">
        <f t="shared" si="0"/>
        <v>239396.63</v>
      </c>
      <c r="Y9" s="383">
        <f t="shared" si="0"/>
        <v>148306.13</v>
      </c>
      <c r="Z9" s="383">
        <f t="shared" si="0"/>
        <v>53459.01</v>
      </c>
      <c r="AA9" s="383">
        <f t="shared" si="0"/>
        <v>3500000.01</v>
      </c>
      <c r="AB9" s="383">
        <f>ROUND(AB10*AB11,2)</f>
        <v>1483703.96</v>
      </c>
      <c r="AC9" s="383">
        <f t="shared" si="0"/>
        <v>180560.3</v>
      </c>
      <c r="AD9" s="383">
        <f t="shared" si="0"/>
        <v>76015.94</v>
      </c>
      <c r="AE9" s="383">
        <f t="shared" si="0"/>
        <v>61764.53</v>
      </c>
      <c r="AF9" s="383">
        <f t="shared" si="0"/>
        <v>87897.43</v>
      </c>
      <c r="AG9" s="383">
        <f t="shared" si="0"/>
        <v>216249.97</v>
      </c>
      <c r="AH9" s="383">
        <f t="shared" si="0"/>
        <v>42187.53</v>
      </c>
      <c r="AI9" s="383">
        <f t="shared" si="0"/>
        <v>61999.98</v>
      </c>
      <c r="AJ9" s="383">
        <f t="shared" si="0"/>
        <v>1199999.96</v>
      </c>
      <c r="AK9" s="383">
        <f t="shared" si="0"/>
        <v>315915.52000000002</v>
      </c>
      <c r="AL9" s="383">
        <f t="shared" si="0"/>
        <v>138434.03</v>
      </c>
      <c r="AM9" s="383">
        <f t="shared" si="0"/>
        <v>72400.399999999994</v>
      </c>
      <c r="AN9" s="383">
        <f t="shared" si="0"/>
        <v>190000.02</v>
      </c>
      <c r="AO9" s="383">
        <f t="shared" si="0"/>
        <v>177999.98</v>
      </c>
      <c r="AP9" s="383">
        <f t="shared" si="0"/>
        <v>75486.94</v>
      </c>
      <c r="AQ9" s="383">
        <f t="shared" si="0"/>
        <v>173893.59</v>
      </c>
      <c r="AR9" s="383">
        <f t="shared" si="0"/>
        <v>126733.33</v>
      </c>
      <c r="AS9" s="383">
        <f t="shared" si="0"/>
        <v>3499.99</v>
      </c>
      <c r="AT9" s="383">
        <f t="shared" si="0"/>
        <v>148306.13</v>
      </c>
      <c r="AU9" s="383">
        <f t="shared" si="0"/>
        <v>39233.58</v>
      </c>
      <c r="AV9" s="383">
        <f t="shared" si="0"/>
        <v>332912.24</v>
      </c>
      <c r="AW9" s="383">
        <f t="shared" si="0"/>
        <v>171999.96</v>
      </c>
      <c r="AX9" s="383">
        <f t="shared" si="0"/>
        <v>256000.02</v>
      </c>
      <c r="AY9" s="383">
        <f t="shared" si="0"/>
        <v>6375.04</v>
      </c>
      <c r="AZ9" s="383">
        <f t="shared" si="0"/>
        <v>7925.02</v>
      </c>
      <c r="BA9" s="383">
        <f t="shared" si="0"/>
        <v>20500.009999999998</v>
      </c>
      <c r="BB9" s="383">
        <f t="shared" si="0"/>
        <v>107999.98</v>
      </c>
      <c r="BC9" s="384">
        <f t="shared" si="0"/>
        <v>179999.99</v>
      </c>
      <c r="BD9" s="383">
        <f t="shared" si="0"/>
        <v>77559.77</v>
      </c>
      <c r="BE9" s="383">
        <f t="shared" si="0"/>
        <v>133307.17000000001</v>
      </c>
      <c r="BF9" s="383">
        <f t="shared" si="0"/>
        <v>293415.51</v>
      </c>
      <c r="BG9" s="383">
        <f t="shared" si="0"/>
        <v>21849.69</v>
      </c>
      <c r="BH9" s="383">
        <f t="shared" si="0"/>
        <v>24233.5</v>
      </c>
      <c r="BI9" s="383">
        <f>ROUND(BI10*BI11,2)</f>
        <v>600000.02</v>
      </c>
      <c r="BJ9" s="383">
        <f>ROUND(BJ10*BJ11,2)</f>
        <v>300000.01</v>
      </c>
      <c r="BK9" s="383">
        <f>ROUND(BK10*BK11,2)</f>
        <v>197999.97</v>
      </c>
      <c r="BL9" s="383">
        <f t="shared" ref="BL9:BX9" si="1">ROUND(BL10*BL11,2)</f>
        <v>738000.02</v>
      </c>
      <c r="BM9" s="383">
        <f t="shared" si="1"/>
        <v>136000</v>
      </c>
      <c r="BN9" s="383">
        <f t="shared" si="1"/>
        <v>221999.98</v>
      </c>
      <c r="BO9" s="383">
        <f t="shared" si="1"/>
        <v>221999.98</v>
      </c>
      <c r="BP9" s="383">
        <f t="shared" si="1"/>
        <v>289999.98</v>
      </c>
      <c r="BQ9" s="383">
        <f t="shared" si="1"/>
        <v>227000.03</v>
      </c>
      <c r="BR9" s="383">
        <f t="shared" si="1"/>
        <v>7500.01</v>
      </c>
      <c r="BS9" s="383">
        <f t="shared" si="1"/>
        <v>499999.99</v>
      </c>
      <c r="BT9" s="383">
        <f t="shared" si="1"/>
        <v>499999.99</v>
      </c>
      <c r="BU9" s="383">
        <f>ROUND(BU10*BU11,2)</f>
        <v>280000.02</v>
      </c>
      <c r="BV9" s="383">
        <f>ROUND(BV10*BV11,2)</f>
        <v>280000.02</v>
      </c>
      <c r="BW9" s="383">
        <f t="shared" si="1"/>
        <v>800625.03</v>
      </c>
      <c r="BX9" s="383">
        <f t="shared" si="1"/>
        <v>15000.01</v>
      </c>
      <c r="BY9" s="383">
        <f>ROUND(BY10*BY11,2)</f>
        <v>70000</v>
      </c>
      <c r="BZ9" s="383">
        <f>ROUND(BZ10*BZ11,2)</f>
        <v>47509.3</v>
      </c>
      <c r="CA9" s="383">
        <f>'Nabavna cijena'!I84</f>
        <v>60250</v>
      </c>
      <c r="CB9" s="383">
        <f>'Nabavna cijena'!I85</f>
        <v>32500</v>
      </c>
    </row>
    <row r="10" spans="1:80">
      <c r="A10" s="377" t="s">
        <v>1104</v>
      </c>
      <c r="B10" s="385">
        <f>'Devizni tecaj, porez i gorivo'!$B$6</f>
        <v>7.5078139999999998</v>
      </c>
      <c r="C10" s="386">
        <f>'Devizni tecaj, porez i gorivo'!$B$6</f>
        <v>7.5078139999999998</v>
      </c>
      <c r="D10" s="387">
        <f>'Devizni tecaj, porez i gorivo'!$B$6</f>
        <v>7.5078139999999998</v>
      </c>
      <c r="E10" s="387">
        <f>'Devizni tecaj, porez i gorivo'!$B$6</f>
        <v>7.5078139999999998</v>
      </c>
      <c r="F10" s="387">
        <f>'Devizni tecaj, porez i gorivo'!$B$6</f>
        <v>7.5078139999999998</v>
      </c>
      <c r="G10" s="387">
        <f>'Devizni tecaj, porez i gorivo'!$B$6</f>
        <v>7.5078139999999998</v>
      </c>
      <c r="H10" s="387">
        <f>'Devizni tecaj, porez i gorivo'!$B$6</f>
        <v>7.5078139999999998</v>
      </c>
      <c r="I10" s="387">
        <f>'Devizni tecaj, porez i gorivo'!$B$6</f>
        <v>7.5078139999999998</v>
      </c>
      <c r="J10" s="387">
        <f>'Devizni tecaj, porez i gorivo'!$B$6</f>
        <v>7.5078139999999998</v>
      </c>
      <c r="K10" s="387">
        <f>'Devizni tecaj, porez i gorivo'!$B$6</f>
        <v>7.5078139999999998</v>
      </c>
      <c r="L10" s="387">
        <f>'Devizni tecaj, porez i gorivo'!$B$6</f>
        <v>7.5078139999999998</v>
      </c>
      <c r="M10" s="387">
        <f>'Devizni tecaj, porez i gorivo'!$B$6</f>
        <v>7.5078139999999998</v>
      </c>
      <c r="N10" s="387">
        <f>'Devizni tecaj, porez i gorivo'!$B$6</f>
        <v>7.5078139999999998</v>
      </c>
      <c r="O10" s="387">
        <f>'Devizni tecaj, porez i gorivo'!$B$6</f>
        <v>7.5078139999999998</v>
      </c>
      <c r="P10" s="387">
        <f>'Devizni tecaj, porez i gorivo'!$B$6</f>
        <v>7.5078139999999998</v>
      </c>
      <c r="Q10" s="387">
        <f>'Devizni tecaj, porez i gorivo'!$B$6</f>
        <v>7.5078139999999998</v>
      </c>
      <c r="R10" s="387">
        <f>'Devizni tecaj, porez i gorivo'!$B$6</f>
        <v>7.5078139999999998</v>
      </c>
      <c r="S10" s="387">
        <f>'Devizni tecaj, porez i gorivo'!$B$6</f>
        <v>7.5078139999999998</v>
      </c>
      <c r="T10" s="387">
        <f>'Devizni tecaj, porez i gorivo'!$B$6</f>
        <v>7.5078139999999998</v>
      </c>
      <c r="U10" s="387">
        <f>'Devizni tecaj, porez i gorivo'!$B$6</f>
        <v>7.5078139999999998</v>
      </c>
      <c r="V10" s="387">
        <f>'Devizni tecaj, porez i gorivo'!$B$6</f>
        <v>7.5078139999999998</v>
      </c>
      <c r="W10" s="387">
        <f>'Devizni tecaj, porez i gorivo'!$B$6</f>
        <v>7.5078139999999998</v>
      </c>
      <c r="X10" s="387">
        <f>'Devizni tecaj, porez i gorivo'!$B$6</f>
        <v>7.5078139999999998</v>
      </c>
      <c r="Y10" s="387">
        <f>'Devizni tecaj, porez i gorivo'!$B$6</f>
        <v>7.5078139999999998</v>
      </c>
      <c r="Z10" s="387">
        <f>'Devizni tecaj, porez i gorivo'!$B$6</f>
        <v>7.5078139999999998</v>
      </c>
      <c r="AA10" s="387">
        <f>'Devizni tecaj, porez i gorivo'!$B$6</f>
        <v>7.5078139999999998</v>
      </c>
      <c r="AB10" s="387">
        <f>'Devizni tecaj, porez i gorivo'!$B$6</f>
        <v>7.5078139999999998</v>
      </c>
      <c r="AC10" s="387">
        <f>'Devizni tecaj, porez i gorivo'!$B$6</f>
        <v>7.5078139999999998</v>
      </c>
      <c r="AD10" s="387">
        <f>'Devizni tecaj, porez i gorivo'!$B$6</f>
        <v>7.5078139999999998</v>
      </c>
      <c r="AE10" s="387">
        <f>'Devizni tecaj, porez i gorivo'!$B$6</f>
        <v>7.5078139999999998</v>
      </c>
      <c r="AF10" s="387">
        <f>'Devizni tecaj, porez i gorivo'!$B$6</f>
        <v>7.5078139999999998</v>
      </c>
      <c r="AG10" s="387">
        <f>'Devizni tecaj, porez i gorivo'!$B$6</f>
        <v>7.5078139999999998</v>
      </c>
      <c r="AH10" s="387">
        <f>'Devizni tecaj, porez i gorivo'!$B$6</f>
        <v>7.5078139999999998</v>
      </c>
      <c r="AI10" s="387">
        <f>'Devizni tecaj, porez i gorivo'!$B$6</f>
        <v>7.5078139999999998</v>
      </c>
      <c r="AJ10" s="387">
        <f>'Devizni tecaj, porez i gorivo'!$B$6</f>
        <v>7.5078139999999998</v>
      </c>
      <c r="AK10" s="387">
        <f>'Devizni tecaj, porez i gorivo'!$B$6</f>
        <v>7.5078139999999998</v>
      </c>
      <c r="AL10" s="387">
        <f>'Devizni tecaj, porez i gorivo'!$B$6</f>
        <v>7.5078139999999998</v>
      </c>
      <c r="AM10" s="387">
        <f>'Devizni tecaj, porez i gorivo'!$B$6</f>
        <v>7.5078139999999998</v>
      </c>
      <c r="AN10" s="387">
        <f>'Devizni tecaj, porez i gorivo'!$B$6</f>
        <v>7.5078139999999998</v>
      </c>
      <c r="AO10" s="387">
        <f>'Devizni tecaj, porez i gorivo'!$B$6</f>
        <v>7.5078139999999998</v>
      </c>
      <c r="AP10" s="387">
        <f>'Devizni tecaj, porez i gorivo'!$B$6</f>
        <v>7.5078139999999998</v>
      </c>
      <c r="AQ10" s="387">
        <f>'Devizni tecaj, porez i gorivo'!$B$6</f>
        <v>7.5078139999999998</v>
      </c>
      <c r="AR10" s="387">
        <f>'Devizni tecaj, porez i gorivo'!$B$6</f>
        <v>7.5078139999999998</v>
      </c>
      <c r="AS10" s="387">
        <f>'Devizni tecaj, porez i gorivo'!$B$6</f>
        <v>7.5078139999999998</v>
      </c>
      <c r="AT10" s="387">
        <f>'Devizni tecaj, porez i gorivo'!$B$6</f>
        <v>7.5078139999999998</v>
      </c>
      <c r="AU10" s="387">
        <f>'Devizni tecaj, porez i gorivo'!$B$6</f>
        <v>7.5078139999999998</v>
      </c>
      <c r="AV10" s="387">
        <f>'Devizni tecaj, porez i gorivo'!$B$6</f>
        <v>7.5078139999999998</v>
      </c>
      <c r="AW10" s="387">
        <f>'Devizni tecaj, porez i gorivo'!$B$6</f>
        <v>7.5078139999999998</v>
      </c>
      <c r="AX10" s="387">
        <f>'Devizni tecaj, porez i gorivo'!$B$6</f>
        <v>7.5078139999999998</v>
      </c>
      <c r="AY10" s="387">
        <f>'Devizni tecaj, porez i gorivo'!$B$6</f>
        <v>7.5078139999999998</v>
      </c>
      <c r="AZ10" s="387">
        <f>'Devizni tecaj, porez i gorivo'!$B$6</f>
        <v>7.5078139999999998</v>
      </c>
      <c r="BA10" s="387">
        <f>'Devizni tecaj, porez i gorivo'!$B$6</f>
        <v>7.5078139999999998</v>
      </c>
      <c r="BB10" s="387">
        <f>'Devizni tecaj, porez i gorivo'!$B$6</f>
        <v>7.5078139999999998</v>
      </c>
      <c r="BC10" s="388">
        <f>'Devizni tecaj, porez i gorivo'!$B$6</f>
        <v>7.5078139999999998</v>
      </c>
      <c r="BD10" s="387">
        <f>'Devizni tecaj, porez i gorivo'!$B$6</f>
        <v>7.5078139999999998</v>
      </c>
      <c r="BE10" s="387">
        <f>'Devizni tecaj, porez i gorivo'!$B$6</f>
        <v>7.5078139999999998</v>
      </c>
      <c r="BF10" s="387">
        <f>'Devizni tecaj, porez i gorivo'!$B$6</f>
        <v>7.5078139999999998</v>
      </c>
      <c r="BG10" s="387">
        <f>'Devizni tecaj, porez i gorivo'!$B$6</f>
        <v>7.5078139999999998</v>
      </c>
      <c r="BH10" s="387">
        <f>'Devizni tecaj, porez i gorivo'!$B$6</f>
        <v>7.5078139999999998</v>
      </c>
      <c r="BI10" s="387">
        <f>'Devizni tecaj, porez i gorivo'!$B$6</f>
        <v>7.5078139999999998</v>
      </c>
      <c r="BJ10" s="387">
        <f>'Devizni tecaj, porez i gorivo'!$B$6</f>
        <v>7.5078139999999998</v>
      </c>
      <c r="BK10" s="387">
        <f>'Devizni tecaj, porez i gorivo'!$B$6</f>
        <v>7.5078139999999998</v>
      </c>
      <c r="BL10" s="387">
        <f>'Devizni tecaj, porez i gorivo'!$B$6</f>
        <v>7.5078139999999998</v>
      </c>
      <c r="BM10" s="387">
        <f>'Devizni tecaj, porez i gorivo'!$B$6</f>
        <v>7.5078139999999998</v>
      </c>
      <c r="BN10" s="387">
        <f>'Devizni tecaj, porez i gorivo'!$B$6</f>
        <v>7.5078139999999998</v>
      </c>
      <c r="BO10" s="387">
        <f>'Devizni tecaj, porez i gorivo'!$B$6</f>
        <v>7.5078139999999998</v>
      </c>
      <c r="BP10" s="387">
        <f>'Devizni tecaj, porez i gorivo'!$B$6</f>
        <v>7.5078139999999998</v>
      </c>
      <c r="BQ10" s="387">
        <f>'Devizni tecaj, porez i gorivo'!$B$6</f>
        <v>7.5078139999999998</v>
      </c>
      <c r="BR10" s="387">
        <f>'Devizni tecaj, porez i gorivo'!$B$6</f>
        <v>7.5078139999999998</v>
      </c>
      <c r="BS10" s="387">
        <f>'Devizni tecaj, porez i gorivo'!$B$6</f>
        <v>7.5078139999999998</v>
      </c>
      <c r="BT10" s="387">
        <f>'Devizni tecaj, porez i gorivo'!$B$6</f>
        <v>7.5078139999999998</v>
      </c>
      <c r="BU10" s="387">
        <f>'Devizni tecaj, porez i gorivo'!$B$6</f>
        <v>7.5078139999999998</v>
      </c>
      <c r="BV10" s="387">
        <f>'Devizni tecaj, porez i gorivo'!$B$6</f>
        <v>7.5078139999999998</v>
      </c>
      <c r="BW10" s="387">
        <f>'Devizni tecaj, porez i gorivo'!$B$6</f>
        <v>7.5078139999999998</v>
      </c>
      <c r="BX10" s="387">
        <f>'Devizni tecaj, porez i gorivo'!$B$6</f>
        <v>7.5078139999999998</v>
      </c>
      <c r="BY10" s="387">
        <f>'Devizni tecaj, porez i gorivo'!$B$6</f>
        <v>7.5078139999999998</v>
      </c>
      <c r="BZ10" s="387">
        <f>'Devizni tecaj, porez i gorivo'!$B$6</f>
        <v>7.5078139999999998</v>
      </c>
      <c r="CA10" s="387">
        <f>'Devizni tecaj, porez i gorivo'!$B$6</f>
        <v>7.5078139999999998</v>
      </c>
      <c r="CB10" s="387">
        <f>'Devizni tecaj, porez i gorivo'!$B$6</f>
        <v>7.5078139999999998</v>
      </c>
    </row>
    <row r="11" spans="1:80">
      <c r="A11" s="377" t="s">
        <v>1105</v>
      </c>
      <c r="B11" s="382">
        <f>'Nabavna cijena'!$J$7</f>
        <v>14555.63</v>
      </c>
      <c r="C11" s="383">
        <f>'Nabavna cijena'!$J$8</f>
        <v>16939.02</v>
      </c>
      <c r="D11" s="383">
        <f>'Nabavna cijena'!$J$9</f>
        <v>25173.77</v>
      </c>
      <c r="E11" s="383">
        <f>'Nabavna cijena'!$J$10</f>
        <v>122016.79</v>
      </c>
      <c r="F11" s="383">
        <f>'Nabavna cijena'!$J$11</f>
        <v>89922.98</v>
      </c>
      <c r="G11" s="383">
        <f>'Nabavna cijena'!$J$12</f>
        <v>124614.01</v>
      </c>
      <c r="H11" s="383">
        <f>'Nabavna cijena'!$J$13</f>
        <v>61539.73</v>
      </c>
      <c r="I11" s="383">
        <f>'Nabavna cijena'!$J$14</f>
        <v>9788.91</v>
      </c>
      <c r="J11" s="383">
        <f>'Nabavna cijena'!$J$15</f>
        <v>19200</v>
      </c>
      <c r="K11" s="383">
        <f>'Nabavna cijena'!$J$16</f>
        <v>30197.74</v>
      </c>
      <c r="L11" s="383">
        <f>'Nabavna cijena'!$J$17</f>
        <v>62581.47</v>
      </c>
      <c r="M11" s="383">
        <f>'Nabavna cijena'!$J$18</f>
        <v>2970.24</v>
      </c>
      <c r="N11" s="383">
        <f>'Nabavna cijena'!$J$19</f>
        <v>168661.28</v>
      </c>
      <c r="O11" s="383">
        <f>'Nabavna cijena'!$J$20</f>
        <v>27571.27</v>
      </c>
      <c r="P11" s="383">
        <f>'Nabavna cijena'!$J$21</f>
        <v>256998.91</v>
      </c>
      <c r="Q11" s="383">
        <f>'Nabavna cijena'!J22</f>
        <v>89714.86</v>
      </c>
      <c r="R11" s="383">
        <f>'Nabavna cijena'!$J$23</f>
        <v>24682.46</v>
      </c>
      <c r="S11" s="383">
        <f>'Nabavna cijena'!$J$24</f>
        <v>63883.27</v>
      </c>
      <c r="T11" s="383">
        <f>'Nabavna cijena'!$J$25</f>
        <v>96171.47</v>
      </c>
      <c r="U11" s="383">
        <f>'Nabavna cijena'!$J$26</f>
        <v>60903.6</v>
      </c>
      <c r="V11" s="383">
        <f>'Nabavna cijena'!$J$27</f>
        <v>98031.2</v>
      </c>
      <c r="W11" s="383">
        <f>'Nabavna cijena'!$J$28</f>
        <v>97898</v>
      </c>
      <c r="X11" s="383">
        <f>'Nabavna cijena'!$J$29</f>
        <v>31886.33</v>
      </c>
      <c r="Y11" s="383">
        <f>'Nabavna cijena'!$J$30</f>
        <v>19753.57</v>
      </c>
      <c r="Z11" s="383">
        <f>'Nabavna cijena'!$J$31</f>
        <v>7120.45</v>
      </c>
      <c r="AA11" s="389">
        <f>'Nabavna cijena'!$J$32</f>
        <v>466180.97</v>
      </c>
      <c r="AB11" s="383">
        <f>'Nabavna cijena'!J33</f>
        <v>197621.3</v>
      </c>
      <c r="AC11" s="383">
        <f>'Nabavna cijena'!$J$34</f>
        <v>24049.65</v>
      </c>
      <c r="AD11" s="383">
        <f>'Nabavna cijena'!$J$35</f>
        <v>10124.91</v>
      </c>
      <c r="AE11" s="383">
        <f>'Nabavna cijena'!$J$36</f>
        <v>8226.7000000000007</v>
      </c>
      <c r="AF11" s="383">
        <f>'Nabavna cijena'!$J$37</f>
        <v>11707.46</v>
      </c>
      <c r="AG11" s="383">
        <f>'Nabavna cijena'!$J$38</f>
        <v>28803.32</v>
      </c>
      <c r="AH11" s="383">
        <f>'Nabavna cijena'!$J$39</f>
        <v>5619.15</v>
      </c>
      <c r="AI11" s="383">
        <f>'Nabavna cijena'!$J$40</f>
        <v>8258.06</v>
      </c>
      <c r="AJ11" s="383">
        <f>'Nabavna cijena'!$J$41</f>
        <v>159833.47</v>
      </c>
      <c r="AK11" s="383">
        <f>'Nabavna cijena'!$J$42</f>
        <v>42078.23</v>
      </c>
      <c r="AL11" s="383">
        <f>'Nabavna cijena'!$J$43</f>
        <v>18438.66</v>
      </c>
      <c r="AM11" s="383">
        <f>'Nabavna cijena'!$J$44</f>
        <v>9643.34</v>
      </c>
      <c r="AN11" s="383">
        <f>'Nabavna cijena'!$J$45</f>
        <v>25306.97</v>
      </c>
      <c r="AO11" s="383">
        <f>'Nabavna cijena'!$J$46</f>
        <v>23708.63</v>
      </c>
      <c r="AP11" s="383">
        <f>'Nabavna cijena'!$J$47</f>
        <v>10054.450000000001</v>
      </c>
      <c r="AQ11" s="383">
        <f>'Nabavna cijena'!$J$48</f>
        <v>23161.68</v>
      </c>
      <c r="AR11" s="383">
        <f>'Nabavna cijena'!$J$49</f>
        <v>16880.189999999999</v>
      </c>
      <c r="AS11" s="383">
        <f>'Nabavna cijena'!J50</f>
        <v>466.18</v>
      </c>
      <c r="AT11" s="383">
        <f>'Nabavna cijena'!J51</f>
        <v>19753.57</v>
      </c>
      <c r="AU11" s="383">
        <f>'Nabavna cijena'!$J$52</f>
        <v>5225.7</v>
      </c>
      <c r="AV11" s="383">
        <f>'Nabavna cijena'!$J$53</f>
        <v>44342.1</v>
      </c>
      <c r="AW11" s="383">
        <f>'Nabavna cijena'!$J$54</f>
        <v>22909.46</v>
      </c>
      <c r="AX11" s="383">
        <f>'Nabavna cijena'!$J$55</f>
        <v>34097.81</v>
      </c>
      <c r="AY11" s="383">
        <f>'Nabavna cijena'!$J$56</f>
        <v>849.12</v>
      </c>
      <c r="AZ11" s="383">
        <f>'Nabavna cijena'!$J$57</f>
        <v>1055.57</v>
      </c>
      <c r="BA11" s="383">
        <f>'Nabavna cijena'!$J$58</f>
        <v>2730.49</v>
      </c>
      <c r="BB11" s="383">
        <f>'Nabavna cijena'!$J$59</f>
        <v>14385.01</v>
      </c>
      <c r="BC11" s="384">
        <f>'Nabavna cijena'!$J$60</f>
        <v>23975.02</v>
      </c>
      <c r="BD11" s="383">
        <f>'Nabavna cijena'!J61</f>
        <v>10330.540000000001</v>
      </c>
      <c r="BE11" s="383">
        <f>'Nabavna cijena'!$J$62</f>
        <v>17755.79</v>
      </c>
      <c r="BF11" s="383">
        <f>'Nabavna cijena'!J63</f>
        <v>39081.35</v>
      </c>
      <c r="BG11" s="383">
        <f>'Nabavna cijena'!$J$64</f>
        <v>2910.26</v>
      </c>
      <c r="BH11" s="383">
        <f>'Nabavna cijena'!$J$65</f>
        <v>3227.77</v>
      </c>
      <c r="BI11" s="383">
        <f>'Nabavna cijena'!J66</f>
        <v>79916.740000000005</v>
      </c>
      <c r="BJ11" s="383">
        <f>'Nabavna cijena'!J67</f>
        <v>39958.370000000003</v>
      </c>
      <c r="BK11" s="383">
        <f>'Nabavna cijena'!J68</f>
        <v>26372.52</v>
      </c>
      <c r="BL11" s="383">
        <f>'Nabavna cijena'!J69</f>
        <v>98297.59</v>
      </c>
      <c r="BM11" s="390">
        <f>'Nabavna cijena'!J70</f>
        <v>18114.46</v>
      </c>
      <c r="BN11" s="390">
        <f>'Nabavna cijena'!J71</f>
        <v>29569.19</v>
      </c>
      <c r="BO11" s="390">
        <f>'Nabavna cijena'!J72</f>
        <v>29569.19</v>
      </c>
      <c r="BP11" s="390">
        <f>'Nabavna cijena'!J73</f>
        <v>38626.42</v>
      </c>
      <c r="BQ11" s="390">
        <f>'Nabavna cijena'!J74</f>
        <v>30235.17</v>
      </c>
      <c r="BR11" s="383">
        <f>'Nabavna cijena'!J75</f>
        <v>998.96</v>
      </c>
      <c r="BS11" s="383">
        <f>'Nabavna cijena'!J76</f>
        <v>66597.279999999999</v>
      </c>
      <c r="BT11" s="383">
        <f>'Nabavna cijena'!J77</f>
        <v>66597.279999999999</v>
      </c>
      <c r="BU11" s="383">
        <f>'Nabavna cijena'!J78</f>
        <v>37294.480000000003</v>
      </c>
      <c r="BV11" s="383">
        <f>'Nabavna cijena'!J79</f>
        <v>37294.480000000003</v>
      </c>
      <c r="BW11" s="639">
        <f>'Nabavna cijena'!J80</f>
        <v>106638.9</v>
      </c>
      <c r="BX11" s="383">
        <f>'Nabavna cijena'!J81</f>
        <v>1997.92</v>
      </c>
      <c r="BY11" s="383">
        <f>'Nabavna cijena'!J82</f>
        <v>9323.6200000000008</v>
      </c>
      <c r="BZ11" s="383">
        <f>'Nabavna cijena'!J83</f>
        <v>6327.98</v>
      </c>
      <c r="CA11" s="390">
        <f>'Nabavna cijena'!W71</f>
        <v>0</v>
      </c>
      <c r="CB11" s="383">
        <f>'Nabavna cijena'!BJ33</f>
        <v>0</v>
      </c>
    </row>
    <row r="12" spans="1:80">
      <c r="A12" s="377" t="s">
        <v>1106</v>
      </c>
      <c r="B12" s="382">
        <f>IF(B7&gt;B8,B8,B7)*B6</f>
        <v>0</v>
      </c>
      <c r="C12" s="383">
        <f>IF(C7&gt;C8,C8,C7)*C6</f>
        <v>0</v>
      </c>
      <c r="D12" s="383">
        <f>IF(D7&gt;D8,D8,D7)*D6</f>
        <v>0</v>
      </c>
      <c r="E12" s="383">
        <f t="shared" ref="E12:AM12" si="2">IF(E7&gt;E8,E8,E7)*E6</f>
        <v>43038.749999999993</v>
      </c>
      <c r="F12" s="383">
        <f t="shared" si="2"/>
        <v>28692.499999999996</v>
      </c>
      <c r="G12" s="383">
        <f t="shared" si="2"/>
        <v>43038.749999999993</v>
      </c>
      <c r="H12" s="383">
        <f t="shared" si="2"/>
        <v>47709.375</v>
      </c>
      <c r="I12" s="383">
        <f t="shared" si="2"/>
        <v>0</v>
      </c>
      <c r="J12" s="383">
        <f t="shared" si="2"/>
        <v>22264.375</v>
      </c>
      <c r="K12" s="383">
        <f t="shared" si="2"/>
        <v>22264.375</v>
      </c>
      <c r="L12" s="383">
        <f t="shared" si="2"/>
        <v>28625.625</v>
      </c>
      <c r="M12" s="383">
        <f>IF(M7&gt;M8,M8,M7)*M6</f>
        <v>18476.25</v>
      </c>
      <c r="N12" s="383">
        <f t="shared" si="2"/>
        <v>28692.499999999996</v>
      </c>
      <c r="O12" s="383">
        <f>IF(O7&gt;O8,O8,O7)*O6</f>
        <v>24635</v>
      </c>
      <c r="P12" s="383">
        <f t="shared" si="2"/>
        <v>35865.624999999993</v>
      </c>
      <c r="Q12" s="383">
        <f t="shared" si="2"/>
        <v>41245.468749999993</v>
      </c>
      <c r="R12" s="383">
        <f t="shared" si="2"/>
        <v>60987.499999999993</v>
      </c>
      <c r="S12" s="383">
        <f t="shared" si="2"/>
        <v>60987.499999999993</v>
      </c>
      <c r="T12" s="383">
        <f t="shared" si="2"/>
        <v>62764.843749999993</v>
      </c>
      <c r="U12" s="383">
        <f>IF(U7&gt;U8,U8,U7)*U6</f>
        <v>43038.749999999993</v>
      </c>
      <c r="V12" s="383">
        <f t="shared" si="2"/>
        <v>62764.843749999993</v>
      </c>
      <c r="W12" s="383">
        <f t="shared" ref="W12:AD12" si="3">IF(W7&gt;W8,W8,W7)*W6</f>
        <v>14346.249999999998</v>
      </c>
      <c r="X12" s="383">
        <f t="shared" si="3"/>
        <v>0</v>
      </c>
      <c r="Y12" s="383">
        <f t="shared" si="3"/>
        <v>0</v>
      </c>
      <c r="Z12" s="383">
        <f t="shared" si="3"/>
        <v>0</v>
      </c>
      <c r="AA12" s="383">
        <f t="shared" si="3"/>
        <v>43038.749999999993</v>
      </c>
      <c r="AB12" s="383">
        <f t="shared" si="3"/>
        <v>23312.656249999996</v>
      </c>
      <c r="AC12" s="383">
        <f t="shared" si="3"/>
        <v>0</v>
      </c>
      <c r="AD12" s="383">
        <f t="shared" si="3"/>
        <v>3079.375</v>
      </c>
      <c r="AE12" s="383">
        <f t="shared" si="2"/>
        <v>0</v>
      </c>
      <c r="AF12" s="383">
        <f t="shared" si="2"/>
        <v>0</v>
      </c>
      <c r="AG12" s="383">
        <f t="shared" si="2"/>
        <v>0</v>
      </c>
      <c r="AH12" s="383">
        <f t="shared" si="2"/>
        <v>0</v>
      </c>
      <c r="AI12" s="383">
        <f t="shared" si="2"/>
        <v>0</v>
      </c>
      <c r="AJ12" s="383">
        <f t="shared" si="2"/>
        <v>55759.999999999993</v>
      </c>
      <c r="AK12" s="383">
        <f t="shared" si="2"/>
        <v>25445</v>
      </c>
      <c r="AL12" s="383">
        <f t="shared" si="2"/>
        <v>0</v>
      </c>
      <c r="AM12" s="383">
        <f t="shared" si="2"/>
        <v>0</v>
      </c>
      <c r="AN12" s="383">
        <f t="shared" ref="AN12:BH12" si="4">IF(AN7&gt;AN8,AN8,AN7)*AN6</f>
        <v>0</v>
      </c>
      <c r="AO12" s="383">
        <f t="shared" si="4"/>
        <v>0</v>
      </c>
      <c r="AP12" s="383">
        <f t="shared" si="4"/>
        <v>0</v>
      </c>
      <c r="AQ12" s="383">
        <f t="shared" si="4"/>
        <v>0</v>
      </c>
      <c r="AR12" s="383">
        <f t="shared" si="4"/>
        <v>0</v>
      </c>
      <c r="AS12" s="383">
        <f>IF(AS7&gt;AS8,AS8,AS7)*AS6</f>
        <v>0</v>
      </c>
      <c r="AT12" s="383">
        <f>IF(AT7&gt;AT8,AT8,AT7)*AT6</f>
        <v>0</v>
      </c>
      <c r="AU12" s="383">
        <f t="shared" si="4"/>
        <v>0</v>
      </c>
      <c r="AV12" s="383">
        <f>IF(AV7&gt;AV8,AV8,AV7)*AV6</f>
        <v>25445</v>
      </c>
      <c r="AW12" s="383">
        <f>IF(AW7&gt;AW8,AW8,AW7)*AW6</f>
        <v>31806.25</v>
      </c>
      <c r="AX12" s="383">
        <f>IF(AX7&gt;AX8,AX8,AX7)*AX6</f>
        <v>31806.25</v>
      </c>
      <c r="AY12" s="383">
        <f>IF(AY7&gt;AY8,AY8,AY7)*AY6</f>
        <v>12317.5</v>
      </c>
      <c r="AZ12" s="383">
        <f>IF(AZ7&gt;AZ8,AZ8,AZ7)*AZ6</f>
        <v>9238.125</v>
      </c>
      <c r="BA12" s="383">
        <f t="shared" si="4"/>
        <v>21555.625</v>
      </c>
      <c r="BB12" s="383">
        <f>IF(BB7&gt;BB8,BB8,BB7)*BB6</f>
        <v>9238.125</v>
      </c>
      <c r="BC12" s="384">
        <f t="shared" si="4"/>
        <v>36577.1875</v>
      </c>
      <c r="BD12" s="383">
        <f>IF(BD7&gt;BD8,BD8,BD7)*BD6</f>
        <v>30793.75</v>
      </c>
      <c r="BE12" s="383">
        <f t="shared" si="4"/>
        <v>15903.125</v>
      </c>
      <c r="BF12" s="383">
        <f t="shared" si="4"/>
        <v>20909.999999999996</v>
      </c>
      <c r="BG12" s="383">
        <f t="shared" si="4"/>
        <v>0</v>
      </c>
      <c r="BH12" s="383">
        <f t="shared" si="4"/>
        <v>0</v>
      </c>
      <c r="BI12" s="383">
        <f t="shared" ref="BI12:BQ12" si="5">IF(BI7&gt;BI8,BI8,BI7)*BI6</f>
        <v>0</v>
      </c>
      <c r="BJ12" s="383">
        <f t="shared" si="5"/>
        <v>0</v>
      </c>
      <c r="BK12" s="383">
        <f t="shared" si="5"/>
        <v>0</v>
      </c>
      <c r="BL12" s="383">
        <f t="shared" si="5"/>
        <v>32279.062499999996</v>
      </c>
      <c r="BM12" s="383">
        <f t="shared" si="5"/>
        <v>0</v>
      </c>
      <c r="BN12" s="383">
        <f t="shared" si="5"/>
        <v>31806.25</v>
      </c>
      <c r="BO12" s="383">
        <f t="shared" si="5"/>
        <v>25445</v>
      </c>
      <c r="BP12" s="383">
        <f t="shared" si="5"/>
        <v>19083.75</v>
      </c>
      <c r="BQ12" s="383">
        <f t="shared" si="5"/>
        <v>60987.499999999993</v>
      </c>
      <c r="BR12" s="383">
        <f t="shared" ref="BR12:BX12" si="6">IF(BR7&gt;BR8,BR8,BR7)*BR6</f>
        <v>0</v>
      </c>
      <c r="BS12" s="383">
        <f t="shared" si="6"/>
        <v>0</v>
      </c>
      <c r="BT12" s="383">
        <f t="shared" si="6"/>
        <v>0</v>
      </c>
      <c r="BU12" s="383">
        <f t="shared" si="6"/>
        <v>0</v>
      </c>
      <c r="BV12" s="383">
        <f t="shared" si="6"/>
        <v>0</v>
      </c>
      <c r="BW12" s="383">
        <f t="shared" si="6"/>
        <v>36577.1875</v>
      </c>
      <c r="BX12" s="383">
        <f t="shared" si="6"/>
        <v>0</v>
      </c>
      <c r="BY12" s="383">
        <f>IF(BY7&gt;BY8,BY8,BY7)*BY6</f>
        <v>0</v>
      </c>
      <c r="BZ12" s="383">
        <f>IF(BZ7&gt;BZ8,BZ8,BZ7)*BZ6</f>
        <v>0</v>
      </c>
      <c r="CA12" s="383">
        <f t="shared" ref="CA12" si="7">IF(CA7&gt;CA8,CA8,CA7)*CA6</f>
        <v>31806.25</v>
      </c>
      <c r="CB12" s="383">
        <f>IF(CB7&gt;CB8,CB8,CB7)*CB6</f>
        <v>20674.0625</v>
      </c>
    </row>
    <row r="13" spans="1:80">
      <c r="A13" s="377" t="s">
        <v>1107</v>
      </c>
      <c r="B13" s="378">
        <v>1850</v>
      </c>
      <c r="C13" s="379">
        <v>1850</v>
      </c>
      <c r="D13" s="379">
        <v>0</v>
      </c>
      <c r="E13" s="380">
        <v>450</v>
      </c>
      <c r="F13" s="380">
        <v>1100</v>
      </c>
      <c r="G13" s="380">
        <v>1100</v>
      </c>
      <c r="H13" s="380">
        <v>1100</v>
      </c>
      <c r="I13" s="379">
        <v>0</v>
      </c>
      <c r="J13" s="380">
        <v>0</v>
      </c>
      <c r="K13" s="380">
        <v>0</v>
      </c>
      <c r="L13" s="380">
        <v>0</v>
      </c>
      <c r="M13" s="380">
        <v>0</v>
      </c>
      <c r="N13" s="380">
        <v>0</v>
      </c>
      <c r="O13" s="380">
        <v>0</v>
      </c>
      <c r="P13" s="380">
        <v>0</v>
      </c>
      <c r="Q13" s="380">
        <v>0</v>
      </c>
      <c r="R13" s="380">
        <v>1800</v>
      </c>
      <c r="S13" s="380">
        <v>9800</v>
      </c>
      <c r="T13" s="380">
        <v>10800</v>
      </c>
      <c r="U13" s="380">
        <v>9800</v>
      </c>
      <c r="V13" s="380">
        <v>10800</v>
      </c>
      <c r="W13" s="380">
        <v>9800</v>
      </c>
      <c r="X13" s="380">
        <v>1590</v>
      </c>
      <c r="Y13" s="380">
        <v>1590</v>
      </c>
      <c r="Z13" s="380">
        <v>1590</v>
      </c>
      <c r="AA13" s="380">
        <v>1100</v>
      </c>
      <c r="AB13" s="380">
        <v>850</v>
      </c>
      <c r="AC13" s="380">
        <v>0</v>
      </c>
      <c r="AD13" s="380">
        <v>0</v>
      </c>
      <c r="AE13" s="380">
        <v>0</v>
      </c>
      <c r="AF13" s="380">
        <v>0</v>
      </c>
      <c r="AG13" s="380">
        <v>0</v>
      </c>
      <c r="AH13" s="380">
        <v>0</v>
      </c>
      <c r="AI13" s="380">
        <v>0</v>
      </c>
      <c r="AJ13" s="380">
        <v>1100</v>
      </c>
      <c r="AK13" s="380">
        <v>1100</v>
      </c>
      <c r="AL13" s="380">
        <v>0</v>
      </c>
      <c r="AM13" s="380">
        <v>0</v>
      </c>
      <c r="AN13" s="380">
        <v>0</v>
      </c>
      <c r="AO13" s="380">
        <v>0</v>
      </c>
      <c r="AP13" s="380">
        <v>0</v>
      </c>
      <c r="AQ13" s="380">
        <v>0</v>
      </c>
      <c r="AR13" s="380">
        <v>0</v>
      </c>
      <c r="AS13" s="380">
        <v>0</v>
      </c>
      <c r="AT13" s="380">
        <v>1590</v>
      </c>
      <c r="AU13" s="380">
        <v>0</v>
      </c>
      <c r="AV13" s="380">
        <v>0</v>
      </c>
      <c r="AW13" s="380">
        <v>0</v>
      </c>
      <c r="AX13" s="380">
        <v>1100</v>
      </c>
      <c r="AY13" s="380">
        <v>0</v>
      </c>
      <c r="AZ13" s="380">
        <v>0</v>
      </c>
      <c r="BA13" s="380">
        <v>0</v>
      </c>
      <c r="BB13" s="380">
        <v>0</v>
      </c>
      <c r="BC13" s="381">
        <v>0</v>
      </c>
      <c r="BD13" s="380">
        <v>0</v>
      </c>
      <c r="BE13" s="380">
        <v>0</v>
      </c>
      <c r="BF13" s="380">
        <v>0</v>
      </c>
      <c r="BG13" s="380">
        <v>0</v>
      </c>
      <c r="BH13" s="380">
        <v>0</v>
      </c>
      <c r="BI13" s="380">
        <v>2000</v>
      </c>
      <c r="BJ13" s="380">
        <v>1000</v>
      </c>
      <c r="BK13" s="380"/>
      <c r="BL13" s="380">
        <v>0</v>
      </c>
      <c r="BM13" s="380">
        <v>0</v>
      </c>
      <c r="BN13" s="380">
        <v>1000</v>
      </c>
      <c r="BO13" s="380">
        <v>1000</v>
      </c>
      <c r="BP13" s="380">
        <v>0</v>
      </c>
      <c r="BQ13" s="380">
        <v>9800</v>
      </c>
      <c r="BR13" s="380">
        <v>0</v>
      </c>
      <c r="BS13" s="380">
        <v>0</v>
      </c>
      <c r="BT13" s="380">
        <v>0</v>
      </c>
      <c r="BU13" s="380">
        <v>0</v>
      </c>
      <c r="BV13" s="380">
        <v>0</v>
      </c>
      <c r="BW13" s="380">
        <v>0</v>
      </c>
      <c r="BX13" s="380">
        <v>0</v>
      </c>
      <c r="BY13" s="380">
        <v>0</v>
      </c>
      <c r="BZ13" s="380">
        <v>0</v>
      </c>
      <c r="CA13" s="380">
        <v>1000</v>
      </c>
      <c r="CB13" s="380">
        <v>850</v>
      </c>
    </row>
    <row r="14" spans="1:80">
      <c r="A14" s="377" t="s">
        <v>1108</v>
      </c>
      <c r="B14" s="378">
        <v>260</v>
      </c>
      <c r="C14" s="379">
        <v>260</v>
      </c>
      <c r="D14" s="379">
        <v>0</v>
      </c>
      <c r="E14" s="380">
        <v>390</v>
      </c>
      <c r="F14" s="380">
        <v>0</v>
      </c>
      <c r="G14" s="380">
        <v>0</v>
      </c>
      <c r="H14" s="380">
        <v>650</v>
      </c>
      <c r="I14" s="379">
        <v>0</v>
      </c>
      <c r="J14" s="380">
        <v>0</v>
      </c>
      <c r="K14" s="380">
        <v>0</v>
      </c>
      <c r="L14" s="380">
        <v>0</v>
      </c>
      <c r="M14" s="380">
        <v>0</v>
      </c>
      <c r="N14" s="380">
        <v>0</v>
      </c>
      <c r="O14" s="380">
        <v>0</v>
      </c>
      <c r="P14" s="380">
        <v>0</v>
      </c>
      <c r="Q14" s="380">
        <v>0</v>
      </c>
      <c r="R14" s="380">
        <v>1700</v>
      </c>
      <c r="S14" s="380">
        <v>6500</v>
      </c>
      <c r="T14" s="380">
        <v>8000</v>
      </c>
      <c r="U14" s="380">
        <v>6500</v>
      </c>
      <c r="V14" s="380">
        <v>8000</v>
      </c>
      <c r="W14" s="380">
        <v>6500</v>
      </c>
      <c r="X14" s="380">
        <v>260</v>
      </c>
      <c r="Y14" s="380">
        <v>260</v>
      </c>
      <c r="Z14" s="380">
        <v>260</v>
      </c>
      <c r="AA14" s="380">
        <v>1100</v>
      </c>
      <c r="AB14" s="380">
        <v>380</v>
      </c>
      <c r="AC14" s="380">
        <v>0</v>
      </c>
      <c r="AD14" s="380">
        <v>0</v>
      </c>
      <c r="AE14" s="380">
        <v>0</v>
      </c>
      <c r="AF14" s="380">
        <v>0</v>
      </c>
      <c r="AG14" s="380">
        <v>0</v>
      </c>
      <c r="AH14" s="380">
        <v>0</v>
      </c>
      <c r="AI14" s="380">
        <v>0</v>
      </c>
      <c r="AJ14" s="380">
        <v>650</v>
      </c>
      <c r="AK14" s="380">
        <v>650</v>
      </c>
      <c r="AL14" s="380">
        <v>0</v>
      </c>
      <c r="AM14" s="380">
        <v>0</v>
      </c>
      <c r="AN14" s="380">
        <v>0</v>
      </c>
      <c r="AO14" s="380">
        <v>0</v>
      </c>
      <c r="AP14" s="380">
        <v>0</v>
      </c>
      <c r="AQ14" s="380">
        <v>0</v>
      </c>
      <c r="AR14" s="380">
        <v>0</v>
      </c>
      <c r="AS14" s="380">
        <v>0</v>
      </c>
      <c r="AT14" s="380">
        <v>260</v>
      </c>
      <c r="AU14" s="380">
        <v>0</v>
      </c>
      <c r="AV14" s="380">
        <v>0</v>
      </c>
      <c r="AW14" s="380">
        <v>0</v>
      </c>
      <c r="AX14" s="380">
        <v>1100</v>
      </c>
      <c r="AY14" s="380">
        <v>0</v>
      </c>
      <c r="AZ14" s="380">
        <v>0</v>
      </c>
      <c r="BA14" s="380">
        <v>0</v>
      </c>
      <c r="BB14" s="380">
        <v>0</v>
      </c>
      <c r="BC14" s="381">
        <v>0</v>
      </c>
      <c r="BD14" s="380">
        <v>0</v>
      </c>
      <c r="BE14" s="380">
        <v>0</v>
      </c>
      <c r="BF14" s="380">
        <v>0</v>
      </c>
      <c r="BG14" s="380">
        <v>0</v>
      </c>
      <c r="BH14" s="380">
        <v>0</v>
      </c>
      <c r="BI14" s="380">
        <v>0</v>
      </c>
      <c r="BJ14" s="380">
        <v>0</v>
      </c>
      <c r="BK14" s="380"/>
      <c r="BL14" s="380">
        <v>0</v>
      </c>
      <c r="BM14" s="380">
        <v>0</v>
      </c>
      <c r="BN14" s="380">
        <v>650</v>
      </c>
      <c r="BO14" s="380">
        <v>650</v>
      </c>
      <c r="BP14" s="380">
        <v>0</v>
      </c>
      <c r="BQ14" s="380">
        <v>6500</v>
      </c>
      <c r="BR14" s="380">
        <v>0</v>
      </c>
      <c r="BS14" s="380">
        <v>0</v>
      </c>
      <c r="BT14" s="380">
        <v>0</v>
      </c>
      <c r="BU14" s="380">
        <v>0</v>
      </c>
      <c r="BV14" s="380">
        <v>0</v>
      </c>
      <c r="BW14" s="380">
        <v>0</v>
      </c>
      <c r="BX14" s="380">
        <v>0</v>
      </c>
      <c r="BY14" s="380">
        <v>0</v>
      </c>
      <c r="BZ14" s="380">
        <v>0</v>
      </c>
      <c r="CA14" s="380">
        <v>650</v>
      </c>
      <c r="CB14" s="380">
        <v>380</v>
      </c>
    </row>
    <row r="15" spans="1:80">
      <c r="A15" s="377" t="s">
        <v>1109</v>
      </c>
      <c r="B15" s="378">
        <v>152</v>
      </c>
      <c r="C15" s="379">
        <v>152</v>
      </c>
      <c r="D15" s="379">
        <v>9500</v>
      </c>
      <c r="E15" s="380">
        <v>152</v>
      </c>
      <c r="F15" s="380">
        <v>0</v>
      </c>
      <c r="G15" s="380">
        <v>0</v>
      </c>
      <c r="H15" s="380">
        <v>0</v>
      </c>
      <c r="I15" s="379">
        <v>0</v>
      </c>
      <c r="J15" s="380">
        <v>0</v>
      </c>
      <c r="K15" s="380">
        <v>0</v>
      </c>
      <c r="L15" s="380">
        <v>0</v>
      </c>
      <c r="M15" s="380">
        <v>0</v>
      </c>
      <c r="N15" s="380">
        <v>0</v>
      </c>
      <c r="O15" s="380">
        <v>0</v>
      </c>
      <c r="P15" s="380">
        <v>0</v>
      </c>
      <c r="Q15" s="380">
        <v>0</v>
      </c>
      <c r="R15" s="380">
        <v>152</v>
      </c>
      <c r="S15" s="380">
        <v>2480</v>
      </c>
      <c r="T15" s="380">
        <v>2480</v>
      </c>
      <c r="U15" s="380">
        <v>2480</v>
      </c>
      <c r="V15" s="380">
        <v>2480</v>
      </c>
      <c r="W15" s="380">
        <v>2480</v>
      </c>
      <c r="X15" s="380">
        <v>152</v>
      </c>
      <c r="Y15" s="380">
        <v>152</v>
      </c>
      <c r="Z15" s="380">
        <v>152</v>
      </c>
      <c r="AA15" s="380">
        <v>152</v>
      </c>
      <c r="AB15" s="380">
        <v>150</v>
      </c>
      <c r="AC15" s="380">
        <v>0</v>
      </c>
      <c r="AD15" s="380">
        <v>0</v>
      </c>
      <c r="AE15" s="380">
        <v>0</v>
      </c>
      <c r="AF15" s="380">
        <v>0</v>
      </c>
      <c r="AG15" s="380">
        <v>0</v>
      </c>
      <c r="AH15" s="380">
        <v>0</v>
      </c>
      <c r="AI15" s="380">
        <v>0</v>
      </c>
      <c r="AJ15" s="380">
        <v>152</v>
      </c>
      <c r="AK15" s="380">
        <v>152</v>
      </c>
      <c r="AL15" s="380">
        <v>0</v>
      </c>
      <c r="AM15" s="380">
        <v>0</v>
      </c>
      <c r="AN15" s="380">
        <v>0</v>
      </c>
      <c r="AO15" s="380">
        <v>0</v>
      </c>
      <c r="AP15" s="380">
        <v>0</v>
      </c>
      <c r="AQ15" s="380">
        <v>0</v>
      </c>
      <c r="AR15" s="380">
        <v>0</v>
      </c>
      <c r="AS15" s="380">
        <v>0</v>
      </c>
      <c r="AT15" s="380">
        <v>152</v>
      </c>
      <c r="AU15" s="380">
        <v>0</v>
      </c>
      <c r="AV15" s="380">
        <v>0</v>
      </c>
      <c r="AW15" s="380">
        <v>0</v>
      </c>
      <c r="AX15" s="380">
        <v>0</v>
      </c>
      <c r="AY15" s="380">
        <v>0</v>
      </c>
      <c r="AZ15" s="380">
        <v>0</v>
      </c>
      <c r="BA15" s="380">
        <v>0</v>
      </c>
      <c r="BB15" s="380">
        <v>0</v>
      </c>
      <c r="BC15" s="381">
        <v>0</v>
      </c>
      <c r="BD15" s="380">
        <v>0</v>
      </c>
      <c r="BE15" s="380">
        <v>0</v>
      </c>
      <c r="BF15" s="380">
        <v>0</v>
      </c>
      <c r="BG15" s="380">
        <v>0</v>
      </c>
      <c r="BH15" s="380">
        <v>0</v>
      </c>
      <c r="BI15" s="380">
        <v>0</v>
      </c>
      <c r="BJ15" s="380">
        <v>0</v>
      </c>
      <c r="BK15" s="380"/>
      <c r="BL15" s="380">
        <v>0</v>
      </c>
      <c r="BM15" s="380">
        <v>0</v>
      </c>
      <c r="BN15" s="380">
        <v>0</v>
      </c>
      <c r="BO15" s="380">
        <v>0</v>
      </c>
      <c r="BP15" s="380">
        <v>0</v>
      </c>
      <c r="BQ15" s="380">
        <v>2480</v>
      </c>
      <c r="BR15" s="380">
        <v>0</v>
      </c>
      <c r="BS15" s="380">
        <v>0</v>
      </c>
      <c r="BT15" s="380">
        <v>0</v>
      </c>
      <c r="BU15" s="380">
        <v>0</v>
      </c>
      <c r="BV15" s="380">
        <v>0</v>
      </c>
      <c r="BW15" s="380">
        <v>0</v>
      </c>
      <c r="BX15" s="380">
        <v>0</v>
      </c>
      <c r="BY15" s="380">
        <v>0</v>
      </c>
      <c r="BZ15" s="380">
        <v>0</v>
      </c>
      <c r="CA15" s="380">
        <v>0</v>
      </c>
      <c r="CB15" s="380">
        <v>150</v>
      </c>
    </row>
    <row r="16" spans="1:80">
      <c r="A16" s="377" t="s">
        <v>1110</v>
      </c>
      <c r="B16" s="378">
        <v>0</v>
      </c>
      <c r="C16" s="379">
        <v>76</v>
      </c>
      <c r="D16" s="379">
        <v>0</v>
      </c>
      <c r="E16" s="380">
        <v>0</v>
      </c>
      <c r="F16" s="380">
        <v>0</v>
      </c>
      <c r="G16" s="380">
        <v>0</v>
      </c>
      <c r="H16" s="380">
        <v>0</v>
      </c>
      <c r="I16" s="379">
        <v>0</v>
      </c>
      <c r="J16" s="380">
        <v>0</v>
      </c>
      <c r="K16" s="380">
        <v>0</v>
      </c>
      <c r="L16" s="380">
        <v>0</v>
      </c>
      <c r="M16" s="380">
        <v>0</v>
      </c>
      <c r="N16" s="380">
        <v>0</v>
      </c>
      <c r="O16" s="380">
        <v>0</v>
      </c>
      <c r="P16" s="380">
        <v>0</v>
      </c>
      <c r="Q16" s="380">
        <v>0</v>
      </c>
      <c r="R16" s="380">
        <v>76</v>
      </c>
      <c r="S16" s="380">
        <v>76</v>
      </c>
      <c r="T16" s="380">
        <v>76</v>
      </c>
      <c r="U16" s="380">
        <v>76</v>
      </c>
      <c r="V16" s="380">
        <v>76</v>
      </c>
      <c r="W16" s="380">
        <v>76</v>
      </c>
      <c r="X16" s="380">
        <v>76</v>
      </c>
      <c r="Y16" s="380">
        <v>76</v>
      </c>
      <c r="Z16" s="380">
        <v>76</v>
      </c>
      <c r="AA16" s="380">
        <v>0</v>
      </c>
      <c r="AB16" s="380">
        <v>0</v>
      </c>
      <c r="AC16" s="380">
        <v>0</v>
      </c>
      <c r="AD16" s="380">
        <v>0</v>
      </c>
      <c r="AE16" s="380">
        <v>0</v>
      </c>
      <c r="AF16" s="380">
        <v>0</v>
      </c>
      <c r="AG16" s="380">
        <v>0</v>
      </c>
      <c r="AH16" s="380">
        <v>0</v>
      </c>
      <c r="AI16" s="380">
        <v>0</v>
      </c>
      <c r="AJ16" s="380">
        <v>0</v>
      </c>
      <c r="AK16" s="380">
        <v>0</v>
      </c>
      <c r="AL16" s="380">
        <v>0</v>
      </c>
      <c r="AM16" s="380">
        <v>0</v>
      </c>
      <c r="AN16" s="380">
        <v>0</v>
      </c>
      <c r="AO16" s="380">
        <v>0</v>
      </c>
      <c r="AP16" s="380">
        <v>0</v>
      </c>
      <c r="AQ16" s="380">
        <v>0</v>
      </c>
      <c r="AR16" s="380">
        <v>0</v>
      </c>
      <c r="AS16" s="380">
        <v>0</v>
      </c>
      <c r="AT16" s="380">
        <v>76</v>
      </c>
      <c r="AU16" s="380">
        <v>0</v>
      </c>
      <c r="AV16" s="380">
        <v>0</v>
      </c>
      <c r="AW16" s="380">
        <v>0</v>
      </c>
      <c r="AX16" s="380">
        <v>0</v>
      </c>
      <c r="AY16" s="380">
        <v>0</v>
      </c>
      <c r="AZ16" s="380">
        <v>0</v>
      </c>
      <c r="BA16" s="380">
        <v>0</v>
      </c>
      <c r="BB16" s="380">
        <v>0</v>
      </c>
      <c r="BC16" s="381">
        <v>0</v>
      </c>
      <c r="BD16" s="380">
        <v>0</v>
      </c>
      <c r="BE16" s="380">
        <v>0</v>
      </c>
      <c r="BF16" s="380">
        <v>0</v>
      </c>
      <c r="BG16" s="380">
        <v>0</v>
      </c>
      <c r="BH16" s="380">
        <v>0</v>
      </c>
      <c r="BI16" s="380">
        <v>0</v>
      </c>
      <c r="BJ16" s="380">
        <v>0</v>
      </c>
      <c r="BK16" s="380"/>
      <c r="BL16" s="380">
        <v>0</v>
      </c>
      <c r="BM16" s="380">
        <v>0</v>
      </c>
      <c r="BN16" s="380">
        <v>0</v>
      </c>
      <c r="BO16" s="380">
        <v>0</v>
      </c>
      <c r="BP16" s="380">
        <v>0</v>
      </c>
      <c r="BQ16" s="380">
        <v>76</v>
      </c>
      <c r="BR16" s="380">
        <v>0</v>
      </c>
      <c r="BS16" s="380">
        <v>0</v>
      </c>
      <c r="BT16" s="380">
        <v>0</v>
      </c>
      <c r="BU16" s="380">
        <v>0</v>
      </c>
      <c r="BV16" s="380">
        <v>0</v>
      </c>
      <c r="BW16" s="380">
        <v>0</v>
      </c>
      <c r="BX16" s="380">
        <v>0</v>
      </c>
      <c r="BY16" s="380">
        <v>0</v>
      </c>
      <c r="BZ16" s="380">
        <v>0</v>
      </c>
      <c r="CA16" s="380">
        <v>0</v>
      </c>
      <c r="CB16" s="380">
        <v>0</v>
      </c>
    </row>
    <row r="17" spans="1:80">
      <c r="A17" s="377" t="s">
        <v>1111</v>
      </c>
      <c r="B17" s="378">
        <v>0</v>
      </c>
      <c r="C17" s="379">
        <v>1</v>
      </c>
      <c r="D17" s="379">
        <v>0</v>
      </c>
      <c r="E17" s="380">
        <v>0</v>
      </c>
      <c r="F17" s="380">
        <v>0</v>
      </c>
      <c r="G17" s="380">
        <v>0</v>
      </c>
      <c r="H17" s="380">
        <v>0</v>
      </c>
      <c r="I17" s="379">
        <v>0</v>
      </c>
      <c r="J17" s="380">
        <v>0</v>
      </c>
      <c r="K17" s="380">
        <v>0</v>
      </c>
      <c r="L17" s="380">
        <v>0</v>
      </c>
      <c r="M17" s="380">
        <v>0</v>
      </c>
      <c r="N17" s="380">
        <v>0</v>
      </c>
      <c r="O17" s="380">
        <v>0</v>
      </c>
      <c r="P17" s="380">
        <v>0</v>
      </c>
      <c r="Q17" s="380">
        <v>0</v>
      </c>
      <c r="R17" s="380">
        <v>1</v>
      </c>
      <c r="S17" s="380">
        <v>1</v>
      </c>
      <c r="T17" s="380">
        <v>1</v>
      </c>
      <c r="U17" s="380">
        <v>1</v>
      </c>
      <c r="V17" s="380">
        <v>1</v>
      </c>
      <c r="W17" s="380">
        <v>1</v>
      </c>
      <c r="X17" s="380">
        <v>1</v>
      </c>
      <c r="Y17" s="380">
        <v>1</v>
      </c>
      <c r="Z17" s="380">
        <v>1</v>
      </c>
      <c r="AA17" s="380">
        <v>0</v>
      </c>
      <c r="AB17" s="380">
        <v>0</v>
      </c>
      <c r="AC17" s="380">
        <v>0</v>
      </c>
      <c r="AD17" s="380">
        <v>0</v>
      </c>
      <c r="AE17" s="380">
        <v>0</v>
      </c>
      <c r="AF17" s="380">
        <v>0</v>
      </c>
      <c r="AG17" s="380">
        <v>0</v>
      </c>
      <c r="AH17" s="380">
        <v>0</v>
      </c>
      <c r="AI17" s="380">
        <v>0</v>
      </c>
      <c r="AJ17" s="380">
        <v>0</v>
      </c>
      <c r="AK17" s="380">
        <v>0</v>
      </c>
      <c r="AL17" s="380">
        <v>0</v>
      </c>
      <c r="AM17" s="380">
        <v>0</v>
      </c>
      <c r="AN17" s="380">
        <v>0</v>
      </c>
      <c r="AO17" s="380">
        <v>0</v>
      </c>
      <c r="AP17" s="380">
        <v>0</v>
      </c>
      <c r="AQ17" s="380">
        <v>0</v>
      </c>
      <c r="AR17" s="380">
        <v>0</v>
      </c>
      <c r="AS17" s="380">
        <v>0</v>
      </c>
      <c r="AT17" s="380">
        <v>1</v>
      </c>
      <c r="AU17" s="380">
        <v>0</v>
      </c>
      <c r="AV17" s="380">
        <v>0</v>
      </c>
      <c r="AW17" s="380">
        <v>0</v>
      </c>
      <c r="AX17" s="380">
        <v>0</v>
      </c>
      <c r="AY17" s="380">
        <v>0</v>
      </c>
      <c r="AZ17" s="380">
        <v>0</v>
      </c>
      <c r="BA17" s="380">
        <v>0</v>
      </c>
      <c r="BB17" s="380">
        <v>0</v>
      </c>
      <c r="BC17" s="381">
        <v>0</v>
      </c>
      <c r="BD17" s="380">
        <v>0</v>
      </c>
      <c r="BE17" s="380">
        <v>0</v>
      </c>
      <c r="BF17" s="380">
        <v>0</v>
      </c>
      <c r="BG17" s="380">
        <v>0</v>
      </c>
      <c r="BH17" s="380">
        <v>0</v>
      </c>
      <c r="BI17" s="380">
        <v>0</v>
      </c>
      <c r="BJ17" s="380">
        <v>0</v>
      </c>
      <c r="BK17" s="380"/>
      <c r="BL17" s="380">
        <v>0</v>
      </c>
      <c r="BM17" s="380">
        <v>0</v>
      </c>
      <c r="BN17" s="380">
        <v>0</v>
      </c>
      <c r="BO17" s="380">
        <v>0</v>
      </c>
      <c r="BP17" s="380">
        <v>0</v>
      </c>
      <c r="BQ17" s="380">
        <v>1</v>
      </c>
      <c r="BR17" s="380">
        <v>0</v>
      </c>
      <c r="BS17" s="380">
        <v>0</v>
      </c>
      <c r="BT17" s="380">
        <v>0</v>
      </c>
      <c r="BU17" s="380">
        <v>0</v>
      </c>
      <c r="BV17" s="380">
        <v>0</v>
      </c>
      <c r="BW17" s="380">
        <v>0</v>
      </c>
      <c r="BX17" s="380">
        <v>0</v>
      </c>
      <c r="BY17" s="380">
        <v>0</v>
      </c>
      <c r="BZ17" s="380">
        <v>0</v>
      </c>
      <c r="CA17" s="380">
        <v>0</v>
      </c>
      <c r="CB17" s="380">
        <v>0</v>
      </c>
    </row>
    <row r="18" spans="1:80">
      <c r="A18" s="377" t="s">
        <v>1112</v>
      </c>
      <c r="B18" s="382">
        <f>'Devizni tecaj, porez i gorivo'!$C$19</f>
        <v>8.8000000000000007</v>
      </c>
      <c r="C18" s="383">
        <f>'Devizni tecaj, porez i gorivo'!$C$19</f>
        <v>8.8000000000000007</v>
      </c>
      <c r="D18" s="383">
        <v>0</v>
      </c>
      <c r="E18" s="383">
        <f>'Devizni tecaj, porez i gorivo'!$C$19</f>
        <v>8.8000000000000007</v>
      </c>
      <c r="F18" s="383">
        <f>'Devizni tecaj, porez i gorivo'!$C$19</f>
        <v>8.8000000000000007</v>
      </c>
      <c r="G18" s="383">
        <f>'Devizni tecaj, porez i gorivo'!$C$19</f>
        <v>8.8000000000000007</v>
      </c>
      <c r="H18" s="383">
        <f>'Devizni tecaj, porez i gorivo'!$C$19</f>
        <v>8.8000000000000007</v>
      </c>
      <c r="I18" s="383">
        <v>0</v>
      </c>
      <c r="J18" s="383">
        <f>'Devizni tecaj, porez i gorivo'!$C$19</f>
        <v>8.8000000000000007</v>
      </c>
      <c r="K18" s="383">
        <f>'Devizni tecaj, porez i gorivo'!$C$19</f>
        <v>8.8000000000000007</v>
      </c>
      <c r="L18" s="383">
        <f>'Devizni tecaj, porez i gorivo'!$C$19</f>
        <v>8.8000000000000007</v>
      </c>
      <c r="M18" s="383">
        <f>'Devizni tecaj, porez i gorivo'!$C$20</f>
        <v>8.879999999999999</v>
      </c>
      <c r="N18" s="383">
        <f>'Devizni tecaj, porez i gorivo'!$C$19</f>
        <v>8.8000000000000007</v>
      </c>
      <c r="O18" s="383">
        <f>'Devizni tecaj, porez i gorivo'!$C$19</f>
        <v>8.8000000000000007</v>
      </c>
      <c r="P18" s="383">
        <f>'Devizni tecaj, porez i gorivo'!$C$19</f>
        <v>8.8000000000000007</v>
      </c>
      <c r="Q18" s="383">
        <f>'Devizni tecaj, porez i gorivo'!$C$20</f>
        <v>8.879999999999999</v>
      </c>
      <c r="R18" s="383">
        <f>'Devizni tecaj, porez i gorivo'!$C$19</f>
        <v>8.8000000000000007</v>
      </c>
      <c r="S18" s="383">
        <f>'Devizni tecaj, porez i gorivo'!$C$19</f>
        <v>8.8000000000000007</v>
      </c>
      <c r="T18" s="383">
        <f>'Devizni tecaj, porez i gorivo'!$C$19</f>
        <v>8.8000000000000007</v>
      </c>
      <c r="U18" s="383">
        <f>'Devizni tecaj, porez i gorivo'!$C$19</f>
        <v>8.8000000000000007</v>
      </c>
      <c r="V18" s="383">
        <f>'Devizni tecaj, porez i gorivo'!$C$19</f>
        <v>8.8000000000000007</v>
      </c>
      <c r="W18" s="383">
        <f>'Devizni tecaj, porez i gorivo'!$C$19</f>
        <v>8.8000000000000007</v>
      </c>
      <c r="X18" s="383">
        <v>0</v>
      </c>
      <c r="Y18" s="383">
        <v>0</v>
      </c>
      <c r="Z18" s="383">
        <v>0</v>
      </c>
      <c r="AA18" s="383">
        <f>'Devizni tecaj, porez i gorivo'!$C$19</f>
        <v>8.8000000000000007</v>
      </c>
      <c r="AB18" s="383">
        <f>'Devizni tecaj, porez i gorivo'!$C$19</f>
        <v>8.8000000000000007</v>
      </c>
      <c r="AC18" s="383">
        <f>'Devizni tecaj, porez i gorivo'!$C$19</f>
        <v>8.8000000000000007</v>
      </c>
      <c r="AD18" s="383">
        <f>'Devizni tecaj, porez i gorivo'!$C$19</f>
        <v>8.8000000000000007</v>
      </c>
      <c r="AE18" s="383">
        <v>0</v>
      </c>
      <c r="AF18" s="383">
        <v>0</v>
      </c>
      <c r="AG18" s="383">
        <v>0</v>
      </c>
      <c r="AH18" s="383">
        <v>0</v>
      </c>
      <c r="AI18" s="383">
        <v>0</v>
      </c>
      <c r="AJ18" s="383">
        <f>'Devizni tecaj, porez i gorivo'!$C$19</f>
        <v>8.8000000000000007</v>
      </c>
      <c r="AK18" s="383">
        <f>'Devizni tecaj, porez i gorivo'!$C$19</f>
        <v>8.8000000000000007</v>
      </c>
      <c r="AL18" s="383">
        <v>0</v>
      </c>
      <c r="AM18" s="383">
        <v>0</v>
      </c>
      <c r="AN18" s="383">
        <v>0</v>
      </c>
      <c r="AO18" s="383">
        <v>0</v>
      </c>
      <c r="AP18" s="383">
        <v>0</v>
      </c>
      <c r="AQ18" s="383">
        <v>0</v>
      </c>
      <c r="AR18" s="383">
        <f>'Devizni tecaj, porez i gorivo'!$C$19</f>
        <v>8.8000000000000007</v>
      </c>
      <c r="AS18" s="383">
        <v>0</v>
      </c>
      <c r="AT18" s="383">
        <v>0</v>
      </c>
      <c r="AU18" s="383">
        <v>0</v>
      </c>
      <c r="AV18" s="383">
        <f>'Devizni tecaj, porez i gorivo'!$C$19</f>
        <v>8.8000000000000007</v>
      </c>
      <c r="AW18" s="383">
        <f>'Devizni tecaj, porez i gorivo'!$C$19</f>
        <v>8.8000000000000007</v>
      </c>
      <c r="AX18" s="383">
        <f>'Devizni tecaj, porez i gorivo'!$C$19</f>
        <v>8.8000000000000007</v>
      </c>
      <c r="AY18" s="383">
        <f>'Devizni tecaj, porez i gorivo'!$C$20</f>
        <v>8.879999999999999</v>
      </c>
      <c r="AZ18" s="383">
        <f>'Devizni tecaj, porez i gorivo'!$C$19</f>
        <v>8.8000000000000007</v>
      </c>
      <c r="BA18" s="383">
        <f>'Devizni tecaj, porez i gorivo'!$C$19</f>
        <v>8.8000000000000007</v>
      </c>
      <c r="BB18" s="383">
        <f>'Devizni tecaj, porez i gorivo'!$C$19</f>
        <v>8.8000000000000007</v>
      </c>
      <c r="BC18" s="384">
        <f>'Devizni tecaj, porez i gorivo'!$C$20</f>
        <v>8.879999999999999</v>
      </c>
      <c r="BD18" s="383">
        <f>'Devizni tecaj, porez i gorivo'!$C$19</f>
        <v>8.8000000000000007</v>
      </c>
      <c r="BE18" s="383">
        <f>'Devizni tecaj, porez i gorivo'!$C$19</f>
        <v>8.8000000000000007</v>
      </c>
      <c r="BF18" s="383">
        <f>'Devizni tecaj, porez i gorivo'!$C$19</f>
        <v>8.8000000000000007</v>
      </c>
      <c r="BG18" s="383">
        <f>'Devizni tecaj, porez i gorivo'!$C$19</f>
        <v>8.8000000000000007</v>
      </c>
      <c r="BH18" s="383">
        <f>'Devizni tecaj, porez i gorivo'!$C$19</f>
        <v>8.8000000000000007</v>
      </c>
      <c r="BI18" s="383">
        <f>'Devizni tecaj, porez i gorivo'!$C$19</f>
        <v>8.8000000000000007</v>
      </c>
      <c r="BJ18" s="383">
        <f>'Devizni tecaj, porez i gorivo'!$C$19</f>
        <v>8.8000000000000007</v>
      </c>
      <c r="BK18" s="383">
        <f>'Devizni tecaj, porez i gorivo'!$C$19</f>
        <v>8.8000000000000007</v>
      </c>
      <c r="BL18" s="383">
        <f>'Devizni tecaj, porez i gorivo'!$C$19</f>
        <v>8.8000000000000007</v>
      </c>
      <c r="BM18" s="383">
        <f>'Devizni tecaj, porez i gorivo'!$C$19</f>
        <v>8.8000000000000007</v>
      </c>
      <c r="BN18" s="383">
        <f>'Devizni tecaj, porez i gorivo'!$C$19</f>
        <v>8.8000000000000007</v>
      </c>
      <c r="BO18" s="383">
        <f>'Devizni tecaj, porez i gorivo'!$C$19</f>
        <v>8.8000000000000007</v>
      </c>
      <c r="BP18" s="383">
        <f>'Devizni tecaj, porez i gorivo'!$C$19</f>
        <v>8.8000000000000007</v>
      </c>
      <c r="BQ18" s="383">
        <f>'Devizni tecaj, porez i gorivo'!$C$19</f>
        <v>8.8000000000000007</v>
      </c>
      <c r="BR18" s="383">
        <f>'Devizni tecaj, porez i gorivo'!$C$19</f>
        <v>8.8000000000000007</v>
      </c>
      <c r="BS18" s="383">
        <v>0</v>
      </c>
      <c r="BT18" s="383">
        <v>0</v>
      </c>
      <c r="BU18" s="383">
        <v>0</v>
      </c>
      <c r="BV18" s="383">
        <v>0</v>
      </c>
      <c r="BW18" s="383">
        <f>'Devizni tecaj, porez i gorivo'!$C$19</f>
        <v>8.8000000000000007</v>
      </c>
      <c r="BX18" s="383">
        <f>'Devizni tecaj, porez i gorivo'!$C$19</f>
        <v>8.8000000000000007</v>
      </c>
      <c r="BY18" s="383">
        <v>0</v>
      </c>
      <c r="BZ18" s="383">
        <f>'Devizni tecaj, porez i gorivo'!$C$20</f>
        <v>8.879999999999999</v>
      </c>
      <c r="CA18" s="383">
        <f>'Devizni tecaj, porez i gorivo'!$C$19</f>
        <v>8.8000000000000007</v>
      </c>
      <c r="CB18" s="383">
        <f>'Devizni tecaj, porez i gorivo'!$C$19</f>
        <v>8.8000000000000007</v>
      </c>
    </row>
    <row r="19" spans="1:80">
      <c r="A19" s="377" t="s">
        <v>1113</v>
      </c>
      <c r="B19" s="378">
        <v>5</v>
      </c>
      <c r="C19" s="379">
        <v>7</v>
      </c>
      <c r="D19" s="379">
        <v>0</v>
      </c>
      <c r="E19" s="380">
        <v>18</v>
      </c>
      <c r="F19" s="380">
        <v>15</v>
      </c>
      <c r="G19" s="380">
        <v>9</v>
      </c>
      <c r="H19" s="380">
        <v>8</v>
      </c>
      <c r="I19" s="379">
        <v>0</v>
      </c>
      <c r="J19" s="380">
        <v>3</v>
      </c>
      <c r="K19" s="380">
        <v>5.5</v>
      </c>
      <c r="L19" s="380">
        <v>8</v>
      </c>
      <c r="M19" s="380">
        <v>2</v>
      </c>
      <c r="N19" s="380">
        <v>12</v>
      </c>
      <c r="O19" s="380">
        <v>7</v>
      </c>
      <c r="P19" s="380">
        <v>12</v>
      </c>
      <c r="Q19" s="380">
        <v>3</v>
      </c>
      <c r="R19" s="380">
        <v>7</v>
      </c>
      <c r="S19" s="380">
        <v>16</v>
      </c>
      <c r="T19" s="380">
        <v>19</v>
      </c>
      <c r="U19" s="380">
        <v>19</v>
      </c>
      <c r="V19" s="380">
        <v>22</v>
      </c>
      <c r="W19" s="380">
        <v>22</v>
      </c>
      <c r="X19" s="380">
        <v>0</v>
      </c>
      <c r="Y19" s="380">
        <v>0</v>
      </c>
      <c r="Z19" s="380">
        <v>0</v>
      </c>
      <c r="AA19" s="380">
        <v>15</v>
      </c>
      <c r="AB19" s="380">
        <v>12</v>
      </c>
      <c r="AC19" s="380">
        <v>0</v>
      </c>
      <c r="AD19" s="380">
        <v>0</v>
      </c>
      <c r="AE19" s="380">
        <v>0</v>
      </c>
      <c r="AF19" s="380">
        <v>0</v>
      </c>
      <c r="AG19" s="380">
        <v>0</v>
      </c>
      <c r="AH19" s="380">
        <v>0</v>
      </c>
      <c r="AI19" s="380">
        <v>0</v>
      </c>
      <c r="AJ19" s="380">
        <v>14</v>
      </c>
      <c r="AK19" s="380">
        <v>7</v>
      </c>
      <c r="AL19" s="380">
        <v>0</v>
      </c>
      <c r="AM19" s="380">
        <v>0</v>
      </c>
      <c r="AN19" s="380">
        <v>0</v>
      </c>
      <c r="AO19" s="380">
        <v>0</v>
      </c>
      <c r="AP19" s="380">
        <v>0</v>
      </c>
      <c r="AQ19" s="380">
        <v>0</v>
      </c>
      <c r="AR19" s="380">
        <v>3</v>
      </c>
      <c r="AS19" s="380">
        <v>0</v>
      </c>
      <c r="AT19" s="380">
        <v>0</v>
      </c>
      <c r="AU19" s="380">
        <v>0</v>
      </c>
      <c r="AV19" s="380">
        <v>4</v>
      </c>
      <c r="AW19" s="380">
        <v>1.8</v>
      </c>
      <c r="AX19" s="380">
        <v>4</v>
      </c>
      <c r="AY19" s="380">
        <v>1.5</v>
      </c>
      <c r="AZ19" s="380">
        <v>2</v>
      </c>
      <c r="BA19" s="380">
        <v>3</v>
      </c>
      <c r="BB19" s="380">
        <v>2</v>
      </c>
      <c r="BC19" s="381">
        <v>3</v>
      </c>
      <c r="BD19" s="380">
        <v>5</v>
      </c>
      <c r="BE19" s="380">
        <v>3</v>
      </c>
      <c r="BF19" s="380">
        <v>3</v>
      </c>
      <c r="BG19" s="380">
        <v>5</v>
      </c>
      <c r="BH19" s="380">
        <v>2.5</v>
      </c>
      <c r="BI19" s="380">
        <v>2.5</v>
      </c>
      <c r="BJ19" s="380">
        <v>2.5</v>
      </c>
      <c r="BK19" s="380">
        <v>5</v>
      </c>
      <c r="BL19" s="380">
        <v>4.5</v>
      </c>
      <c r="BM19" s="380"/>
      <c r="BN19" s="380">
        <v>7.5</v>
      </c>
      <c r="BO19" s="380"/>
      <c r="BP19" s="380"/>
      <c r="BQ19" s="640">
        <v>9</v>
      </c>
      <c r="BR19" s="380">
        <v>3</v>
      </c>
      <c r="BS19" s="380"/>
      <c r="BT19" s="380"/>
      <c r="BU19" s="380"/>
      <c r="BV19" s="380"/>
      <c r="BW19" s="380">
        <v>3</v>
      </c>
      <c r="BX19" s="380">
        <v>3</v>
      </c>
      <c r="BY19" s="380"/>
      <c r="BZ19" s="380">
        <v>3</v>
      </c>
      <c r="CA19" s="380">
        <v>7.5</v>
      </c>
      <c r="CB19" s="380">
        <v>12</v>
      </c>
    </row>
    <row r="20" spans="1:80">
      <c r="A20" s="377" t="s">
        <v>1114</v>
      </c>
      <c r="B20" s="391">
        <v>0.06</v>
      </c>
      <c r="C20" s="392">
        <v>0.06</v>
      </c>
      <c r="D20" s="392">
        <v>0</v>
      </c>
      <c r="E20" s="392">
        <v>0.06</v>
      </c>
      <c r="F20" s="392">
        <v>0.06</v>
      </c>
      <c r="G20" s="392">
        <v>0.06</v>
      </c>
      <c r="H20" s="392">
        <v>0.06</v>
      </c>
      <c r="I20" s="392">
        <v>0.06</v>
      </c>
      <c r="J20" s="392">
        <v>0.06</v>
      </c>
      <c r="K20" s="392">
        <v>0.06</v>
      </c>
      <c r="L20" s="392">
        <v>0.06</v>
      </c>
      <c r="M20" s="392">
        <v>0.06</v>
      </c>
      <c r="N20" s="392">
        <v>0.06</v>
      </c>
      <c r="O20" s="392">
        <v>0.06</v>
      </c>
      <c r="P20" s="392">
        <v>0.06</v>
      </c>
      <c r="Q20" s="392">
        <v>0.06</v>
      </c>
      <c r="R20" s="392">
        <v>0.06</v>
      </c>
      <c r="S20" s="392">
        <v>0.06</v>
      </c>
      <c r="T20" s="392">
        <v>0.06</v>
      </c>
      <c r="U20" s="392">
        <v>0.06</v>
      </c>
      <c r="V20" s="392">
        <v>0.06</v>
      </c>
      <c r="W20" s="392">
        <v>0.06</v>
      </c>
      <c r="X20" s="392">
        <v>0.06</v>
      </c>
      <c r="Y20" s="392">
        <v>0.06</v>
      </c>
      <c r="Z20" s="392">
        <v>0.06</v>
      </c>
      <c r="AA20" s="392">
        <v>0.06</v>
      </c>
      <c r="AB20" s="392">
        <v>0.06</v>
      </c>
      <c r="AC20" s="392">
        <v>0.06</v>
      </c>
      <c r="AD20" s="392">
        <v>0.06</v>
      </c>
      <c r="AE20" s="392">
        <v>0.06</v>
      </c>
      <c r="AF20" s="392">
        <v>0.06</v>
      </c>
      <c r="AG20" s="392">
        <v>0.06</v>
      </c>
      <c r="AH20" s="392">
        <v>0.06</v>
      </c>
      <c r="AI20" s="392">
        <v>0.06</v>
      </c>
      <c r="AJ20" s="392">
        <v>0.06</v>
      </c>
      <c r="AK20" s="392">
        <v>0.06</v>
      </c>
      <c r="AL20" s="392">
        <v>0.06</v>
      </c>
      <c r="AM20" s="392">
        <v>0.06</v>
      </c>
      <c r="AN20" s="392">
        <v>0.06</v>
      </c>
      <c r="AO20" s="392">
        <v>0.06</v>
      </c>
      <c r="AP20" s="392">
        <v>0.06</v>
      </c>
      <c r="AQ20" s="392">
        <v>0.06</v>
      </c>
      <c r="AR20" s="392">
        <v>0.06</v>
      </c>
      <c r="AS20" s="392">
        <v>0.06</v>
      </c>
      <c r="AT20" s="392">
        <v>0.06</v>
      </c>
      <c r="AU20" s="392">
        <v>0.06</v>
      </c>
      <c r="AV20" s="392">
        <v>0.06</v>
      </c>
      <c r="AW20" s="392">
        <v>0.06</v>
      </c>
      <c r="AX20" s="392">
        <v>0.06</v>
      </c>
      <c r="AY20" s="392">
        <v>0.06</v>
      </c>
      <c r="AZ20" s="392">
        <v>0.06</v>
      </c>
      <c r="BA20" s="392">
        <v>0.06</v>
      </c>
      <c r="BB20" s="392">
        <v>0.06</v>
      </c>
      <c r="BC20" s="393">
        <v>0.06</v>
      </c>
      <c r="BD20" s="392">
        <v>0.06</v>
      </c>
      <c r="BE20" s="392">
        <v>0.06</v>
      </c>
      <c r="BF20" s="392">
        <v>0.06</v>
      </c>
      <c r="BG20" s="392">
        <v>0.06</v>
      </c>
      <c r="BH20" s="392">
        <v>0.06</v>
      </c>
      <c r="BI20" s="392">
        <v>0.06</v>
      </c>
      <c r="BJ20" s="392">
        <v>0.06</v>
      </c>
      <c r="BK20" s="392">
        <v>0.06</v>
      </c>
      <c r="BL20" s="392">
        <v>0.06</v>
      </c>
      <c r="BM20" s="392">
        <v>0.06</v>
      </c>
      <c r="BN20" s="392">
        <v>0.06</v>
      </c>
      <c r="BO20" s="392">
        <v>0.06</v>
      </c>
      <c r="BP20" s="392">
        <v>0.06</v>
      </c>
      <c r="BQ20" s="392">
        <v>0.06</v>
      </c>
      <c r="BR20" s="392">
        <v>0.06</v>
      </c>
      <c r="BS20" s="392">
        <v>0.06</v>
      </c>
      <c r="BT20" s="392">
        <v>0.06</v>
      </c>
      <c r="BU20" s="392">
        <v>0.06</v>
      </c>
      <c r="BV20" s="392">
        <v>0.06</v>
      </c>
      <c r="BW20" s="392">
        <v>0.06</v>
      </c>
      <c r="BX20" s="392">
        <v>0.06</v>
      </c>
      <c r="BY20" s="392">
        <v>0.06</v>
      </c>
      <c r="BZ20" s="392">
        <v>0.06</v>
      </c>
      <c r="CA20" s="392">
        <v>0.06</v>
      </c>
      <c r="CB20" s="392">
        <v>0.06</v>
      </c>
    </row>
    <row r="21" spans="1:80">
      <c r="A21" s="377" t="s">
        <v>1115</v>
      </c>
      <c r="B21" s="382">
        <f>B18*B19*B20</f>
        <v>2.6399999999999997</v>
      </c>
      <c r="C21" s="383">
        <f>C20*C19*C18</f>
        <v>3.6960000000000002</v>
      </c>
      <c r="D21" s="383">
        <f>D20*D19*D18</f>
        <v>0</v>
      </c>
      <c r="E21" s="383">
        <f t="shared" ref="E21:AM21" si="8">E20*E19*E18</f>
        <v>9.5040000000000013</v>
      </c>
      <c r="F21" s="383">
        <f t="shared" si="8"/>
        <v>7.92</v>
      </c>
      <c r="G21" s="383">
        <f t="shared" si="8"/>
        <v>4.7520000000000007</v>
      </c>
      <c r="H21" s="383">
        <f t="shared" si="8"/>
        <v>4.2240000000000002</v>
      </c>
      <c r="I21" s="383">
        <f t="shared" si="8"/>
        <v>0</v>
      </c>
      <c r="J21" s="383">
        <f t="shared" si="8"/>
        <v>1.5840000000000001</v>
      </c>
      <c r="K21" s="383">
        <f t="shared" si="8"/>
        <v>2.9039999999999999</v>
      </c>
      <c r="L21" s="383">
        <f t="shared" si="8"/>
        <v>4.2240000000000002</v>
      </c>
      <c r="M21" s="383">
        <f>M20*M19*M18</f>
        <v>1.0655999999999999</v>
      </c>
      <c r="N21" s="383">
        <f t="shared" si="8"/>
        <v>6.3360000000000003</v>
      </c>
      <c r="O21" s="383">
        <f>O20*O19*O18</f>
        <v>3.6960000000000002</v>
      </c>
      <c r="P21" s="383">
        <f t="shared" si="8"/>
        <v>6.3360000000000003</v>
      </c>
      <c r="Q21" s="383">
        <f t="shared" si="8"/>
        <v>1.5983999999999998</v>
      </c>
      <c r="R21" s="383">
        <f t="shared" si="8"/>
        <v>3.6960000000000002</v>
      </c>
      <c r="S21" s="383">
        <f t="shared" si="8"/>
        <v>8.4480000000000004</v>
      </c>
      <c r="T21" s="383">
        <f t="shared" si="8"/>
        <v>10.032</v>
      </c>
      <c r="U21" s="383">
        <f>U20*U19*U18</f>
        <v>10.032</v>
      </c>
      <c r="V21" s="383">
        <f t="shared" si="8"/>
        <v>11.616</v>
      </c>
      <c r="W21" s="383">
        <f t="shared" ref="W21:AD21" si="9">W20*W19*W18</f>
        <v>11.616</v>
      </c>
      <c r="X21" s="383">
        <f t="shared" si="9"/>
        <v>0</v>
      </c>
      <c r="Y21" s="383">
        <f t="shared" si="9"/>
        <v>0</v>
      </c>
      <c r="Z21" s="383">
        <f t="shared" si="9"/>
        <v>0</v>
      </c>
      <c r="AA21" s="383">
        <f t="shared" si="9"/>
        <v>7.92</v>
      </c>
      <c r="AB21" s="383">
        <f t="shared" si="8"/>
        <v>6.3360000000000003</v>
      </c>
      <c r="AC21" s="383">
        <f t="shared" si="9"/>
        <v>0</v>
      </c>
      <c r="AD21" s="383">
        <f t="shared" si="9"/>
        <v>0</v>
      </c>
      <c r="AE21" s="383">
        <f t="shared" si="8"/>
        <v>0</v>
      </c>
      <c r="AF21" s="383">
        <f t="shared" si="8"/>
        <v>0</v>
      </c>
      <c r="AG21" s="383">
        <f t="shared" si="8"/>
        <v>0</v>
      </c>
      <c r="AH21" s="383">
        <f t="shared" si="8"/>
        <v>0</v>
      </c>
      <c r="AI21" s="383">
        <f t="shared" si="8"/>
        <v>0</v>
      </c>
      <c r="AJ21" s="383">
        <f t="shared" si="8"/>
        <v>7.3920000000000003</v>
      </c>
      <c r="AK21" s="383">
        <f t="shared" si="8"/>
        <v>3.6960000000000002</v>
      </c>
      <c r="AL21" s="383">
        <f t="shared" si="8"/>
        <v>0</v>
      </c>
      <c r="AM21" s="383">
        <f t="shared" si="8"/>
        <v>0</v>
      </c>
      <c r="AN21" s="383">
        <f t="shared" ref="AN21:BJ21" si="10">AN20*AN19*AN18</f>
        <v>0</v>
      </c>
      <c r="AO21" s="383">
        <f t="shared" si="10"/>
        <v>0</v>
      </c>
      <c r="AP21" s="383">
        <f t="shared" si="10"/>
        <v>0</v>
      </c>
      <c r="AQ21" s="383">
        <f t="shared" si="10"/>
        <v>0</v>
      </c>
      <c r="AR21" s="383">
        <f t="shared" si="10"/>
        <v>1.5840000000000001</v>
      </c>
      <c r="AS21" s="383">
        <f t="shared" si="10"/>
        <v>0</v>
      </c>
      <c r="AT21" s="383">
        <f t="shared" si="10"/>
        <v>0</v>
      </c>
      <c r="AU21" s="383">
        <f t="shared" si="10"/>
        <v>0</v>
      </c>
      <c r="AV21" s="383">
        <f>AV20*AV19*AV18</f>
        <v>2.1120000000000001</v>
      </c>
      <c r="AW21" s="383">
        <f>AW20*AW19*AW18</f>
        <v>0.95040000000000002</v>
      </c>
      <c r="AX21" s="383">
        <f>AX20*AX19*AX18</f>
        <v>2.1120000000000001</v>
      </c>
      <c r="AY21" s="383">
        <f>AY20*AY19*AY18</f>
        <v>0.79919999999999991</v>
      </c>
      <c r="AZ21" s="383">
        <f>AZ20*AZ19*AZ18</f>
        <v>1.056</v>
      </c>
      <c r="BA21" s="383">
        <f t="shared" si="10"/>
        <v>1.5840000000000001</v>
      </c>
      <c r="BB21" s="383">
        <f>BB20*BB19*BB18</f>
        <v>1.056</v>
      </c>
      <c r="BC21" s="384">
        <f t="shared" si="10"/>
        <v>1.5983999999999998</v>
      </c>
      <c r="BD21" s="383">
        <f>BD18*BD19*BD20</f>
        <v>2.6399999999999997</v>
      </c>
      <c r="BE21" s="383">
        <f t="shared" si="10"/>
        <v>1.5840000000000001</v>
      </c>
      <c r="BF21" s="383">
        <f t="shared" si="10"/>
        <v>1.5840000000000001</v>
      </c>
      <c r="BG21" s="383">
        <f t="shared" si="10"/>
        <v>2.64</v>
      </c>
      <c r="BH21" s="383">
        <f t="shared" si="10"/>
        <v>1.32</v>
      </c>
      <c r="BI21" s="383">
        <f t="shared" si="10"/>
        <v>1.32</v>
      </c>
      <c r="BJ21" s="383">
        <f t="shared" si="10"/>
        <v>1.32</v>
      </c>
      <c r="BK21" s="383">
        <f t="shared" ref="BK21:BT21" si="11">BK20*BK19*BK18</f>
        <v>2.64</v>
      </c>
      <c r="BL21" s="383">
        <f t="shared" si="11"/>
        <v>2.3760000000000003</v>
      </c>
      <c r="BM21" s="383">
        <f t="shared" si="11"/>
        <v>0</v>
      </c>
      <c r="BN21" s="383">
        <f t="shared" si="11"/>
        <v>3.96</v>
      </c>
      <c r="BO21" s="383">
        <f t="shared" si="11"/>
        <v>0</v>
      </c>
      <c r="BP21" s="383">
        <f t="shared" si="11"/>
        <v>0</v>
      </c>
      <c r="BQ21" s="383">
        <f t="shared" si="11"/>
        <v>4.7520000000000007</v>
      </c>
      <c r="BR21" s="383">
        <f t="shared" si="11"/>
        <v>1.5840000000000001</v>
      </c>
      <c r="BS21" s="383">
        <f t="shared" si="11"/>
        <v>0</v>
      </c>
      <c r="BT21" s="383">
        <f t="shared" si="11"/>
        <v>0</v>
      </c>
      <c r="BU21" s="383">
        <f t="shared" ref="BU21:CA21" si="12">BU20*BU19*BU18</f>
        <v>0</v>
      </c>
      <c r="BV21" s="383">
        <f t="shared" si="12"/>
        <v>0</v>
      </c>
      <c r="BW21" s="383">
        <f t="shared" si="12"/>
        <v>1.5840000000000001</v>
      </c>
      <c r="BX21" s="383">
        <f t="shared" si="12"/>
        <v>1.5840000000000001</v>
      </c>
      <c r="BY21" s="383">
        <f t="shared" si="12"/>
        <v>0</v>
      </c>
      <c r="BZ21" s="383">
        <f t="shared" si="12"/>
        <v>1.5983999999999998</v>
      </c>
      <c r="CA21" s="383">
        <f t="shared" si="12"/>
        <v>3.96</v>
      </c>
      <c r="CB21" s="383">
        <f>CB20*CB19*CB18</f>
        <v>6.3360000000000003</v>
      </c>
    </row>
    <row r="22" spans="1:80">
      <c r="A22" s="377" t="s">
        <v>1116</v>
      </c>
      <c r="B22" s="378">
        <v>400</v>
      </c>
      <c r="C22" s="379">
        <v>940</v>
      </c>
      <c r="D22" s="379">
        <v>0</v>
      </c>
      <c r="E22" s="380">
        <v>4700</v>
      </c>
      <c r="F22" s="380">
        <v>2870</v>
      </c>
      <c r="G22" s="380">
        <v>1140</v>
      </c>
      <c r="H22" s="380">
        <v>2870</v>
      </c>
      <c r="I22" s="379">
        <v>0</v>
      </c>
      <c r="J22" s="380">
        <v>0</v>
      </c>
      <c r="K22" s="380">
        <v>0</v>
      </c>
      <c r="L22" s="380">
        <v>0</v>
      </c>
      <c r="M22" s="380">
        <v>0</v>
      </c>
      <c r="N22" s="380">
        <v>750</v>
      </c>
      <c r="O22" s="380"/>
      <c r="P22" s="380">
        <v>5100</v>
      </c>
      <c r="Q22" s="380">
        <v>250</v>
      </c>
      <c r="R22" s="380">
        <v>940</v>
      </c>
      <c r="S22" s="380">
        <v>1275</v>
      </c>
      <c r="T22" s="380">
        <v>1275</v>
      </c>
      <c r="U22" s="380">
        <v>1275</v>
      </c>
      <c r="V22" s="380">
        <v>1275</v>
      </c>
      <c r="W22" s="380">
        <v>1275</v>
      </c>
      <c r="X22" s="380">
        <v>950</v>
      </c>
      <c r="Y22" s="380">
        <v>950</v>
      </c>
      <c r="Z22" s="380">
        <v>950</v>
      </c>
      <c r="AA22" s="380">
        <v>2870</v>
      </c>
      <c r="AB22" s="380">
        <v>5100</v>
      </c>
      <c r="AC22" s="380">
        <v>0</v>
      </c>
      <c r="AD22" s="380">
        <v>0</v>
      </c>
      <c r="AE22" s="380">
        <v>0</v>
      </c>
      <c r="AF22" s="380">
        <v>0</v>
      </c>
      <c r="AG22" s="380">
        <v>0</v>
      </c>
      <c r="AH22" s="380">
        <v>190</v>
      </c>
      <c r="AI22" s="380">
        <v>0</v>
      </c>
      <c r="AJ22" s="380">
        <v>4675</v>
      </c>
      <c r="AK22" s="380">
        <v>3000</v>
      </c>
      <c r="AL22" s="380">
        <v>0</v>
      </c>
      <c r="AM22" s="380">
        <v>0</v>
      </c>
      <c r="AN22" s="380">
        <v>0</v>
      </c>
      <c r="AO22" s="380">
        <v>0</v>
      </c>
      <c r="AP22" s="380">
        <v>0</v>
      </c>
      <c r="AQ22" s="380">
        <v>0</v>
      </c>
      <c r="AR22" s="380">
        <v>0</v>
      </c>
      <c r="AS22" s="380">
        <v>0</v>
      </c>
      <c r="AT22" s="380">
        <v>950</v>
      </c>
      <c r="AU22" s="380">
        <v>0</v>
      </c>
      <c r="AV22" s="380">
        <v>940</v>
      </c>
      <c r="AW22" s="380">
        <v>500</v>
      </c>
      <c r="AX22" s="380">
        <v>2000</v>
      </c>
      <c r="AY22" s="380">
        <v>0</v>
      </c>
      <c r="AZ22" s="380">
        <v>0</v>
      </c>
      <c r="BA22" s="380">
        <v>0</v>
      </c>
      <c r="BB22" s="380">
        <v>0</v>
      </c>
      <c r="BC22" s="381">
        <v>250</v>
      </c>
      <c r="BD22" s="380">
        <v>400</v>
      </c>
      <c r="BE22" s="380">
        <v>250</v>
      </c>
      <c r="BF22" s="380">
        <v>250</v>
      </c>
      <c r="BG22" s="380">
        <v>0</v>
      </c>
      <c r="BH22" s="380">
        <v>0</v>
      </c>
      <c r="BI22" s="380">
        <v>0</v>
      </c>
      <c r="BJ22" s="380">
        <v>0</v>
      </c>
      <c r="BK22" s="380"/>
      <c r="BL22" s="380">
        <v>5100</v>
      </c>
      <c r="BM22" s="380"/>
      <c r="BN22" s="380"/>
      <c r="BO22" s="380"/>
      <c r="BP22" s="380"/>
      <c r="BQ22" s="380">
        <v>1275</v>
      </c>
      <c r="BR22" s="380"/>
      <c r="BS22" s="380"/>
      <c r="BT22" s="380"/>
      <c r="BU22" s="380"/>
      <c r="BV22" s="380"/>
      <c r="BW22" s="380">
        <v>250</v>
      </c>
      <c r="BX22" s="380"/>
      <c r="BY22" s="380"/>
      <c r="BZ22" s="380">
        <v>200</v>
      </c>
      <c r="CA22" s="380"/>
      <c r="CB22" s="380">
        <v>600</v>
      </c>
    </row>
    <row r="23" spans="1:80">
      <c r="A23" s="377" t="s">
        <v>1117</v>
      </c>
      <c r="B23" s="378">
        <v>4</v>
      </c>
      <c r="C23" s="379">
        <v>3</v>
      </c>
      <c r="D23" s="379">
        <v>0</v>
      </c>
      <c r="E23" s="380">
        <v>3</v>
      </c>
      <c r="F23" s="380">
        <v>2</v>
      </c>
      <c r="G23" s="380">
        <v>4</v>
      </c>
      <c r="H23" s="380">
        <v>2</v>
      </c>
      <c r="I23" s="379">
        <v>0</v>
      </c>
      <c r="J23" s="380">
        <v>0</v>
      </c>
      <c r="K23" s="380">
        <v>0</v>
      </c>
      <c r="L23" s="380">
        <v>0</v>
      </c>
      <c r="M23" s="380">
        <v>0</v>
      </c>
      <c r="N23" s="380">
        <v>4</v>
      </c>
      <c r="O23" s="380">
        <v>6</v>
      </c>
      <c r="P23" s="380">
        <v>4</v>
      </c>
      <c r="Q23" s="380">
        <v>4</v>
      </c>
      <c r="R23" s="380">
        <v>6</v>
      </c>
      <c r="S23" s="380">
        <v>6</v>
      </c>
      <c r="T23" s="380">
        <v>10</v>
      </c>
      <c r="U23" s="380">
        <v>6</v>
      </c>
      <c r="V23" s="380">
        <v>10</v>
      </c>
      <c r="W23" s="380">
        <v>4</v>
      </c>
      <c r="X23" s="380">
        <v>6</v>
      </c>
      <c r="Y23" s="380">
        <v>4</v>
      </c>
      <c r="Z23" s="380">
        <v>2</v>
      </c>
      <c r="AA23" s="380">
        <v>2</v>
      </c>
      <c r="AB23" s="380">
        <v>4</v>
      </c>
      <c r="AC23" s="380">
        <v>0</v>
      </c>
      <c r="AD23" s="380">
        <v>0</v>
      </c>
      <c r="AE23" s="380">
        <v>0</v>
      </c>
      <c r="AF23" s="380">
        <v>0</v>
      </c>
      <c r="AG23" s="380">
        <v>0</v>
      </c>
      <c r="AH23" s="380">
        <v>2</v>
      </c>
      <c r="AI23" s="380">
        <v>0</v>
      </c>
      <c r="AJ23" s="380">
        <v>4</v>
      </c>
      <c r="AK23" s="380">
        <v>2</v>
      </c>
      <c r="AL23" s="380">
        <v>0</v>
      </c>
      <c r="AM23" s="380">
        <v>0</v>
      </c>
      <c r="AN23" s="380">
        <v>0</v>
      </c>
      <c r="AO23" s="380">
        <v>0</v>
      </c>
      <c r="AP23" s="380">
        <v>0</v>
      </c>
      <c r="AQ23" s="380">
        <v>0</v>
      </c>
      <c r="AR23" s="380">
        <v>0</v>
      </c>
      <c r="AS23" s="380">
        <v>0</v>
      </c>
      <c r="AT23" s="380">
        <v>4</v>
      </c>
      <c r="AU23" s="380">
        <v>0</v>
      </c>
      <c r="AV23" s="380">
        <v>2</v>
      </c>
      <c r="AW23" s="380">
        <v>0.5</v>
      </c>
      <c r="AX23" s="380">
        <v>1.5</v>
      </c>
      <c r="AY23" s="380">
        <v>0</v>
      </c>
      <c r="AZ23" s="380">
        <v>0</v>
      </c>
      <c r="BA23" s="380">
        <v>0</v>
      </c>
      <c r="BB23" s="380">
        <v>0</v>
      </c>
      <c r="BC23" s="381">
        <v>4</v>
      </c>
      <c r="BD23" s="380">
        <v>4</v>
      </c>
      <c r="BE23" s="380">
        <v>4</v>
      </c>
      <c r="BF23" s="380">
        <v>4</v>
      </c>
      <c r="BG23" s="380">
        <v>0</v>
      </c>
      <c r="BH23" s="380">
        <v>0</v>
      </c>
      <c r="BI23" s="380">
        <v>0</v>
      </c>
      <c r="BJ23" s="380">
        <v>0</v>
      </c>
      <c r="BK23" s="380"/>
      <c r="BL23" s="380">
        <v>4</v>
      </c>
      <c r="BM23" s="380"/>
      <c r="BN23" s="380"/>
      <c r="BO23" s="380"/>
      <c r="BP23" s="380"/>
      <c r="BQ23" s="380">
        <v>6</v>
      </c>
      <c r="BR23" s="380"/>
      <c r="BS23" s="380"/>
      <c r="BT23" s="380"/>
      <c r="BU23" s="380"/>
      <c r="BV23" s="380"/>
      <c r="BW23" s="380">
        <v>4</v>
      </c>
      <c r="BX23" s="380"/>
      <c r="BY23" s="380"/>
      <c r="BZ23" s="380">
        <v>1</v>
      </c>
      <c r="CA23" s="380"/>
      <c r="CB23" s="380">
        <v>2</v>
      </c>
    </row>
    <row r="24" spans="1:80">
      <c r="A24" s="377" t="s">
        <v>1118</v>
      </c>
      <c r="B24" s="391">
        <v>0.2</v>
      </c>
      <c r="C24" s="392">
        <v>0.2</v>
      </c>
      <c r="D24" s="392">
        <v>0.1</v>
      </c>
      <c r="E24" s="392">
        <v>0.14299999999999999</v>
      </c>
      <c r="F24" s="392">
        <v>0.14299999999999999</v>
      </c>
      <c r="G24" s="392">
        <v>0.14299999999999999</v>
      </c>
      <c r="H24" s="392">
        <v>0.14299999999999999</v>
      </c>
      <c r="I24" s="392">
        <v>0.1</v>
      </c>
      <c r="J24" s="392">
        <v>0.14299999999999999</v>
      </c>
      <c r="K24" s="392">
        <v>0.14299999999999999</v>
      </c>
      <c r="L24" s="392">
        <v>0.14299999999999999</v>
      </c>
      <c r="M24" s="392">
        <v>0.2</v>
      </c>
      <c r="N24" s="392">
        <v>0.14299999999999999</v>
      </c>
      <c r="O24" s="392">
        <v>0.14299999999999999</v>
      </c>
      <c r="P24" s="392">
        <v>0.14299999999999999</v>
      </c>
      <c r="Q24" s="392">
        <v>0.14299999999999999</v>
      </c>
      <c r="R24" s="392">
        <v>0.14299999999999999</v>
      </c>
      <c r="S24" s="392">
        <v>0.14299999999999999</v>
      </c>
      <c r="T24" s="392">
        <v>0.14299999999999999</v>
      </c>
      <c r="U24" s="392">
        <v>0.14299999999999999</v>
      </c>
      <c r="V24" s="392">
        <v>0.14299999999999999</v>
      </c>
      <c r="W24" s="392">
        <v>0.14299999999999999</v>
      </c>
      <c r="X24" s="392">
        <v>0.14299999999999999</v>
      </c>
      <c r="Y24" s="392">
        <v>0.14299999999999999</v>
      </c>
      <c r="Z24" s="392">
        <v>0.14299999999999999</v>
      </c>
      <c r="AA24" s="392">
        <v>0.14299999999999999</v>
      </c>
      <c r="AB24" s="392">
        <v>0.14299999999999999</v>
      </c>
      <c r="AC24" s="392">
        <v>0.14299999999999999</v>
      </c>
      <c r="AD24" s="392">
        <v>0.14299999999999999</v>
      </c>
      <c r="AE24" s="392">
        <v>0.14299999999999999</v>
      </c>
      <c r="AF24" s="392">
        <v>0.14299999999999999</v>
      </c>
      <c r="AG24" s="392">
        <v>0.14299999999999999</v>
      </c>
      <c r="AH24" s="392">
        <v>0.14299999999999999</v>
      </c>
      <c r="AI24" s="392">
        <v>0.14299999999999999</v>
      </c>
      <c r="AJ24" s="392">
        <v>0.14299999999999999</v>
      </c>
      <c r="AK24" s="392">
        <v>0.14299999999999999</v>
      </c>
      <c r="AL24" s="392">
        <v>0.14299999999999999</v>
      </c>
      <c r="AM24" s="392">
        <v>0.14299999999999999</v>
      </c>
      <c r="AN24" s="392">
        <v>0.14299999999999999</v>
      </c>
      <c r="AO24" s="392">
        <v>0.14299999999999999</v>
      </c>
      <c r="AP24" s="392">
        <v>0.14299999999999999</v>
      </c>
      <c r="AQ24" s="392">
        <v>0.14299999999999999</v>
      </c>
      <c r="AR24" s="392">
        <v>0.14299999999999999</v>
      </c>
      <c r="AS24" s="392">
        <v>0.14299999999999999</v>
      </c>
      <c r="AT24" s="392">
        <v>0.14299999999999999</v>
      </c>
      <c r="AU24" s="392">
        <v>0.14299999999999999</v>
      </c>
      <c r="AV24" s="392">
        <v>0.14299999999999999</v>
      </c>
      <c r="AW24" s="392">
        <v>0.14299999999999999</v>
      </c>
      <c r="AX24" s="392">
        <v>0.14299999999999999</v>
      </c>
      <c r="AY24" s="392">
        <v>0.2</v>
      </c>
      <c r="AZ24" s="392">
        <v>0.2</v>
      </c>
      <c r="BA24" s="392">
        <v>0.2</v>
      </c>
      <c r="BB24" s="392">
        <v>0.14299999999999999</v>
      </c>
      <c r="BC24" s="393">
        <v>0.14299999999999999</v>
      </c>
      <c r="BD24" s="392">
        <v>0.14299999999999999</v>
      </c>
      <c r="BE24" s="392">
        <v>0.14299999999999999</v>
      </c>
      <c r="BF24" s="392">
        <v>0.14299999999999999</v>
      </c>
      <c r="BG24" s="392">
        <v>0.14299999999999999</v>
      </c>
      <c r="BH24" s="392">
        <v>0.14299999999999999</v>
      </c>
      <c r="BI24" s="392">
        <v>0.05</v>
      </c>
      <c r="BJ24" s="392">
        <v>0.05</v>
      </c>
      <c r="BK24" s="392">
        <v>0.14299999999999999</v>
      </c>
      <c r="BL24" s="392">
        <v>0.14299999999999999</v>
      </c>
      <c r="BM24" s="392">
        <v>0.14299999999999999</v>
      </c>
      <c r="BN24" s="392">
        <v>0.14299999999999999</v>
      </c>
      <c r="BO24" s="392">
        <v>0.14299999999999999</v>
      </c>
      <c r="BP24" s="392">
        <v>0.14299999999999999</v>
      </c>
      <c r="BQ24" s="392">
        <v>0.14299999999999999</v>
      </c>
      <c r="BR24" s="392">
        <v>1</v>
      </c>
      <c r="BS24" s="392">
        <v>0.14299999999999999</v>
      </c>
      <c r="BT24" s="392">
        <v>0.14299999999999999</v>
      </c>
      <c r="BU24" s="392">
        <v>0.14299999999999999</v>
      </c>
      <c r="BV24" s="392">
        <v>0.14299999999999999</v>
      </c>
      <c r="BW24" s="392">
        <v>0.14299999999999999</v>
      </c>
      <c r="BX24" s="392">
        <v>0.2</v>
      </c>
      <c r="BY24" s="392">
        <v>0.14299999999999999</v>
      </c>
      <c r="BZ24" s="392">
        <v>0.14299999999999999</v>
      </c>
      <c r="CA24" s="392">
        <v>0.14299999999999999</v>
      </c>
      <c r="CB24" s="392">
        <v>0.14299999999999999</v>
      </c>
    </row>
    <row r="25" spans="1:80">
      <c r="A25" s="377" t="s">
        <v>1119</v>
      </c>
      <c r="B25" s="378">
        <v>0.08</v>
      </c>
      <c r="C25" s="379">
        <v>0.08</v>
      </c>
      <c r="D25" s="379">
        <v>0.08</v>
      </c>
      <c r="E25" s="380">
        <v>0.08</v>
      </c>
      <c r="F25" s="380">
        <v>0.08</v>
      </c>
      <c r="G25" s="380">
        <v>0.08</v>
      </c>
      <c r="H25" s="380">
        <v>0.08</v>
      </c>
      <c r="I25" s="379">
        <v>0.08</v>
      </c>
      <c r="J25" s="380">
        <v>0.08</v>
      </c>
      <c r="K25" s="380">
        <v>0.08</v>
      </c>
      <c r="L25" s="380">
        <v>0.08</v>
      </c>
      <c r="M25" s="380">
        <v>0.08</v>
      </c>
      <c r="N25" s="380">
        <v>0.08</v>
      </c>
      <c r="O25" s="380">
        <v>0.08</v>
      </c>
      <c r="P25" s="380">
        <v>0.08</v>
      </c>
      <c r="Q25" s="380">
        <v>0.08</v>
      </c>
      <c r="R25" s="380">
        <v>0.08</v>
      </c>
      <c r="S25" s="380">
        <v>0.08</v>
      </c>
      <c r="T25" s="380">
        <v>0.08</v>
      </c>
      <c r="U25" s="380">
        <v>0.08</v>
      </c>
      <c r="V25" s="380">
        <v>0.08</v>
      </c>
      <c r="W25" s="380">
        <v>0.08</v>
      </c>
      <c r="X25" s="380">
        <v>0.08</v>
      </c>
      <c r="Y25" s="380">
        <v>0.08</v>
      </c>
      <c r="Z25" s="380">
        <v>0.08</v>
      </c>
      <c r="AA25" s="380">
        <v>0.08</v>
      </c>
      <c r="AB25" s="380">
        <v>0.08</v>
      </c>
      <c r="AC25" s="380">
        <v>0.08</v>
      </c>
      <c r="AD25" s="380">
        <v>0.08</v>
      </c>
      <c r="AE25" s="380">
        <v>0.08</v>
      </c>
      <c r="AF25" s="380">
        <v>0.08</v>
      </c>
      <c r="AG25" s="380">
        <v>0.08</v>
      </c>
      <c r="AH25" s="380">
        <v>0.08</v>
      </c>
      <c r="AI25" s="380">
        <v>0.08</v>
      </c>
      <c r="AJ25" s="380">
        <v>0.08</v>
      </c>
      <c r="AK25" s="380">
        <v>0.08</v>
      </c>
      <c r="AL25" s="380">
        <v>0.08</v>
      </c>
      <c r="AM25" s="380">
        <v>0.08</v>
      </c>
      <c r="AN25" s="380">
        <v>0.08</v>
      </c>
      <c r="AO25" s="380">
        <v>0.08</v>
      </c>
      <c r="AP25" s="380">
        <v>0.08</v>
      </c>
      <c r="AQ25" s="380">
        <v>0.08</v>
      </c>
      <c r="AR25" s="380">
        <v>0.08</v>
      </c>
      <c r="AS25" s="380">
        <v>0.08</v>
      </c>
      <c r="AT25" s="380">
        <v>0.08</v>
      </c>
      <c r="AU25" s="380">
        <v>0.08</v>
      </c>
      <c r="AV25" s="380">
        <v>0.04</v>
      </c>
      <c r="AW25" s="380">
        <v>0.08</v>
      </c>
      <c r="AX25" s="380">
        <v>0.08</v>
      </c>
      <c r="AY25" s="380">
        <v>0.08</v>
      </c>
      <c r="AZ25" s="380">
        <v>0.08</v>
      </c>
      <c r="BA25" s="380">
        <v>0.08</v>
      </c>
      <c r="BB25" s="380">
        <v>0.08</v>
      </c>
      <c r="BC25" s="381">
        <v>0.08</v>
      </c>
      <c r="BD25" s="380">
        <v>0.08</v>
      </c>
      <c r="BE25" s="380">
        <v>0.08</v>
      </c>
      <c r="BF25" s="380">
        <v>0.08</v>
      </c>
      <c r="BG25" s="380">
        <v>0.08</v>
      </c>
      <c r="BH25" s="380">
        <v>0.04</v>
      </c>
      <c r="BI25" s="380">
        <v>0.01</v>
      </c>
      <c r="BJ25" s="380">
        <v>5.0000000000000001E-3</v>
      </c>
      <c r="BK25" s="380">
        <v>0.08</v>
      </c>
      <c r="BL25" s="380">
        <v>0.08</v>
      </c>
      <c r="BM25" s="380">
        <v>0.08</v>
      </c>
      <c r="BN25" s="380">
        <v>0.08</v>
      </c>
      <c r="BO25" s="380">
        <v>0.08</v>
      </c>
      <c r="BP25" s="380">
        <v>0.08</v>
      </c>
      <c r="BQ25" s="380">
        <v>0.08</v>
      </c>
      <c r="BR25" s="380">
        <v>0.08</v>
      </c>
      <c r="BS25" s="380">
        <v>0.08</v>
      </c>
      <c r="BT25" s="380">
        <v>0.08</v>
      </c>
      <c r="BU25" s="380">
        <v>0.08</v>
      </c>
      <c r="BV25" s="380">
        <v>0.08</v>
      </c>
      <c r="BW25" s="380">
        <v>0.08</v>
      </c>
      <c r="BX25" s="380">
        <v>0.08</v>
      </c>
      <c r="BY25" s="380">
        <v>0.08</v>
      </c>
      <c r="BZ25" s="380">
        <v>0.08</v>
      </c>
      <c r="CA25" s="380">
        <v>0.08</v>
      </c>
      <c r="CB25" s="380">
        <v>0.08</v>
      </c>
    </row>
    <row r="26" spans="1:80">
      <c r="A26" s="377" t="s">
        <v>1120</v>
      </c>
      <c r="B26" s="378">
        <v>0.04</v>
      </c>
      <c r="C26" s="379">
        <v>0.04</v>
      </c>
      <c r="D26" s="379">
        <v>0.04</v>
      </c>
      <c r="E26" s="380">
        <v>0.04</v>
      </c>
      <c r="F26" s="380">
        <v>0.04</v>
      </c>
      <c r="G26" s="380">
        <v>0.04</v>
      </c>
      <c r="H26" s="380">
        <v>0.04</v>
      </c>
      <c r="I26" s="379">
        <v>0.04</v>
      </c>
      <c r="J26" s="380">
        <v>0.04</v>
      </c>
      <c r="K26" s="380">
        <v>0.04</v>
      </c>
      <c r="L26" s="380">
        <v>0.04</v>
      </c>
      <c r="M26" s="380">
        <v>0.04</v>
      </c>
      <c r="N26" s="380">
        <v>0.04</v>
      </c>
      <c r="O26" s="380">
        <v>0.04</v>
      </c>
      <c r="P26" s="380">
        <v>0.04</v>
      </c>
      <c r="Q26" s="380">
        <v>0.04</v>
      </c>
      <c r="R26" s="380">
        <v>0.04</v>
      </c>
      <c r="S26" s="380">
        <v>0.04</v>
      </c>
      <c r="T26" s="380">
        <v>0.04</v>
      </c>
      <c r="U26" s="380">
        <v>0.04</v>
      </c>
      <c r="V26" s="380">
        <v>0.04</v>
      </c>
      <c r="W26" s="380">
        <v>0.04</v>
      </c>
      <c r="X26" s="380">
        <v>0.04</v>
      </c>
      <c r="Y26" s="380">
        <v>0.04</v>
      </c>
      <c r="Z26" s="380">
        <v>0.04</v>
      </c>
      <c r="AA26" s="380">
        <v>0.04</v>
      </c>
      <c r="AB26" s="380">
        <v>0.04</v>
      </c>
      <c r="AC26" s="380">
        <v>0.04</v>
      </c>
      <c r="AD26" s="380">
        <v>0.04</v>
      </c>
      <c r="AE26" s="380">
        <v>0.04</v>
      </c>
      <c r="AF26" s="380">
        <v>0.04</v>
      </c>
      <c r="AG26" s="380">
        <v>0.04</v>
      </c>
      <c r="AH26" s="380">
        <v>0.04</v>
      </c>
      <c r="AI26" s="380">
        <v>0.04</v>
      </c>
      <c r="AJ26" s="380">
        <v>0.04</v>
      </c>
      <c r="AK26" s="380">
        <v>0.04</v>
      </c>
      <c r="AL26" s="380">
        <v>0.04</v>
      </c>
      <c r="AM26" s="380">
        <v>0.04</v>
      </c>
      <c r="AN26" s="380">
        <v>0.04</v>
      </c>
      <c r="AO26" s="380">
        <v>0.04</v>
      </c>
      <c r="AP26" s="380">
        <v>0.04</v>
      </c>
      <c r="AQ26" s="380">
        <v>0.04</v>
      </c>
      <c r="AR26" s="380">
        <v>0.04</v>
      </c>
      <c r="AS26" s="380">
        <v>0.04</v>
      </c>
      <c r="AT26" s="380">
        <v>0.04</v>
      </c>
      <c r="AU26" s="380">
        <v>0.04</v>
      </c>
      <c r="AV26" s="380">
        <v>0.02</v>
      </c>
      <c r="AW26" s="380">
        <v>0.04</v>
      </c>
      <c r="AX26" s="380">
        <v>0.04</v>
      </c>
      <c r="AY26" s="380">
        <v>0.04</v>
      </c>
      <c r="AZ26" s="380">
        <v>0.04</v>
      </c>
      <c r="BA26" s="380">
        <v>0.04</v>
      </c>
      <c r="BB26" s="380">
        <v>0.04</v>
      </c>
      <c r="BC26" s="381">
        <v>0.04</v>
      </c>
      <c r="BD26" s="380">
        <v>0.04</v>
      </c>
      <c r="BE26" s="380">
        <v>0.04</v>
      </c>
      <c r="BF26" s="380">
        <v>0.04</v>
      </c>
      <c r="BG26" s="380">
        <v>0.04</v>
      </c>
      <c r="BH26" s="380">
        <v>0.02</v>
      </c>
      <c r="BI26" s="380">
        <v>0.01</v>
      </c>
      <c r="BJ26" s="380">
        <v>5.0000000000000001E-3</v>
      </c>
      <c r="BK26" s="380">
        <v>0.04</v>
      </c>
      <c r="BL26" s="380">
        <v>0.04</v>
      </c>
      <c r="BM26" s="380">
        <v>0.04</v>
      </c>
      <c r="BN26" s="380">
        <v>0.04</v>
      </c>
      <c r="BO26" s="380">
        <v>0.04</v>
      </c>
      <c r="BP26" s="380">
        <v>0.04</v>
      </c>
      <c r="BQ26" s="380">
        <v>0.04</v>
      </c>
      <c r="BR26" s="380">
        <v>0.04</v>
      </c>
      <c r="BS26" s="380">
        <v>0.04</v>
      </c>
      <c r="BT26" s="380">
        <v>0.04</v>
      </c>
      <c r="BU26" s="380">
        <v>0.04</v>
      </c>
      <c r="BV26" s="380">
        <v>0.04</v>
      </c>
      <c r="BW26" s="380">
        <v>0.04</v>
      </c>
      <c r="BX26" s="380">
        <v>0.04</v>
      </c>
      <c r="BY26" s="380">
        <v>0.04</v>
      </c>
      <c r="BZ26" s="380">
        <v>0.04</v>
      </c>
      <c r="CA26" s="380">
        <v>0.04</v>
      </c>
      <c r="CB26" s="380">
        <v>0.04</v>
      </c>
    </row>
    <row r="27" spans="1:80">
      <c r="A27" s="377" t="s">
        <v>1121</v>
      </c>
      <c r="B27" s="378">
        <v>0</v>
      </c>
      <c r="C27" s="379">
        <v>0</v>
      </c>
      <c r="D27" s="379">
        <v>0</v>
      </c>
      <c r="E27" s="380">
        <v>0</v>
      </c>
      <c r="F27" s="380">
        <v>0</v>
      </c>
      <c r="G27" s="380">
        <v>0</v>
      </c>
      <c r="H27" s="380">
        <v>0</v>
      </c>
      <c r="I27" s="379">
        <v>0</v>
      </c>
      <c r="J27" s="380">
        <v>0</v>
      </c>
      <c r="K27" s="380">
        <v>0</v>
      </c>
      <c r="L27" s="380">
        <v>0</v>
      </c>
      <c r="M27" s="380">
        <v>0</v>
      </c>
      <c r="N27" s="380">
        <v>2000</v>
      </c>
      <c r="O27" s="380"/>
      <c r="P27" s="380">
        <v>0</v>
      </c>
      <c r="Q27" s="380">
        <v>0</v>
      </c>
      <c r="R27" s="380">
        <v>0</v>
      </c>
      <c r="S27" s="380">
        <v>6.8000000000000005E-2</v>
      </c>
      <c r="T27" s="380">
        <v>0</v>
      </c>
      <c r="U27" s="380">
        <v>0</v>
      </c>
      <c r="V27" s="380">
        <v>0</v>
      </c>
      <c r="W27" s="380">
        <v>0</v>
      </c>
      <c r="X27" s="380">
        <v>6.8000000000000005E-2</v>
      </c>
      <c r="Y27" s="380">
        <v>0</v>
      </c>
      <c r="Z27" s="380">
        <v>0</v>
      </c>
      <c r="AA27" s="380">
        <v>0</v>
      </c>
      <c r="AB27" s="380">
        <v>0</v>
      </c>
      <c r="AC27" s="380">
        <v>0</v>
      </c>
      <c r="AD27" s="380">
        <v>0</v>
      </c>
      <c r="AE27" s="380">
        <v>0</v>
      </c>
      <c r="AF27" s="380">
        <v>0</v>
      </c>
      <c r="AG27" s="380">
        <v>0</v>
      </c>
      <c r="AH27" s="380">
        <v>0</v>
      </c>
      <c r="AI27" s="380">
        <v>0</v>
      </c>
      <c r="AJ27" s="380">
        <v>0</v>
      </c>
      <c r="AK27" s="380">
        <v>0</v>
      </c>
      <c r="AL27" s="380">
        <v>0</v>
      </c>
      <c r="AM27" s="380">
        <v>0</v>
      </c>
      <c r="AN27" s="380">
        <v>0</v>
      </c>
      <c r="AO27" s="380">
        <v>0</v>
      </c>
      <c r="AP27" s="380">
        <v>9300</v>
      </c>
      <c r="AQ27" s="380">
        <v>0</v>
      </c>
      <c r="AR27" s="380">
        <v>0</v>
      </c>
      <c r="AS27" s="380">
        <v>1000</v>
      </c>
      <c r="AT27" s="380">
        <v>0</v>
      </c>
      <c r="AU27" s="380">
        <v>0</v>
      </c>
      <c r="AV27" s="380">
        <v>2000</v>
      </c>
      <c r="AW27" s="380">
        <v>0</v>
      </c>
      <c r="AX27" s="380">
        <v>0</v>
      </c>
      <c r="AY27" s="380">
        <v>0</v>
      </c>
      <c r="AZ27" s="380">
        <v>0</v>
      </c>
      <c r="BA27" s="380">
        <v>0</v>
      </c>
      <c r="BB27" s="380">
        <v>0</v>
      </c>
      <c r="BC27" s="381">
        <v>0</v>
      </c>
      <c r="BD27" s="380">
        <v>0</v>
      </c>
      <c r="BE27" s="380">
        <v>0</v>
      </c>
      <c r="BF27" s="380">
        <v>0</v>
      </c>
      <c r="BG27" s="380">
        <v>0</v>
      </c>
      <c r="BH27" s="380">
        <v>0</v>
      </c>
      <c r="BI27" s="380">
        <v>0</v>
      </c>
      <c r="BJ27" s="380">
        <v>0</v>
      </c>
      <c r="BK27" s="380">
        <v>0</v>
      </c>
      <c r="BL27" s="380">
        <v>0</v>
      </c>
      <c r="BM27" s="380">
        <v>0</v>
      </c>
      <c r="BN27" s="380">
        <v>0</v>
      </c>
      <c r="BO27" s="380">
        <v>0</v>
      </c>
      <c r="BP27" s="380">
        <v>0</v>
      </c>
      <c r="BQ27" s="380">
        <v>6.8000000000000005E-2</v>
      </c>
      <c r="BR27" s="380">
        <v>0</v>
      </c>
      <c r="BS27" s="380">
        <v>0</v>
      </c>
      <c r="BT27" s="380">
        <v>0</v>
      </c>
      <c r="BU27" s="380">
        <v>0</v>
      </c>
      <c r="BV27" s="380">
        <v>0</v>
      </c>
      <c r="BW27" s="380">
        <v>0</v>
      </c>
      <c r="BX27" s="380">
        <v>0</v>
      </c>
      <c r="BY27" s="380">
        <v>0</v>
      </c>
      <c r="BZ27" s="380">
        <v>0</v>
      </c>
      <c r="CA27" s="380">
        <v>0</v>
      </c>
      <c r="CB27" s="380">
        <v>0</v>
      </c>
    </row>
    <row r="28" spans="1:80">
      <c r="A28" s="377" t="s">
        <v>1122</v>
      </c>
      <c r="B28" s="378">
        <v>0</v>
      </c>
      <c r="C28" s="379">
        <v>0</v>
      </c>
      <c r="D28" s="379">
        <v>0</v>
      </c>
      <c r="E28" s="380">
        <v>0</v>
      </c>
      <c r="F28" s="380">
        <v>0</v>
      </c>
      <c r="G28" s="380">
        <v>0</v>
      </c>
      <c r="H28" s="380">
        <v>0</v>
      </c>
      <c r="I28" s="379">
        <v>0</v>
      </c>
      <c r="J28" s="380">
        <v>0</v>
      </c>
      <c r="K28" s="380">
        <v>0</v>
      </c>
      <c r="L28" s="380">
        <v>0</v>
      </c>
      <c r="M28" s="380">
        <v>3000</v>
      </c>
      <c r="N28" s="380">
        <v>4</v>
      </c>
      <c r="O28" s="380"/>
      <c r="P28" s="380">
        <v>0</v>
      </c>
      <c r="Q28" s="380">
        <v>0</v>
      </c>
      <c r="R28" s="380">
        <v>0</v>
      </c>
      <c r="S28" s="380">
        <v>0</v>
      </c>
      <c r="T28" s="380">
        <v>0</v>
      </c>
      <c r="U28" s="380">
        <v>0</v>
      </c>
      <c r="V28" s="380">
        <v>0</v>
      </c>
      <c r="W28" s="380">
        <v>0</v>
      </c>
      <c r="X28" s="380">
        <v>0</v>
      </c>
      <c r="Y28" s="380">
        <v>0</v>
      </c>
      <c r="Z28" s="380">
        <v>0</v>
      </c>
      <c r="AA28" s="380">
        <v>0</v>
      </c>
      <c r="AB28" s="380">
        <v>0</v>
      </c>
      <c r="AC28" s="380">
        <v>0</v>
      </c>
      <c r="AD28" s="380">
        <v>0</v>
      </c>
      <c r="AE28" s="380">
        <v>0</v>
      </c>
      <c r="AF28" s="380">
        <v>0</v>
      </c>
      <c r="AG28" s="380">
        <v>0</v>
      </c>
      <c r="AH28" s="380">
        <v>0</v>
      </c>
      <c r="AI28" s="380">
        <v>0</v>
      </c>
      <c r="AJ28" s="380">
        <v>0</v>
      </c>
      <c r="AK28" s="380">
        <v>0</v>
      </c>
      <c r="AL28" s="380">
        <v>0</v>
      </c>
      <c r="AM28" s="380">
        <v>0</v>
      </c>
      <c r="AN28" s="380">
        <v>0</v>
      </c>
      <c r="AO28" s="380">
        <v>0</v>
      </c>
      <c r="AP28" s="380">
        <v>3</v>
      </c>
      <c r="AQ28" s="380">
        <v>0</v>
      </c>
      <c r="AR28" s="380">
        <v>0</v>
      </c>
      <c r="AS28" s="380">
        <v>7</v>
      </c>
      <c r="AT28" s="380">
        <v>0</v>
      </c>
      <c r="AU28" s="380">
        <v>0</v>
      </c>
      <c r="AV28" s="380">
        <v>0</v>
      </c>
      <c r="AW28" s="380">
        <v>0</v>
      </c>
      <c r="AX28" s="380">
        <v>0</v>
      </c>
      <c r="AY28" s="380">
        <v>0</v>
      </c>
      <c r="AZ28" s="380">
        <v>0</v>
      </c>
      <c r="BA28" s="380">
        <v>0</v>
      </c>
      <c r="BB28" s="380">
        <v>12000</v>
      </c>
      <c r="BC28" s="381">
        <v>0</v>
      </c>
      <c r="BD28" s="380">
        <v>0</v>
      </c>
      <c r="BE28" s="380">
        <v>0</v>
      </c>
      <c r="BF28" s="380">
        <v>0</v>
      </c>
      <c r="BG28" s="380">
        <v>0</v>
      </c>
      <c r="BH28" s="380">
        <v>0</v>
      </c>
      <c r="BI28" s="380">
        <v>0</v>
      </c>
      <c r="BJ28" s="380">
        <v>0</v>
      </c>
      <c r="BK28" s="380">
        <v>0</v>
      </c>
      <c r="BL28" s="380">
        <v>0</v>
      </c>
      <c r="BM28" s="380">
        <v>0</v>
      </c>
      <c r="BN28" s="380">
        <v>0</v>
      </c>
      <c r="BO28" s="380">
        <v>0</v>
      </c>
      <c r="BP28" s="380">
        <v>0</v>
      </c>
      <c r="BQ28" s="380">
        <v>0</v>
      </c>
      <c r="BR28" s="380">
        <v>0</v>
      </c>
      <c r="BS28" s="380">
        <v>0</v>
      </c>
      <c r="BT28" s="380">
        <v>0</v>
      </c>
      <c r="BU28" s="380">
        <v>0</v>
      </c>
      <c r="BV28" s="380">
        <v>0</v>
      </c>
      <c r="BW28" s="380">
        <v>0</v>
      </c>
      <c r="BX28" s="380">
        <v>0</v>
      </c>
      <c r="BY28" s="380">
        <v>0</v>
      </c>
      <c r="BZ28" s="380">
        <v>0</v>
      </c>
      <c r="CA28" s="380">
        <v>0</v>
      </c>
      <c r="CB28" s="380">
        <v>0</v>
      </c>
    </row>
    <row r="29" spans="1:80">
      <c r="A29" s="377" t="s">
        <v>1123</v>
      </c>
      <c r="B29" s="378">
        <v>0</v>
      </c>
      <c r="C29" s="379">
        <v>0</v>
      </c>
      <c r="D29" s="379">
        <v>2000</v>
      </c>
      <c r="E29" s="380">
        <v>0</v>
      </c>
      <c r="F29" s="380">
        <v>0</v>
      </c>
      <c r="G29" s="380">
        <v>0</v>
      </c>
      <c r="H29" s="380">
        <v>0</v>
      </c>
      <c r="I29" s="379">
        <v>0</v>
      </c>
      <c r="J29" s="380">
        <v>0</v>
      </c>
      <c r="K29" s="380">
        <v>0</v>
      </c>
      <c r="L29" s="380">
        <v>0</v>
      </c>
      <c r="M29" s="380">
        <v>1</v>
      </c>
      <c r="N29" s="380">
        <v>0</v>
      </c>
      <c r="O29" s="380">
        <v>0</v>
      </c>
      <c r="P29" s="380">
        <v>0</v>
      </c>
      <c r="Q29" s="380">
        <v>0</v>
      </c>
      <c r="R29" s="380">
        <v>240</v>
      </c>
      <c r="S29" s="380">
        <v>380</v>
      </c>
      <c r="T29" s="380">
        <v>625</v>
      </c>
      <c r="U29" s="380">
        <v>0</v>
      </c>
      <c r="V29" s="380">
        <v>625</v>
      </c>
      <c r="W29" s="380">
        <v>0</v>
      </c>
      <c r="X29" s="380">
        <v>380</v>
      </c>
      <c r="Y29" s="380">
        <v>380</v>
      </c>
      <c r="Z29" s="380">
        <v>380</v>
      </c>
      <c r="AA29" s="380">
        <v>0</v>
      </c>
      <c r="AB29" s="380">
        <v>0</v>
      </c>
      <c r="AC29" s="380">
        <v>0</v>
      </c>
      <c r="AD29" s="380">
        <v>0</v>
      </c>
      <c r="AE29" s="380">
        <v>0</v>
      </c>
      <c r="AF29" s="380">
        <v>0</v>
      </c>
      <c r="AG29" s="380">
        <v>0</v>
      </c>
      <c r="AH29" s="380">
        <v>0</v>
      </c>
      <c r="AI29" s="380">
        <v>0</v>
      </c>
      <c r="AJ29" s="380">
        <v>380</v>
      </c>
      <c r="AK29" s="380">
        <v>0</v>
      </c>
      <c r="AL29" s="380">
        <v>0</v>
      </c>
      <c r="AM29" s="380">
        <v>0</v>
      </c>
      <c r="AN29" s="380">
        <v>0</v>
      </c>
      <c r="AO29" s="380">
        <v>0</v>
      </c>
      <c r="AP29" s="380">
        <v>0</v>
      </c>
      <c r="AQ29" s="380">
        <v>0</v>
      </c>
      <c r="AR29" s="380">
        <v>0</v>
      </c>
      <c r="AS29" s="380">
        <v>0</v>
      </c>
      <c r="AT29" s="380">
        <v>380</v>
      </c>
      <c r="AU29" s="380">
        <v>0</v>
      </c>
      <c r="AV29" s="380">
        <v>0</v>
      </c>
      <c r="AW29" s="380">
        <v>0</v>
      </c>
      <c r="AX29" s="380">
        <v>0</v>
      </c>
      <c r="AY29" s="380">
        <v>0</v>
      </c>
      <c r="AZ29" s="380">
        <v>0</v>
      </c>
      <c r="BA29" s="380">
        <v>0</v>
      </c>
      <c r="BB29" s="380">
        <v>2500</v>
      </c>
      <c r="BC29" s="381">
        <v>0</v>
      </c>
      <c r="BD29" s="380">
        <v>0</v>
      </c>
      <c r="BE29" s="380">
        <v>0</v>
      </c>
      <c r="BF29" s="380">
        <v>0</v>
      </c>
      <c r="BG29" s="380">
        <v>0</v>
      </c>
      <c r="BH29" s="380">
        <v>0</v>
      </c>
      <c r="BI29" s="380">
        <v>0</v>
      </c>
      <c r="BJ29" s="380">
        <v>0</v>
      </c>
      <c r="BK29" s="380">
        <v>0</v>
      </c>
      <c r="BL29" s="380">
        <v>0</v>
      </c>
      <c r="BM29" s="380">
        <v>0</v>
      </c>
      <c r="BN29" s="380">
        <v>0</v>
      </c>
      <c r="BO29" s="380">
        <v>0</v>
      </c>
      <c r="BP29" s="380">
        <v>0</v>
      </c>
      <c r="BQ29" s="380">
        <v>380</v>
      </c>
      <c r="BR29" s="380">
        <v>0</v>
      </c>
      <c r="BS29" s="380">
        <v>0</v>
      </c>
      <c r="BT29" s="380">
        <v>0</v>
      </c>
      <c r="BU29" s="380">
        <v>0</v>
      </c>
      <c r="BV29" s="380">
        <v>0</v>
      </c>
      <c r="BW29" s="380">
        <v>0</v>
      </c>
      <c r="BX29" s="380">
        <v>0</v>
      </c>
      <c r="BY29" s="380">
        <v>0</v>
      </c>
      <c r="BZ29" s="380">
        <v>0</v>
      </c>
      <c r="CA29" s="380">
        <v>0</v>
      </c>
      <c r="CB29" s="380">
        <v>0</v>
      </c>
    </row>
    <row r="30" spans="1:80" s="395" customFormat="1">
      <c r="A30" s="394" t="s">
        <v>1124</v>
      </c>
      <c r="B30" s="378">
        <v>0</v>
      </c>
      <c r="C30" s="379">
        <v>0</v>
      </c>
      <c r="D30" s="379">
        <v>0</v>
      </c>
      <c r="E30" s="380">
        <v>0</v>
      </c>
      <c r="F30" s="380">
        <v>0</v>
      </c>
      <c r="G30" s="380">
        <v>0</v>
      </c>
      <c r="H30" s="380">
        <v>0</v>
      </c>
      <c r="I30" s="379">
        <v>0</v>
      </c>
      <c r="J30" s="380">
        <v>0</v>
      </c>
      <c r="K30" s="380">
        <v>0</v>
      </c>
      <c r="L30" s="380">
        <v>0</v>
      </c>
      <c r="M30" s="380">
        <v>0</v>
      </c>
      <c r="N30" s="380">
        <v>2000</v>
      </c>
      <c r="O30" s="380"/>
      <c r="P30" s="380">
        <v>0</v>
      </c>
      <c r="Q30" s="380">
        <v>0</v>
      </c>
      <c r="R30" s="380">
        <v>0</v>
      </c>
      <c r="S30" s="380">
        <v>0</v>
      </c>
      <c r="T30" s="380">
        <v>0</v>
      </c>
      <c r="U30" s="380">
        <v>0</v>
      </c>
      <c r="V30" s="380">
        <v>0</v>
      </c>
      <c r="W30" s="380">
        <v>0</v>
      </c>
      <c r="X30" s="380">
        <v>0</v>
      </c>
      <c r="Y30" s="380">
        <v>0</v>
      </c>
      <c r="Z30" s="380">
        <v>0</v>
      </c>
      <c r="AA30" s="380">
        <v>0</v>
      </c>
      <c r="AB30" s="380">
        <v>0</v>
      </c>
      <c r="AC30" s="380">
        <v>0</v>
      </c>
      <c r="AD30" s="380">
        <v>1500</v>
      </c>
      <c r="AE30" s="380">
        <v>0</v>
      </c>
      <c r="AF30" s="380">
        <v>0</v>
      </c>
      <c r="AG30" s="380">
        <v>0</v>
      </c>
      <c r="AH30" s="380">
        <v>0</v>
      </c>
      <c r="AI30" s="380">
        <v>0</v>
      </c>
      <c r="AJ30" s="380">
        <v>0</v>
      </c>
      <c r="AK30" s="380">
        <v>0</v>
      </c>
      <c r="AL30" s="380">
        <v>0</v>
      </c>
      <c r="AM30" s="380">
        <v>0</v>
      </c>
      <c r="AN30" s="380">
        <v>3000</v>
      </c>
      <c r="AO30" s="380">
        <v>3000</v>
      </c>
      <c r="AP30" s="380">
        <v>0</v>
      </c>
      <c r="AQ30" s="380">
        <v>0</v>
      </c>
      <c r="AR30" s="380">
        <v>0</v>
      </c>
      <c r="AS30" s="380">
        <v>0</v>
      </c>
      <c r="AT30" s="380">
        <v>0</v>
      </c>
      <c r="AU30" s="380">
        <v>0</v>
      </c>
      <c r="AV30" s="380">
        <v>2000</v>
      </c>
      <c r="AW30" s="380">
        <v>0</v>
      </c>
      <c r="AX30" s="380">
        <v>0</v>
      </c>
      <c r="AY30" s="380">
        <v>0</v>
      </c>
      <c r="AZ30" s="380">
        <v>0</v>
      </c>
      <c r="BA30" s="380">
        <v>0</v>
      </c>
      <c r="BB30" s="380">
        <v>0</v>
      </c>
      <c r="BC30" s="381">
        <v>0</v>
      </c>
      <c r="BD30" s="380">
        <v>0</v>
      </c>
      <c r="BE30" s="380">
        <v>0</v>
      </c>
      <c r="BF30" s="380">
        <v>0</v>
      </c>
      <c r="BG30" s="380">
        <v>0</v>
      </c>
      <c r="BH30" s="380">
        <v>0</v>
      </c>
      <c r="BI30" s="380">
        <v>0</v>
      </c>
      <c r="BJ30" s="380">
        <v>0</v>
      </c>
      <c r="BK30" s="380"/>
      <c r="BL30" s="380">
        <v>0</v>
      </c>
      <c r="BM30" s="380">
        <v>0</v>
      </c>
      <c r="BN30" s="380">
        <v>0</v>
      </c>
      <c r="BO30" s="380">
        <v>0</v>
      </c>
      <c r="BP30" s="380">
        <v>0</v>
      </c>
      <c r="BQ30" s="380">
        <v>0</v>
      </c>
      <c r="BR30" s="380">
        <v>7</v>
      </c>
      <c r="BS30" s="380">
        <v>0</v>
      </c>
      <c r="BT30" s="380">
        <v>0</v>
      </c>
      <c r="BU30" s="380">
        <v>0</v>
      </c>
      <c r="BV30" s="380">
        <v>0</v>
      </c>
      <c r="BW30" s="380">
        <v>0</v>
      </c>
      <c r="BX30" s="380">
        <v>0</v>
      </c>
      <c r="BY30" s="380">
        <v>0</v>
      </c>
      <c r="BZ30" s="380">
        <v>0</v>
      </c>
      <c r="CA30" s="380">
        <v>0</v>
      </c>
      <c r="CB30" s="380">
        <v>0</v>
      </c>
    </row>
    <row r="31" spans="1:80" ht="15.75" customHeight="1">
      <c r="A31" s="396"/>
      <c r="B31" s="397"/>
      <c r="C31" s="397"/>
      <c r="D31" s="397"/>
      <c r="E31" s="398"/>
      <c r="F31" s="398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8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</row>
    <row r="32" spans="1:80" ht="15">
      <c r="A32" s="399" t="s">
        <v>1125</v>
      </c>
      <c r="B32" s="400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2"/>
      <c r="BD32" s="401"/>
      <c r="BE32" s="401"/>
      <c r="BF32" s="401"/>
      <c r="BG32" s="401"/>
      <c r="BH32" s="401"/>
      <c r="BI32" s="401"/>
      <c r="BJ32" s="401"/>
      <c r="BK32" s="401"/>
      <c r="BL32" s="401"/>
      <c r="BM32" s="401"/>
      <c r="BN32" s="401"/>
      <c r="BO32" s="401"/>
      <c r="BP32" s="401"/>
      <c r="BQ32" s="401"/>
      <c r="BR32" s="401"/>
      <c r="BS32" s="401"/>
      <c r="BT32" s="401"/>
      <c r="BU32" s="401"/>
      <c r="BV32" s="401"/>
      <c r="BW32" s="401"/>
      <c r="BX32" s="401"/>
      <c r="BY32" s="401"/>
      <c r="BZ32" s="401"/>
      <c r="CA32" s="401"/>
      <c r="CB32" s="401"/>
    </row>
    <row r="33" spans="1:80">
      <c r="A33" s="403" t="s">
        <v>1118</v>
      </c>
      <c r="B33" s="404">
        <f>B9*B24</f>
        <v>21856.192000000003</v>
      </c>
      <c r="C33" s="405">
        <f>C9*C24</f>
        <v>25435.002</v>
      </c>
      <c r="D33" s="405">
        <f>D9*D24</f>
        <v>18899.998000000003</v>
      </c>
      <c r="E33" s="383">
        <f t="shared" ref="E33:AM33" si="13">E9*E24</f>
        <v>130999.34847999999</v>
      </c>
      <c r="F33" s="405">
        <f t="shared" si="13"/>
        <v>96542.876429999989</v>
      </c>
      <c r="G33" s="405">
        <f t="shared" si="13"/>
        <v>133787.76983</v>
      </c>
      <c r="H33" s="405">
        <f t="shared" si="13"/>
        <v>66070.125549999997</v>
      </c>
      <c r="I33" s="405">
        <f t="shared" si="13"/>
        <v>4800</v>
      </c>
      <c r="J33" s="405">
        <f t="shared" si="13"/>
        <v>20613.454289999998</v>
      </c>
      <c r="K33" s="405">
        <f t="shared" si="13"/>
        <v>32420.819859999996</v>
      </c>
      <c r="L33" s="405">
        <f t="shared" si="13"/>
        <v>67188.555719999989</v>
      </c>
      <c r="M33" s="405">
        <f>M9*M24</f>
        <v>4460.0019999999995</v>
      </c>
      <c r="N33" s="405">
        <f t="shared" si="13"/>
        <v>181077.68535999997</v>
      </c>
      <c r="O33" s="405">
        <f>O9*O24</f>
        <v>29600.995709999999</v>
      </c>
      <c r="P33" s="405">
        <f t="shared" si="13"/>
        <v>275918.50143</v>
      </c>
      <c r="Q33" s="405">
        <f t="shared" si="13"/>
        <v>96319.434639999992</v>
      </c>
      <c r="R33" s="405">
        <f t="shared" si="13"/>
        <v>26499.518759999999</v>
      </c>
      <c r="S33" s="405">
        <f t="shared" si="13"/>
        <v>68586.190529999993</v>
      </c>
      <c r="T33" s="405">
        <f t="shared" si="13"/>
        <v>103251.36392999999</v>
      </c>
      <c r="U33" s="405">
        <f>U9*U24</f>
        <v>65387.164700000001</v>
      </c>
      <c r="V33" s="405">
        <f t="shared" si="13"/>
        <v>105248.00285999999</v>
      </c>
      <c r="W33" s="405">
        <f t="shared" ref="W33:AD33" si="14">W9*W24</f>
        <v>105104.99570999999</v>
      </c>
      <c r="X33" s="405">
        <f t="shared" si="14"/>
        <v>34233.718089999995</v>
      </c>
      <c r="Y33" s="405">
        <f t="shared" si="14"/>
        <v>21207.776589999998</v>
      </c>
      <c r="Z33" s="405">
        <f t="shared" si="14"/>
        <v>7644.63843</v>
      </c>
      <c r="AA33" s="405">
        <f t="shared" si="14"/>
        <v>500500.00142999995</v>
      </c>
      <c r="AB33" s="405">
        <f t="shared" si="14"/>
        <v>212169.66627999998</v>
      </c>
      <c r="AC33" s="405">
        <f t="shared" si="14"/>
        <v>25820.122899999995</v>
      </c>
      <c r="AD33" s="405">
        <f t="shared" si="14"/>
        <v>10870.279419999999</v>
      </c>
      <c r="AE33" s="405">
        <f t="shared" si="13"/>
        <v>8832.3277899999994</v>
      </c>
      <c r="AF33" s="405">
        <f t="shared" si="13"/>
        <v>12569.332489999999</v>
      </c>
      <c r="AG33" s="405">
        <f t="shared" si="13"/>
        <v>30923.745709999999</v>
      </c>
      <c r="AH33" s="405">
        <f t="shared" si="13"/>
        <v>6032.8167899999989</v>
      </c>
      <c r="AI33" s="405">
        <f t="shared" si="13"/>
        <v>8865.9971399999995</v>
      </c>
      <c r="AJ33" s="405">
        <f t="shared" si="13"/>
        <v>171599.99427999998</v>
      </c>
      <c r="AK33" s="405">
        <f t="shared" si="13"/>
        <v>45175.91936</v>
      </c>
      <c r="AL33" s="405">
        <f t="shared" si="13"/>
        <v>19796.066289999999</v>
      </c>
      <c r="AM33" s="405">
        <f t="shared" si="13"/>
        <v>10353.257199999998</v>
      </c>
      <c r="AN33" s="405">
        <f t="shared" ref="AN33:BH33" si="15">AN9*AN24</f>
        <v>27170.002859999997</v>
      </c>
      <c r="AO33" s="405">
        <f t="shared" si="15"/>
        <v>25453.997139999999</v>
      </c>
      <c r="AP33" s="405">
        <f t="shared" si="15"/>
        <v>10794.63242</v>
      </c>
      <c r="AQ33" s="405">
        <f t="shared" si="15"/>
        <v>24866.783369999997</v>
      </c>
      <c r="AR33" s="405">
        <f t="shared" si="15"/>
        <v>18122.866189999997</v>
      </c>
      <c r="AS33" s="405">
        <f>AS9*AS24</f>
        <v>500.49856999999992</v>
      </c>
      <c r="AT33" s="405">
        <f>AT9*AT24</f>
        <v>21207.776589999998</v>
      </c>
      <c r="AU33" s="405">
        <f t="shared" si="15"/>
        <v>5610.4019399999997</v>
      </c>
      <c r="AV33" s="405">
        <f>AV9*AV24</f>
        <v>47606.450319999996</v>
      </c>
      <c r="AW33" s="405">
        <f>AW9*AW24</f>
        <v>24595.994279999995</v>
      </c>
      <c r="AX33" s="405">
        <f>AX9*AX24</f>
        <v>36608.002859999993</v>
      </c>
      <c r="AY33" s="405">
        <f>AY9*AY24</f>
        <v>1275.008</v>
      </c>
      <c r="AZ33" s="405">
        <f>AZ9*AZ24</f>
        <v>1585.0040000000001</v>
      </c>
      <c r="BA33" s="405">
        <f t="shared" si="15"/>
        <v>4100.0019999999995</v>
      </c>
      <c r="BB33" s="405">
        <f>BB9*BB24</f>
        <v>15443.997139999998</v>
      </c>
      <c r="BC33" s="406">
        <f t="shared" si="15"/>
        <v>25739.998569999996</v>
      </c>
      <c r="BD33" s="405">
        <f>BD9*BD24</f>
        <v>11091.04711</v>
      </c>
      <c r="BE33" s="405">
        <f t="shared" si="15"/>
        <v>19062.925309999999</v>
      </c>
      <c r="BF33" s="405">
        <f t="shared" si="15"/>
        <v>41958.417929999996</v>
      </c>
      <c r="BG33" s="405">
        <f t="shared" si="15"/>
        <v>3124.5056699999996</v>
      </c>
      <c r="BH33" s="405">
        <f t="shared" si="15"/>
        <v>3465.3904999999995</v>
      </c>
      <c r="BI33" s="405">
        <f t="shared" ref="BI33:BQ33" si="16">BI9*BI24</f>
        <v>30000.001000000004</v>
      </c>
      <c r="BJ33" s="405">
        <f t="shared" si="16"/>
        <v>15000.000500000002</v>
      </c>
      <c r="BK33" s="405">
        <f t="shared" si="16"/>
        <v>28313.995709999999</v>
      </c>
      <c r="BL33" s="405">
        <f t="shared" si="16"/>
        <v>105534.00285999999</v>
      </c>
      <c r="BM33" s="405">
        <f t="shared" si="16"/>
        <v>19448</v>
      </c>
      <c r="BN33" s="405">
        <f t="shared" si="16"/>
        <v>31745.997139999999</v>
      </c>
      <c r="BO33" s="405">
        <f t="shared" si="16"/>
        <v>31745.997139999999</v>
      </c>
      <c r="BP33" s="405">
        <f t="shared" si="16"/>
        <v>41469.997139999992</v>
      </c>
      <c r="BQ33" s="405">
        <f t="shared" si="16"/>
        <v>32461.004289999997</v>
      </c>
      <c r="BR33" s="405">
        <f t="shared" ref="BR33:BX33" si="17">BR9*BR24</f>
        <v>7500.01</v>
      </c>
      <c r="BS33" s="405">
        <f t="shared" si="17"/>
        <v>71499.998569999996</v>
      </c>
      <c r="BT33" s="405">
        <f t="shared" si="17"/>
        <v>71499.998569999996</v>
      </c>
      <c r="BU33" s="405">
        <f t="shared" si="17"/>
        <v>40040.002860000001</v>
      </c>
      <c r="BV33" s="405">
        <f t="shared" si="17"/>
        <v>40040.002860000001</v>
      </c>
      <c r="BW33" s="405">
        <f t="shared" si="17"/>
        <v>114489.37929</v>
      </c>
      <c r="BX33" s="405">
        <f t="shared" si="17"/>
        <v>3000.0020000000004</v>
      </c>
      <c r="BY33" s="405">
        <f>BY9*BY24</f>
        <v>10010</v>
      </c>
      <c r="BZ33" s="405">
        <f>BZ9*BZ24</f>
        <v>6793.8298999999997</v>
      </c>
      <c r="CA33" s="405">
        <f t="shared" ref="CA33" si="18">CA9*CA24</f>
        <v>8615.75</v>
      </c>
      <c r="CB33" s="405">
        <f>CB9*CB24</f>
        <v>4647.5</v>
      </c>
    </row>
    <row r="34" spans="1:80">
      <c r="A34" s="403" t="s">
        <v>1119</v>
      </c>
      <c r="B34" s="404">
        <f t="shared" ref="B34:D35" si="19">B$9*B25</f>
        <v>8742.4768000000004</v>
      </c>
      <c r="C34" s="405">
        <f t="shared" si="19"/>
        <v>10174.0008</v>
      </c>
      <c r="D34" s="405">
        <f t="shared" si="19"/>
        <v>15119.9984</v>
      </c>
      <c r="E34" s="383">
        <f t="shared" ref="E34:AM34" si="20">E$9*E25</f>
        <v>73286.348800000007</v>
      </c>
      <c r="F34" s="405">
        <f t="shared" si="20"/>
        <v>54010.000800000002</v>
      </c>
      <c r="G34" s="405">
        <f t="shared" si="20"/>
        <v>74846.304800000013</v>
      </c>
      <c r="H34" s="405">
        <f t="shared" si="20"/>
        <v>36962.307999999997</v>
      </c>
      <c r="I34" s="405">
        <f t="shared" si="20"/>
        <v>3840</v>
      </c>
      <c r="J34" s="405">
        <f t="shared" si="20"/>
        <v>11532.002399999999</v>
      </c>
      <c r="K34" s="405">
        <f t="shared" si="20"/>
        <v>18137.5216</v>
      </c>
      <c r="L34" s="405">
        <f t="shared" si="20"/>
        <v>37588.003199999999</v>
      </c>
      <c r="M34" s="405">
        <f>M$9*M25</f>
        <v>1784.0007999999998</v>
      </c>
      <c r="N34" s="405">
        <f t="shared" si="20"/>
        <v>101302.2016</v>
      </c>
      <c r="O34" s="405">
        <f>O$9*O25</f>
        <v>16559.997599999999</v>
      </c>
      <c r="P34" s="405">
        <f t="shared" si="20"/>
        <v>154360.00080000001</v>
      </c>
      <c r="Q34" s="405">
        <f t="shared" si="20"/>
        <v>53884.998399999997</v>
      </c>
      <c r="R34" s="405">
        <f t="shared" si="20"/>
        <v>14824.9056</v>
      </c>
      <c r="S34" s="405">
        <f t="shared" si="20"/>
        <v>38369.896800000002</v>
      </c>
      <c r="T34" s="405">
        <f t="shared" si="20"/>
        <v>57763.000800000002</v>
      </c>
      <c r="U34" s="405">
        <f>U$9*U25</f>
        <v>36580.232000000004</v>
      </c>
      <c r="V34" s="405">
        <f t="shared" si="20"/>
        <v>58880.001600000003</v>
      </c>
      <c r="W34" s="405">
        <f t="shared" ref="W34:AD35" si="21">W$9*W25</f>
        <v>58799.997600000002</v>
      </c>
      <c r="X34" s="405">
        <f t="shared" si="21"/>
        <v>19151.7304</v>
      </c>
      <c r="Y34" s="405">
        <f t="shared" si="21"/>
        <v>11864.490400000001</v>
      </c>
      <c r="Z34" s="405">
        <f t="shared" si="21"/>
        <v>4276.7208000000001</v>
      </c>
      <c r="AA34" s="405">
        <f t="shared" si="21"/>
        <v>280000.00079999998</v>
      </c>
      <c r="AB34" s="405">
        <f t="shared" si="21"/>
        <v>118696.3168</v>
      </c>
      <c r="AC34" s="405">
        <f t="shared" si="21"/>
        <v>14444.823999999999</v>
      </c>
      <c r="AD34" s="405">
        <f t="shared" si="21"/>
        <v>6081.2752</v>
      </c>
      <c r="AE34" s="405">
        <f t="shared" si="20"/>
        <v>4941.1624000000002</v>
      </c>
      <c r="AF34" s="405">
        <f t="shared" si="20"/>
        <v>7031.7943999999998</v>
      </c>
      <c r="AG34" s="405">
        <f t="shared" si="20"/>
        <v>17299.997599999999</v>
      </c>
      <c r="AH34" s="405">
        <f t="shared" si="20"/>
        <v>3375.0023999999999</v>
      </c>
      <c r="AI34" s="405">
        <f t="shared" si="20"/>
        <v>4959.9984000000004</v>
      </c>
      <c r="AJ34" s="405">
        <f t="shared" si="20"/>
        <v>95999.996799999994</v>
      </c>
      <c r="AK34" s="405">
        <f t="shared" si="20"/>
        <v>25273.241600000001</v>
      </c>
      <c r="AL34" s="405">
        <f t="shared" si="20"/>
        <v>11074.722400000001</v>
      </c>
      <c r="AM34" s="405">
        <f t="shared" si="20"/>
        <v>5792.0319999999992</v>
      </c>
      <c r="AN34" s="405">
        <f t="shared" ref="AN34:BH34" si="22">AN$9*AN25</f>
        <v>15200.0016</v>
      </c>
      <c r="AO34" s="405">
        <f t="shared" si="22"/>
        <v>14239.9984</v>
      </c>
      <c r="AP34" s="405">
        <f t="shared" si="22"/>
        <v>6038.9552000000003</v>
      </c>
      <c r="AQ34" s="405">
        <f t="shared" si="22"/>
        <v>13911.4872</v>
      </c>
      <c r="AR34" s="405">
        <f t="shared" si="22"/>
        <v>10138.6664</v>
      </c>
      <c r="AS34" s="405">
        <f>AS$9*AS25</f>
        <v>279.99919999999997</v>
      </c>
      <c r="AT34" s="405">
        <f>AT$9*AT25</f>
        <v>11864.490400000001</v>
      </c>
      <c r="AU34" s="405">
        <f t="shared" si="22"/>
        <v>3138.6864</v>
      </c>
      <c r="AV34" s="405">
        <f t="shared" ref="AV34:AZ35" si="23">AV$9*AV25</f>
        <v>13316.489600000001</v>
      </c>
      <c r="AW34" s="405">
        <f t="shared" si="23"/>
        <v>13759.996799999999</v>
      </c>
      <c r="AX34" s="405">
        <f t="shared" si="23"/>
        <v>20480.0016</v>
      </c>
      <c r="AY34" s="405">
        <f t="shared" si="23"/>
        <v>510.00319999999999</v>
      </c>
      <c r="AZ34" s="405">
        <f t="shared" si="23"/>
        <v>634.00160000000005</v>
      </c>
      <c r="BA34" s="405">
        <f t="shared" si="22"/>
        <v>1640.0007999999998</v>
      </c>
      <c r="BB34" s="405">
        <f>BB$9*BB25</f>
        <v>8639.9984000000004</v>
      </c>
      <c r="BC34" s="406">
        <f t="shared" si="22"/>
        <v>14399.9992</v>
      </c>
      <c r="BD34" s="405">
        <f>BD9*BD25</f>
        <v>6204.7816000000003</v>
      </c>
      <c r="BE34" s="405">
        <f t="shared" si="22"/>
        <v>10664.573600000002</v>
      </c>
      <c r="BF34" s="405">
        <f t="shared" si="22"/>
        <v>23473.2408</v>
      </c>
      <c r="BG34" s="405">
        <f t="shared" si="22"/>
        <v>1747.9751999999999</v>
      </c>
      <c r="BH34" s="405">
        <f t="shared" si="22"/>
        <v>969.34</v>
      </c>
      <c r="BI34" s="405">
        <f t="shared" ref="BI34:BQ34" si="24">BI$9*BI25</f>
        <v>6000.0002000000004</v>
      </c>
      <c r="BJ34" s="405">
        <f t="shared" si="24"/>
        <v>1500.0000500000001</v>
      </c>
      <c r="BK34" s="405">
        <f t="shared" si="24"/>
        <v>15839.997600000001</v>
      </c>
      <c r="BL34" s="405">
        <f t="shared" si="24"/>
        <v>59040.001600000003</v>
      </c>
      <c r="BM34" s="405">
        <f t="shared" si="24"/>
        <v>10880</v>
      </c>
      <c r="BN34" s="405">
        <f t="shared" si="24"/>
        <v>17759.9984</v>
      </c>
      <c r="BO34" s="405">
        <f t="shared" si="24"/>
        <v>17759.9984</v>
      </c>
      <c r="BP34" s="405">
        <f t="shared" si="24"/>
        <v>23199.9984</v>
      </c>
      <c r="BQ34" s="405">
        <f t="shared" si="24"/>
        <v>18160.002400000001</v>
      </c>
      <c r="BR34" s="405">
        <f t="shared" ref="BR34:BX35" si="25">BR$9*BR25</f>
        <v>600.00080000000003</v>
      </c>
      <c r="BS34" s="405">
        <f t="shared" si="25"/>
        <v>39999.999199999998</v>
      </c>
      <c r="BT34" s="405">
        <f t="shared" si="25"/>
        <v>39999.999199999998</v>
      </c>
      <c r="BU34" s="405">
        <f>BU$9*BU25</f>
        <v>22400.001600000003</v>
      </c>
      <c r="BV34" s="405">
        <f>BV$9*BV25</f>
        <v>22400.001600000003</v>
      </c>
      <c r="BW34" s="405">
        <f t="shared" si="25"/>
        <v>64050.002400000005</v>
      </c>
      <c r="BX34" s="405">
        <f t="shared" si="25"/>
        <v>1200.0008</v>
      </c>
      <c r="BY34" s="405">
        <f>BY$9*BY25</f>
        <v>5600</v>
      </c>
      <c r="BZ34" s="405">
        <f>BZ$9*BZ25</f>
        <v>3800.7440000000001</v>
      </c>
      <c r="CA34" s="405">
        <f t="shared" ref="CA34" si="26">CA$9*CA25</f>
        <v>4820</v>
      </c>
      <c r="CB34" s="405">
        <f>CB$9*CB25</f>
        <v>2600</v>
      </c>
    </row>
    <row r="35" spans="1:80">
      <c r="A35" s="403" t="s">
        <v>1120</v>
      </c>
      <c r="B35" s="404">
        <f t="shared" si="19"/>
        <v>4371.2384000000002</v>
      </c>
      <c r="C35" s="405">
        <f t="shared" si="19"/>
        <v>5087.0003999999999</v>
      </c>
      <c r="D35" s="405">
        <f t="shared" si="19"/>
        <v>7559.9992000000002</v>
      </c>
      <c r="E35" s="383">
        <f t="shared" ref="E35:AM35" si="27">E$9*E26</f>
        <v>36643.174400000004</v>
      </c>
      <c r="F35" s="405">
        <f t="shared" si="27"/>
        <v>27005.000400000001</v>
      </c>
      <c r="G35" s="405">
        <f t="shared" si="27"/>
        <v>37423.152400000006</v>
      </c>
      <c r="H35" s="405">
        <f t="shared" si="27"/>
        <v>18481.153999999999</v>
      </c>
      <c r="I35" s="405">
        <f t="shared" si="27"/>
        <v>1920</v>
      </c>
      <c r="J35" s="405">
        <f t="shared" si="27"/>
        <v>5766.0011999999997</v>
      </c>
      <c r="K35" s="405">
        <f t="shared" si="27"/>
        <v>9068.7608</v>
      </c>
      <c r="L35" s="405">
        <f t="shared" si="27"/>
        <v>18794.0016</v>
      </c>
      <c r="M35" s="405">
        <f>M$9*M26</f>
        <v>892.0003999999999</v>
      </c>
      <c r="N35" s="405">
        <f t="shared" si="27"/>
        <v>50651.1008</v>
      </c>
      <c r="O35" s="405">
        <f>O$9*O26</f>
        <v>8279.9987999999994</v>
      </c>
      <c r="P35" s="405">
        <f t="shared" si="27"/>
        <v>77180.000400000004</v>
      </c>
      <c r="Q35" s="405">
        <f t="shared" si="27"/>
        <v>26942.499199999998</v>
      </c>
      <c r="R35" s="405">
        <f t="shared" si="27"/>
        <v>7412.4528</v>
      </c>
      <c r="S35" s="405">
        <f t="shared" si="27"/>
        <v>19184.948400000001</v>
      </c>
      <c r="T35" s="405">
        <f t="shared" si="27"/>
        <v>28881.500400000001</v>
      </c>
      <c r="U35" s="405">
        <f>U$9*U26</f>
        <v>18290.116000000002</v>
      </c>
      <c r="V35" s="405">
        <f t="shared" si="27"/>
        <v>29440.000800000002</v>
      </c>
      <c r="W35" s="405">
        <f t="shared" si="21"/>
        <v>29399.998800000001</v>
      </c>
      <c r="X35" s="405">
        <f t="shared" si="21"/>
        <v>9575.8652000000002</v>
      </c>
      <c r="Y35" s="405">
        <f t="shared" si="21"/>
        <v>5932.2452000000003</v>
      </c>
      <c r="Z35" s="405">
        <f t="shared" si="21"/>
        <v>2138.3604</v>
      </c>
      <c r="AA35" s="405">
        <f t="shared" si="21"/>
        <v>140000.00039999999</v>
      </c>
      <c r="AB35" s="405">
        <f t="shared" si="21"/>
        <v>59348.1584</v>
      </c>
      <c r="AC35" s="405">
        <f t="shared" si="21"/>
        <v>7222.4119999999994</v>
      </c>
      <c r="AD35" s="405">
        <f t="shared" si="21"/>
        <v>3040.6376</v>
      </c>
      <c r="AE35" s="405">
        <f t="shared" si="27"/>
        <v>2470.5812000000001</v>
      </c>
      <c r="AF35" s="405">
        <f t="shared" si="27"/>
        <v>3515.8971999999999</v>
      </c>
      <c r="AG35" s="405">
        <f t="shared" si="27"/>
        <v>8649.9987999999994</v>
      </c>
      <c r="AH35" s="405">
        <f t="shared" si="27"/>
        <v>1687.5011999999999</v>
      </c>
      <c r="AI35" s="405">
        <f t="shared" si="27"/>
        <v>2479.9992000000002</v>
      </c>
      <c r="AJ35" s="405">
        <f t="shared" si="27"/>
        <v>47999.998399999997</v>
      </c>
      <c r="AK35" s="405">
        <f t="shared" si="27"/>
        <v>12636.620800000001</v>
      </c>
      <c r="AL35" s="405">
        <f t="shared" si="27"/>
        <v>5537.3612000000003</v>
      </c>
      <c r="AM35" s="405">
        <f t="shared" si="27"/>
        <v>2896.0159999999996</v>
      </c>
      <c r="AN35" s="405">
        <f t="shared" ref="AN35:BH35" si="28">AN$9*AN26</f>
        <v>7600.0007999999998</v>
      </c>
      <c r="AO35" s="405">
        <f t="shared" si="28"/>
        <v>7119.9992000000002</v>
      </c>
      <c r="AP35" s="405">
        <f t="shared" si="28"/>
        <v>3019.4776000000002</v>
      </c>
      <c r="AQ35" s="405">
        <f t="shared" si="28"/>
        <v>6955.7435999999998</v>
      </c>
      <c r="AR35" s="405">
        <f t="shared" si="28"/>
        <v>5069.3332</v>
      </c>
      <c r="AS35" s="405">
        <f>AS$9*AS26</f>
        <v>139.99959999999999</v>
      </c>
      <c r="AT35" s="405">
        <f>AT$9*AT26</f>
        <v>5932.2452000000003</v>
      </c>
      <c r="AU35" s="405">
        <f t="shared" si="28"/>
        <v>1569.3432</v>
      </c>
      <c r="AV35" s="405">
        <f t="shared" si="23"/>
        <v>6658.2448000000004</v>
      </c>
      <c r="AW35" s="405">
        <f t="shared" si="23"/>
        <v>6879.9983999999995</v>
      </c>
      <c r="AX35" s="405">
        <f t="shared" si="23"/>
        <v>10240.0008</v>
      </c>
      <c r="AY35" s="405">
        <f t="shared" si="23"/>
        <v>255.0016</v>
      </c>
      <c r="AZ35" s="405">
        <f t="shared" si="23"/>
        <v>317.00080000000003</v>
      </c>
      <c r="BA35" s="405">
        <f t="shared" si="28"/>
        <v>820.0003999999999</v>
      </c>
      <c r="BB35" s="405">
        <f>BB$9*BB26</f>
        <v>4319.9992000000002</v>
      </c>
      <c r="BC35" s="406">
        <f t="shared" si="28"/>
        <v>7199.9996000000001</v>
      </c>
      <c r="BD35" s="405">
        <f>BD9*BD26</f>
        <v>3102.3908000000001</v>
      </c>
      <c r="BE35" s="405">
        <f t="shared" si="28"/>
        <v>5332.2868000000008</v>
      </c>
      <c r="BF35" s="405">
        <f t="shared" si="28"/>
        <v>11736.6204</v>
      </c>
      <c r="BG35" s="405">
        <f t="shared" si="28"/>
        <v>873.98759999999993</v>
      </c>
      <c r="BH35" s="405">
        <f t="shared" si="28"/>
        <v>484.67</v>
      </c>
      <c r="BI35" s="405">
        <f t="shared" ref="BI35:BQ35" si="29">BI$9*BI26</f>
        <v>6000.0002000000004</v>
      </c>
      <c r="BJ35" s="405">
        <f t="shared" si="29"/>
        <v>1500.0000500000001</v>
      </c>
      <c r="BK35" s="405">
        <f t="shared" si="29"/>
        <v>7919.9988000000003</v>
      </c>
      <c r="BL35" s="405">
        <f t="shared" si="29"/>
        <v>29520.000800000002</v>
      </c>
      <c r="BM35" s="405">
        <f t="shared" si="29"/>
        <v>5440</v>
      </c>
      <c r="BN35" s="405">
        <f t="shared" si="29"/>
        <v>8879.9992000000002</v>
      </c>
      <c r="BO35" s="405">
        <f t="shared" si="29"/>
        <v>8879.9992000000002</v>
      </c>
      <c r="BP35" s="405">
        <f t="shared" si="29"/>
        <v>11599.9992</v>
      </c>
      <c r="BQ35" s="405">
        <f t="shared" si="29"/>
        <v>9080.0012000000006</v>
      </c>
      <c r="BR35" s="405">
        <f t="shared" si="25"/>
        <v>300.00040000000001</v>
      </c>
      <c r="BS35" s="405">
        <f t="shared" si="25"/>
        <v>19999.999599999999</v>
      </c>
      <c r="BT35" s="405">
        <f t="shared" si="25"/>
        <v>19999.999599999999</v>
      </c>
      <c r="BU35" s="405">
        <f>BU$9*BU26</f>
        <v>11200.000800000002</v>
      </c>
      <c r="BV35" s="405">
        <f>BV$9*BV26</f>
        <v>11200.000800000002</v>
      </c>
      <c r="BW35" s="405">
        <f t="shared" si="25"/>
        <v>32025.001200000002</v>
      </c>
      <c r="BX35" s="405">
        <f t="shared" si="25"/>
        <v>600.00040000000001</v>
      </c>
      <c r="BY35" s="405">
        <f>BY$9*BY26</f>
        <v>2800</v>
      </c>
      <c r="BZ35" s="405">
        <f>BZ$9*BZ26</f>
        <v>1900.3720000000001</v>
      </c>
      <c r="CA35" s="405">
        <f t="shared" ref="CA35" si="30">CA$9*CA26</f>
        <v>2410</v>
      </c>
      <c r="CB35" s="405">
        <f>CB$9*CB26</f>
        <v>1300</v>
      </c>
    </row>
    <row r="36" spans="1:80">
      <c r="A36" s="403" t="s">
        <v>1107</v>
      </c>
      <c r="B36" s="404">
        <f t="shared" ref="B36:D37" si="31">B13</f>
        <v>1850</v>
      </c>
      <c r="C36" s="405">
        <f t="shared" si="31"/>
        <v>1850</v>
      </c>
      <c r="D36" s="405">
        <f t="shared" si="31"/>
        <v>0</v>
      </c>
      <c r="E36" s="383">
        <f t="shared" ref="E36:AM36" si="32">E13</f>
        <v>450</v>
      </c>
      <c r="F36" s="405">
        <f t="shared" si="32"/>
        <v>1100</v>
      </c>
      <c r="G36" s="405">
        <f t="shared" si="32"/>
        <v>1100</v>
      </c>
      <c r="H36" s="405">
        <f t="shared" si="32"/>
        <v>1100</v>
      </c>
      <c r="I36" s="405">
        <f t="shared" si="32"/>
        <v>0</v>
      </c>
      <c r="J36" s="405">
        <f t="shared" si="32"/>
        <v>0</v>
      </c>
      <c r="K36" s="405">
        <f t="shared" si="32"/>
        <v>0</v>
      </c>
      <c r="L36" s="405">
        <f t="shared" si="32"/>
        <v>0</v>
      </c>
      <c r="M36" s="405">
        <f>M13</f>
        <v>0</v>
      </c>
      <c r="N36" s="405">
        <f t="shared" si="32"/>
        <v>0</v>
      </c>
      <c r="O36" s="405">
        <f>O13</f>
        <v>0</v>
      </c>
      <c r="P36" s="405">
        <f t="shared" si="32"/>
        <v>0</v>
      </c>
      <c r="Q36" s="405">
        <f t="shared" si="32"/>
        <v>0</v>
      </c>
      <c r="R36" s="405">
        <f t="shared" si="32"/>
        <v>1800</v>
      </c>
      <c r="S36" s="405">
        <f t="shared" si="32"/>
        <v>9800</v>
      </c>
      <c r="T36" s="405">
        <f t="shared" si="32"/>
        <v>10800</v>
      </c>
      <c r="U36" s="405">
        <f>U13</f>
        <v>9800</v>
      </c>
      <c r="V36" s="405">
        <f t="shared" si="32"/>
        <v>10800</v>
      </c>
      <c r="W36" s="405">
        <f t="shared" ref="W36:AD37" si="33">W13</f>
        <v>9800</v>
      </c>
      <c r="X36" s="405">
        <f t="shared" si="33"/>
        <v>1590</v>
      </c>
      <c r="Y36" s="405">
        <f t="shared" si="33"/>
        <v>1590</v>
      </c>
      <c r="Z36" s="405">
        <f t="shared" si="33"/>
        <v>1590</v>
      </c>
      <c r="AA36" s="405">
        <f t="shared" si="33"/>
        <v>1100</v>
      </c>
      <c r="AB36" s="405">
        <f t="shared" si="33"/>
        <v>850</v>
      </c>
      <c r="AC36" s="405">
        <f t="shared" si="33"/>
        <v>0</v>
      </c>
      <c r="AD36" s="405">
        <f t="shared" si="33"/>
        <v>0</v>
      </c>
      <c r="AE36" s="405">
        <f t="shared" si="32"/>
        <v>0</v>
      </c>
      <c r="AF36" s="405">
        <f t="shared" si="32"/>
        <v>0</v>
      </c>
      <c r="AG36" s="405">
        <f t="shared" si="32"/>
        <v>0</v>
      </c>
      <c r="AH36" s="405">
        <f t="shared" si="32"/>
        <v>0</v>
      </c>
      <c r="AI36" s="405">
        <f t="shared" si="32"/>
        <v>0</v>
      </c>
      <c r="AJ36" s="405">
        <f t="shared" si="32"/>
        <v>1100</v>
      </c>
      <c r="AK36" s="405">
        <f t="shared" si="32"/>
        <v>1100</v>
      </c>
      <c r="AL36" s="405">
        <f t="shared" si="32"/>
        <v>0</v>
      </c>
      <c r="AM36" s="405">
        <f t="shared" si="32"/>
        <v>0</v>
      </c>
      <c r="AN36" s="405">
        <f t="shared" ref="AN36:BH36" si="34">AN13</f>
        <v>0</v>
      </c>
      <c r="AO36" s="405">
        <f t="shared" si="34"/>
        <v>0</v>
      </c>
      <c r="AP36" s="405">
        <f t="shared" si="34"/>
        <v>0</v>
      </c>
      <c r="AQ36" s="405">
        <f t="shared" si="34"/>
        <v>0</v>
      </c>
      <c r="AR36" s="405">
        <f t="shared" si="34"/>
        <v>0</v>
      </c>
      <c r="AS36" s="405">
        <f>AS13</f>
        <v>0</v>
      </c>
      <c r="AT36" s="405">
        <f>AT13</f>
        <v>1590</v>
      </c>
      <c r="AU36" s="405">
        <f t="shared" si="34"/>
        <v>0</v>
      </c>
      <c r="AV36" s="405">
        <f t="shared" ref="AV36:AZ37" si="35">AV13</f>
        <v>0</v>
      </c>
      <c r="AW36" s="405">
        <f t="shared" si="35"/>
        <v>0</v>
      </c>
      <c r="AX36" s="405">
        <f t="shared" si="35"/>
        <v>1100</v>
      </c>
      <c r="AY36" s="405">
        <f t="shared" si="35"/>
        <v>0</v>
      </c>
      <c r="AZ36" s="405">
        <f t="shared" si="35"/>
        <v>0</v>
      </c>
      <c r="BA36" s="405">
        <f t="shared" si="34"/>
        <v>0</v>
      </c>
      <c r="BB36" s="405">
        <f>BB13</f>
        <v>0</v>
      </c>
      <c r="BC36" s="406">
        <f t="shared" si="34"/>
        <v>0</v>
      </c>
      <c r="BD36" s="405">
        <f t="shared" si="34"/>
        <v>0</v>
      </c>
      <c r="BE36" s="405">
        <f t="shared" si="34"/>
        <v>0</v>
      </c>
      <c r="BF36" s="405">
        <f t="shared" si="34"/>
        <v>0</v>
      </c>
      <c r="BG36" s="405">
        <f t="shared" si="34"/>
        <v>0</v>
      </c>
      <c r="BH36" s="405">
        <f t="shared" si="34"/>
        <v>0</v>
      </c>
      <c r="BI36" s="405">
        <f t="shared" ref="BI36:BQ36" si="36">BI13</f>
        <v>2000</v>
      </c>
      <c r="BJ36" s="405">
        <f t="shared" si="36"/>
        <v>1000</v>
      </c>
      <c r="BK36" s="405">
        <f t="shared" si="36"/>
        <v>0</v>
      </c>
      <c r="BL36" s="405">
        <f t="shared" si="36"/>
        <v>0</v>
      </c>
      <c r="BM36" s="405">
        <f t="shared" si="36"/>
        <v>0</v>
      </c>
      <c r="BN36" s="405">
        <f t="shared" si="36"/>
        <v>1000</v>
      </c>
      <c r="BO36" s="405">
        <f t="shared" si="36"/>
        <v>1000</v>
      </c>
      <c r="BP36" s="405">
        <f t="shared" si="36"/>
        <v>0</v>
      </c>
      <c r="BQ36" s="405">
        <f t="shared" si="36"/>
        <v>9800</v>
      </c>
      <c r="BR36" s="405">
        <f t="shared" ref="BR36:BX37" si="37">BR13</f>
        <v>0</v>
      </c>
      <c r="BS36" s="405">
        <f t="shared" si="37"/>
        <v>0</v>
      </c>
      <c r="BT36" s="405">
        <f t="shared" si="37"/>
        <v>0</v>
      </c>
      <c r="BU36" s="405">
        <f>BU13</f>
        <v>0</v>
      </c>
      <c r="BV36" s="405">
        <f>BV13</f>
        <v>0</v>
      </c>
      <c r="BW36" s="405">
        <f t="shared" si="37"/>
        <v>0</v>
      </c>
      <c r="BX36" s="405">
        <f t="shared" si="37"/>
        <v>0</v>
      </c>
      <c r="BY36" s="405">
        <f>BY13</f>
        <v>0</v>
      </c>
      <c r="BZ36" s="405">
        <f>BZ13</f>
        <v>0</v>
      </c>
      <c r="CA36" s="405">
        <f t="shared" ref="CA36" si="38">CA13</f>
        <v>1000</v>
      </c>
      <c r="CB36" s="405">
        <f>CB13</f>
        <v>850</v>
      </c>
    </row>
    <row r="37" spans="1:80">
      <c r="A37" s="403" t="s">
        <v>1108</v>
      </c>
      <c r="B37" s="404">
        <f t="shared" si="31"/>
        <v>260</v>
      </c>
      <c r="C37" s="405">
        <f t="shared" si="31"/>
        <v>260</v>
      </c>
      <c r="D37" s="405">
        <f t="shared" si="31"/>
        <v>0</v>
      </c>
      <c r="E37" s="383">
        <f t="shared" ref="E37:AM37" si="39">E14</f>
        <v>390</v>
      </c>
      <c r="F37" s="405">
        <f t="shared" si="39"/>
        <v>0</v>
      </c>
      <c r="G37" s="405">
        <f t="shared" si="39"/>
        <v>0</v>
      </c>
      <c r="H37" s="405">
        <f t="shared" si="39"/>
        <v>650</v>
      </c>
      <c r="I37" s="405">
        <f t="shared" si="39"/>
        <v>0</v>
      </c>
      <c r="J37" s="405">
        <f t="shared" si="39"/>
        <v>0</v>
      </c>
      <c r="K37" s="405">
        <f t="shared" si="39"/>
        <v>0</v>
      </c>
      <c r="L37" s="405">
        <f t="shared" si="39"/>
        <v>0</v>
      </c>
      <c r="M37" s="405">
        <f>M14</f>
        <v>0</v>
      </c>
      <c r="N37" s="405">
        <f t="shared" si="39"/>
        <v>0</v>
      </c>
      <c r="O37" s="405">
        <f>O14</f>
        <v>0</v>
      </c>
      <c r="P37" s="405">
        <f t="shared" si="39"/>
        <v>0</v>
      </c>
      <c r="Q37" s="405">
        <f t="shared" si="39"/>
        <v>0</v>
      </c>
      <c r="R37" s="405">
        <f t="shared" si="39"/>
        <v>1700</v>
      </c>
      <c r="S37" s="405">
        <f t="shared" si="39"/>
        <v>6500</v>
      </c>
      <c r="T37" s="405">
        <f t="shared" si="39"/>
        <v>8000</v>
      </c>
      <c r="U37" s="405">
        <f>U14</f>
        <v>6500</v>
      </c>
      <c r="V37" s="405">
        <f t="shared" si="39"/>
        <v>8000</v>
      </c>
      <c r="W37" s="405">
        <f t="shared" si="33"/>
        <v>6500</v>
      </c>
      <c r="X37" s="405">
        <f t="shared" si="33"/>
        <v>260</v>
      </c>
      <c r="Y37" s="405">
        <f t="shared" si="33"/>
        <v>260</v>
      </c>
      <c r="Z37" s="405">
        <f t="shared" si="33"/>
        <v>260</v>
      </c>
      <c r="AA37" s="405">
        <f t="shared" si="33"/>
        <v>1100</v>
      </c>
      <c r="AB37" s="405">
        <f t="shared" si="33"/>
        <v>380</v>
      </c>
      <c r="AC37" s="405">
        <f t="shared" si="33"/>
        <v>0</v>
      </c>
      <c r="AD37" s="405">
        <f t="shared" si="33"/>
        <v>0</v>
      </c>
      <c r="AE37" s="405">
        <f t="shared" si="39"/>
        <v>0</v>
      </c>
      <c r="AF37" s="405">
        <f t="shared" si="39"/>
        <v>0</v>
      </c>
      <c r="AG37" s="405">
        <f t="shared" si="39"/>
        <v>0</v>
      </c>
      <c r="AH37" s="405">
        <f t="shared" si="39"/>
        <v>0</v>
      </c>
      <c r="AI37" s="405">
        <f t="shared" si="39"/>
        <v>0</v>
      </c>
      <c r="AJ37" s="405">
        <f t="shared" si="39"/>
        <v>650</v>
      </c>
      <c r="AK37" s="405">
        <f t="shared" si="39"/>
        <v>650</v>
      </c>
      <c r="AL37" s="405">
        <f t="shared" si="39"/>
        <v>0</v>
      </c>
      <c r="AM37" s="405">
        <f t="shared" si="39"/>
        <v>0</v>
      </c>
      <c r="AN37" s="405">
        <f t="shared" ref="AN37:BH37" si="40">AN14</f>
        <v>0</v>
      </c>
      <c r="AO37" s="405">
        <f t="shared" si="40"/>
        <v>0</v>
      </c>
      <c r="AP37" s="405">
        <f t="shared" si="40"/>
        <v>0</v>
      </c>
      <c r="AQ37" s="405">
        <f t="shared" si="40"/>
        <v>0</v>
      </c>
      <c r="AR37" s="405">
        <f t="shared" si="40"/>
        <v>0</v>
      </c>
      <c r="AS37" s="405">
        <f>AS14</f>
        <v>0</v>
      </c>
      <c r="AT37" s="405">
        <f>AT14</f>
        <v>260</v>
      </c>
      <c r="AU37" s="405">
        <f t="shared" si="40"/>
        <v>0</v>
      </c>
      <c r="AV37" s="405">
        <f t="shared" si="35"/>
        <v>0</v>
      </c>
      <c r="AW37" s="405">
        <f t="shared" si="35"/>
        <v>0</v>
      </c>
      <c r="AX37" s="405">
        <f t="shared" si="35"/>
        <v>1100</v>
      </c>
      <c r="AY37" s="405">
        <f t="shared" si="35"/>
        <v>0</v>
      </c>
      <c r="AZ37" s="405">
        <f t="shared" si="35"/>
        <v>0</v>
      </c>
      <c r="BA37" s="405">
        <f t="shared" si="40"/>
        <v>0</v>
      </c>
      <c r="BB37" s="405">
        <f>BB14</f>
        <v>0</v>
      </c>
      <c r="BC37" s="406">
        <f t="shared" si="40"/>
        <v>0</v>
      </c>
      <c r="BD37" s="405">
        <f t="shared" si="40"/>
        <v>0</v>
      </c>
      <c r="BE37" s="405">
        <f t="shared" si="40"/>
        <v>0</v>
      </c>
      <c r="BF37" s="405">
        <f t="shared" si="40"/>
        <v>0</v>
      </c>
      <c r="BG37" s="405">
        <f t="shared" si="40"/>
        <v>0</v>
      </c>
      <c r="BH37" s="405">
        <f t="shared" si="40"/>
        <v>0</v>
      </c>
      <c r="BI37" s="405">
        <f t="shared" ref="BI37:BQ37" si="41">BI14</f>
        <v>0</v>
      </c>
      <c r="BJ37" s="405">
        <f t="shared" si="41"/>
        <v>0</v>
      </c>
      <c r="BK37" s="405">
        <f t="shared" si="41"/>
        <v>0</v>
      </c>
      <c r="BL37" s="405">
        <f t="shared" si="41"/>
        <v>0</v>
      </c>
      <c r="BM37" s="405">
        <f t="shared" si="41"/>
        <v>0</v>
      </c>
      <c r="BN37" s="405">
        <f t="shared" si="41"/>
        <v>650</v>
      </c>
      <c r="BO37" s="405">
        <f t="shared" si="41"/>
        <v>650</v>
      </c>
      <c r="BP37" s="405">
        <f t="shared" si="41"/>
        <v>0</v>
      </c>
      <c r="BQ37" s="405">
        <f t="shared" si="41"/>
        <v>6500</v>
      </c>
      <c r="BR37" s="405">
        <f t="shared" si="37"/>
        <v>0</v>
      </c>
      <c r="BS37" s="405">
        <f t="shared" si="37"/>
        <v>0</v>
      </c>
      <c r="BT37" s="405">
        <f t="shared" si="37"/>
        <v>0</v>
      </c>
      <c r="BU37" s="405">
        <f>BU14</f>
        <v>0</v>
      </c>
      <c r="BV37" s="405">
        <f>BV14</f>
        <v>0</v>
      </c>
      <c r="BW37" s="405">
        <f t="shared" si="37"/>
        <v>0</v>
      </c>
      <c r="BX37" s="405">
        <f t="shared" si="37"/>
        <v>0</v>
      </c>
      <c r="BY37" s="405">
        <f>BY14</f>
        <v>0</v>
      </c>
      <c r="BZ37" s="405">
        <f>BZ14</f>
        <v>0</v>
      </c>
      <c r="CA37" s="405">
        <f t="shared" ref="CA37" si="42">CA14</f>
        <v>650</v>
      </c>
      <c r="CB37" s="405">
        <f>CB14</f>
        <v>380</v>
      </c>
    </row>
    <row r="38" spans="1:80">
      <c r="A38" s="403" t="s">
        <v>1126</v>
      </c>
      <c r="B38" s="404">
        <f>B15+B16*B17</f>
        <v>152</v>
      </c>
      <c r="C38" s="405">
        <f>C15+C16*C17</f>
        <v>228</v>
      </c>
      <c r="D38" s="405">
        <f>D15+D16*D17</f>
        <v>9500</v>
      </c>
      <c r="E38" s="383">
        <f t="shared" ref="E38:AM38" si="43">E15+E16*E17</f>
        <v>152</v>
      </c>
      <c r="F38" s="405">
        <f t="shared" si="43"/>
        <v>0</v>
      </c>
      <c r="G38" s="405">
        <f t="shared" si="43"/>
        <v>0</v>
      </c>
      <c r="H38" s="405">
        <f t="shared" si="43"/>
        <v>0</v>
      </c>
      <c r="I38" s="405">
        <f t="shared" si="43"/>
        <v>0</v>
      </c>
      <c r="J38" s="405">
        <f t="shared" si="43"/>
        <v>0</v>
      </c>
      <c r="K38" s="405">
        <f t="shared" si="43"/>
        <v>0</v>
      </c>
      <c r="L38" s="405">
        <f t="shared" si="43"/>
        <v>0</v>
      </c>
      <c r="M38" s="405">
        <f>M15+M16*M17</f>
        <v>0</v>
      </c>
      <c r="N38" s="405">
        <f t="shared" si="43"/>
        <v>0</v>
      </c>
      <c r="O38" s="405">
        <f>O15+O16*O17</f>
        <v>0</v>
      </c>
      <c r="P38" s="405">
        <f t="shared" si="43"/>
        <v>0</v>
      </c>
      <c r="Q38" s="405">
        <f t="shared" si="43"/>
        <v>0</v>
      </c>
      <c r="R38" s="405">
        <f t="shared" si="43"/>
        <v>228</v>
      </c>
      <c r="S38" s="405">
        <f t="shared" si="43"/>
        <v>2556</v>
      </c>
      <c r="T38" s="405">
        <f t="shared" si="43"/>
        <v>2556</v>
      </c>
      <c r="U38" s="405">
        <f>U15+U16*U17</f>
        <v>2556</v>
      </c>
      <c r="V38" s="405">
        <f t="shared" si="43"/>
        <v>2556</v>
      </c>
      <c r="W38" s="405">
        <f t="shared" ref="W38:AD38" si="44">W15+W16*W17</f>
        <v>2556</v>
      </c>
      <c r="X38" s="405">
        <f t="shared" si="44"/>
        <v>228</v>
      </c>
      <c r="Y38" s="405">
        <f t="shared" si="44"/>
        <v>228</v>
      </c>
      <c r="Z38" s="405">
        <f t="shared" si="44"/>
        <v>228</v>
      </c>
      <c r="AA38" s="405">
        <f t="shared" si="44"/>
        <v>152</v>
      </c>
      <c r="AB38" s="405">
        <f t="shared" si="44"/>
        <v>150</v>
      </c>
      <c r="AC38" s="405">
        <f t="shared" si="44"/>
        <v>0</v>
      </c>
      <c r="AD38" s="405">
        <f t="shared" si="44"/>
        <v>0</v>
      </c>
      <c r="AE38" s="405">
        <f t="shared" si="43"/>
        <v>0</v>
      </c>
      <c r="AF38" s="405">
        <f t="shared" si="43"/>
        <v>0</v>
      </c>
      <c r="AG38" s="405">
        <f t="shared" si="43"/>
        <v>0</v>
      </c>
      <c r="AH38" s="405">
        <f t="shared" si="43"/>
        <v>0</v>
      </c>
      <c r="AI38" s="405">
        <f t="shared" si="43"/>
        <v>0</v>
      </c>
      <c r="AJ38" s="405">
        <f t="shared" si="43"/>
        <v>152</v>
      </c>
      <c r="AK38" s="405">
        <f t="shared" si="43"/>
        <v>152</v>
      </c>
      <c r="AL38" s="405">
        <f t="shared" si="43"/>
        <v>0</v>
      </c>
      <c r="AM38" s="405">
        <f t="shared" si="43"/>
        <v>0</v>
      </c>
      <c r="AN38" s="405">
        <f t="shared" ref="AN38:BH38" si="45">AN15+AN16*AN17</f>
        <v>0</v>
      </c>
      <c r="AO38" s="405">
        <f t="shared" si="45"/>
        <v>0</v>
      </c>
      <c r="AP38" s="405">
        <f t="shared" si="45"/>
        <v>0</v>
      </c>
      <c r="AQ38" s="405">
        <f t="shared" si="45"/>
        <v>0</v>
      </c>
      <c r="AR38" s="405">
        <f t="shared" si="45"/>
        <v>0</v>
      </c>
      <c r="AS38" s="405">
        <f>AS15+AS16*AS17</f>
        <v>0</v>
      </c>
      <c r="AT38" s="405">
        <f>AT15+AT16*AT17</f>
        <v>228</v>
      </c>
      <c r="AU38" s="405">
        <f t="shared" si="45"/>
        <v>0</v>
      </c>
      <c r="AV38" s="405">
        <f>AV15+AV16*AV17</f>
        <v>0</v>
      </c>
      <c r="AW38" s="405">
        <f>AW15+AW16*AW17</f>
        <v>0</v>
      </c>
      <c r="AX38" s="405">
        <f>AX15+AX16*AX17</f>
        <v>0</v>
      </c>
      <c r="AY38" s="405">
        <f>AY15+AY16*AY17</f>
        <v>0</v>
      </c>
      <c r="AZ38" s="405">
        <f>AZ15+AZ16*AZ17</f>
        <v>0</v>
      </c>
      <c r="BA38" s="405">
        <f t="shared" si="45"/>
        <v>0</v>
      </c>
      <c r="BB38" s="405">
        <f>BB15+BB16*BB17</f>
        <v>0</v>
      </c>
      <c r="BC38" s="406">
        <f t="shared" si="45"/>
        <v>0</v>
      </c>
      <c r="BD38" s="405">
        <f>BD15+BD16*BD17</f>
        <v>0</v>
      </c>
      <c r="BE38" s="405">
        <f t="shared" si="45"/>
        <v>0</v>
      </c>
      <c r="BF38" s="405">
        <f t="shared" si="45"/>
        <v>0</v>
      </c>
      <c r="BG38" s="405">
        <f t="shared" si="45"/>
        <v>0</v>
      </c>
      <c r="BH38" s="405">
        <f t="shared" si="45"/>
        <v>0</v>
      </c>
      <c r="BI38" s="405">
        <f t="shared" ref="BI38:BQ38" si="46">BI15+BI16*BI17</f>
        <v>0</v>
      </c>
      <c r="BJ38" s="405">
        <f t="shared" si="46"/>
        <v>0</v>
      </c>
      <c r="BK38" s="405">
        <f t="shared" si="46"/>
        <v>0</v>
      </c>
      <c r="BL38" s="405">
        <f t="shared" si="46"/>
        <v>0</v>
      </c>
      <c r="BM38" s="405">
        <f t="shared" si="46"/>
        <v>0</v>
      </c>
      <c r="BN38" s="405">
        <f t="shared" si="46"/>
        <v>0</v>
      </c>
      <c r="BO38" s="405">
        <f t="shared" si="46"/>
        <v>0</v>
      </c>
      <c r="BP38" s="405">
        <f t="shared" si="46"/>
        <v>0</v>
      </c>
      <c r="BQ38" s="405">
        <f t="shared" si="46"/>
        <v>2556</v>
      </c>
      <c r="BR38" s="405">
        <f t="shared" ref="BR38:BX38" si="47">BR15+BR16*BR17</f>
        <v>0</v>
      </c>
      <c r="BS38" s="405">
        <f t="shared" si="47"/>
        <v>0</v>
      </c>
      <c r="BT38" s="405">
        <f t="shared" si="47"/>
        <v>0</v>
      </c>
      <c r="BU38" s="405">
        <f t="shared" si="47"/>
        <v>0</v>
      </c>
      <c r="BV38" s="405">
        <f t="shared" si="47"/>
        <v>0</v>
      </c>
      <c r="BW38" s="405">
        <f t="shared" si="47"/>
        <v>0</v>
      </c>
      <c r="BX38" s="405">
        <f t="shared" si="47"/>
        <v>0</v>
      </c>
      <c r="BY38" s="405">
        <f>BY15+BY16*BY17</f>
        <v>0</v>
      </c>
      <c r="BZ38" s="405">
        <f>BZ15+BZ16*BZ17</f>
        <v>0</v>
      </c>
      <c r="CA38" s="405">
        <f t="shared" ref="CA38" si="48">CA15+CA16*CA17</f>
        <v>0</v>
      </c>
      <c r="CB38" s="405">
        <f>CB15+CB16*CB17</f>
        <v>150</v>
      </c>
    </row>
    <row r="39" spans="1:80">
      <c r="A39" s="403" t="s">
        <v>1127</v>
      </c>
      <c r="B39" s="542">
        <f>B12*'Cjenik RS'!$D$6</f>
        <v>0</v>
      </c>
      <c r="C39" s="542">
        <f>C12*'Cjenik RS'!$D$6</f>
        <v>0</v>
      </c>
      <c r="D39" s="542">
        <f>D12*'Cjenik RS'!$D$6</f>
        <v>0</v>
      </c>
      <c r="E39" s="542">
        <f>E12*'Cjenik RS'!$D$6</f>
        <v>137723.99999999997</v>
      </c>
      <c r="F39" s="542">
        <f>F12*'Cjenik RS'!$D$6</f>
        <v>91816</v>
      </c>
      <c r="G39" s="542">
        <f>G12*'Cjenik RS'!$D$6</f>
        <v>137723.99999999997</v>
      </c>
      <c r="H39" s="542">
        <f>H12*'Cjenik RS'!$D$6</f>
        <v>152670</v>
      </c>
      <c r="I39" s="542">
        <f>I12*'Cjenik RS'!$D$6</f>
        <v>0</v>
      </c>
      <c r="J39" s="542">
        <f>J12*'Cjenik RS'!$D$6</f>
        <v>71246</v>
      </c>
      <c r="K39" s="542">
        <f>K12*'Cjenik RS'!$D$6</f>
        <v>71246</v>
      </c>
      <c r="L39" s="542">
        <f>L12*'Cjenik RS'!$D$6</f>
        <v>91602</v>
      </c>
      <c r="M39" s="542">
        <f>M12*'Cjenik RS'!$D$6</f>
        <v>59124</v>
      </c>
      <c r="N39" s="542">
        <f>N12*'Cjenik RS'!$D$6</f>
        <v>91816</v>
      </c>
      <c r="O39" s="542">
        <f>O12*'Cjenik RS'!$D$6</f>
        <v>78832</v>
      </c>
      <c r="P39" s="542">
        <f>P12*'Cjenik RS'!$D$6</f>
        <v>114769.99999999999</v>
      </c>
      <c r="Q39" s="542">
        <f>Q12*'Cjenik RS'!$D$6</f>
        <v>131985.49999999997</v>
      </c>
      <c r="R39" s="542">
        <f>R12*'Cjenik RS'!$D$6</f>
        <v>195160</v>
      </c>
      <c r="S39" s="542">
        <f>S12*'Cjenik RS'!$D$6</f>
        <v>195160</v>
      </c>
      <c r="T39" s="542">
        <f>T12*'Cjenik RS'!$D$6</f>
        <v>200847.5</v>
      </c>
      <c r="U39" s="542">
        <f>U12*'Cjenik RS'!$D$6</f>
        <v>137723.99999999997</v>
      </c>
      <c r="V39" s="542">
        <f>V12*'Cjenik RS'!$D$6</f>
        <v>200847.5</v>
      </c>
      <c r="W39" s="542">
        <f>W12*'Cjenik RS'!$D$6</f>
        <v>45908</v>
      </c>
      <c r="X39" s="542">
        <f>X12*'Cjenik RS'!$D$6</f>
        <v>0</v>
      </c>
      <c r="Y39" s="542">
        <f>Y12*'Cjenik RS'!$D$6</f>
        <v>0</v>
      </c>
      <c r="Z39" s="542">
        <f>Z12*'Cjenik RS'!$D$6</f>
        <v>0</v>
      </c>
      <c r="AA39" s="542">
        <f>AA12*'Cjenik RS'!$D$6</f>
        <v>137723.99999999997</v>
      </c>
      <c r="AB39" s="542">
        <f>AB12*'Cjenik RS'!$D$6</f>
        <v>74600.499999999985</v>
      </c>
      <c r="AC39" s="542">
        <f>AC12*'Cjenik RS'!$D$6</f>
        <v>0</v>
      </c>
      <c r="AD39" s="542">
        <f>AD12*'Cjenik RS'!$D$6</f>
        <v>9854</v>
      </c>
      <c r="AE39" s="542">
        <f>AE12*'Cjenik RS'!$D$6</f>
        <v>0</v>
      </c>
      <c r="AF39" s="542">
        <f>AF12*'Cjenik RS'!$D$6</f>
        <v>0</v>
      </c>
      <c r="AG39" s="542">
        <f>AG12*'Cjenik RS'!$D$6</f>
        <v>0</v>
      </c>
      <c r="AH39" s="542">
        <f>AH12*'Cjenik RS'!$D$6</f>
        <v>0</v>
      </c>
      <c r="AI39" s="542">
        <f>AI12*'Cjenik RS'!$D$6</f>
        <v>0</v>
      </c>
      <c r="AJ39" s="542">
        <f>AJ12*'Cjenik RS'!$D$6</f>
        <v>178432</v>
      </c>
      <c r="AK39" s="542">
        <f>AK12*'Cjenik RS'!$D$6</f>
        <v>81424</v>
      </c>
      <c r="AL39" s="542">
        <f>AL12*'Cjenik RS'!$D$6</f>
        <v>0</v>
      </c>
      <c r="AM39" s="542">
        <f>AM12*'Cjenik RS'!$D$6</f>
        <v>0</v>
      </c>
      <c r="AN39" s="542">
        <f>AN12*'Cjenik RS'!$D$6</f>
        <v>0</v>
      </c>
      <c r="AO39" s="542">
        <f>AO12*'Cjenik RS'!$D$6</f>
        <v>0</v>
      </c>
      <c r="AP39" s="542">
        <f>AP12*'Cjenik RS'!$D$6</f>
        <v>0</v>
      </c>
      <c r="AQ39" s="542">
        <f>AQ12*'Cjenik RS'!$D$6</f>
        <v>0</v>
      </c>
      <c r="AR39" s="542">
        <f>AR12*'Cjenik RS'!$D$6</f>
        <v>0</v>
      </c>
      <c r="AS39" s="542">
        <f>AS12*'Cjenik RS'!$D$6</f>
        <v>0</v>
      </c>
      <c r="AT39" s="542">
        <f>AT12*'Cjenik RS'!$D$6</f>
        <v>0</v>
      </c>
      <c r="AU39" s="542">
        <f>AU12*'Cjenik RS'!$D$6</f>
        <v>0</v>
      </c>
      <c r="AV39" s="542">
        <f>AV12*'Cjenik RS'!$D$6</f>
        <v>81424</v>
      </c>
      <c r="AW39" s="542">
        <f>AW12*'Cjenik RS'!$D$6</f>
        <v>101780</v>
      </c>
      <c r="AX39" s="542">
        <f>AX12*'Cjenik RS'!$D$6</f>
        <v>101780</v>
      </c>
      <c r="AY39" s="542">
        <f>AY12*'Cjenik RS'!$D$6</f>
        <v>39416</v>
      </c>
      <c r="AZ39" s="542">
        <f>AZ12*'Cjenik RS'!$D$6</f>
        <v>29562</v>
      </c>
      <c r="BA39" s="542">
        <f>BA12*'Cjenik RS'!$D$6</f>
        <v>68978</v>
      </c>
      <c r="BB39" s="542">
        <f>BB12*'Cjenik RS'!$D$6</f>
        <v>29562</v>
      </c>
      <c r="BC39" s="542">
        <f>BC12*'Cjenik RS'!$D$6</f>
        <v>117047</v>
      </c>
      <c r="BD39" s="542">
        <f>BD12*'Cjenik RS'!$D$6</f>
        <v>98540</v>
      </c>
      <c r="BE39" s="542">
        <f>BE12*'Cjenik RS'!$D$6</f>
        <v>50890</v>
      </c>
      <c r="BF39" s="542">
        <f>BF12*'Cjenik RS'!$D$6</f>
        <v>66911.999999999985</v>
      </c>
      <c r="BG39" s="542">
        <f>BG12*'Cjenik RS'!$D$6</f>
        <v>0</v>
      </c>
      <c r="BH39" s="542">
        <f>BH12*'Cjenik RS'!$D$6</f>
        <v>0</v>
      </c>
      <c r="BI39" s="542">
        <f>BI12*'Cjenik RS'!$D$6</f>
        <v>0</v>
      </c>
      <c r="BJ39" s="542">
        <f>BJ12*'Cjenik RS'!$D$6</f>
        <v>0</v>
      </c>
      <c r="BK39" s="542">
        <f>BK12*'Cjenik RS'!$D$6</f>
        <v>0</v>
      </c>
      <c r="BL39" s="542">
        <f>BL12*'Cjenik RS'!$D$6</f>
        <v>103293</v>
      </c>
      <c r="BM39" s="542">
        <f>BM12*'Cjenik RS'!$D$6</f>
        <v>0</v>
      </c>
      <c r="BN39" s="542">
        <f>BN12*'Cjenik RS'!$D$6</f>
        <v>101780</v>
      </c>
      <c r="BO39" s="542">
        <f>BO12*'Cjenik RS'!$D$6</f>
        <v>81424</v>
      </c>
      <c r="BP39" s="542">
        <f>BP12*'Cjenik RS'!$D$6</f>
        <v>61068</v>
      </c>
      <c r="BQ39" s="542">
        <f>BQ12*'Cjenik RS'!$D$6</f>
        <v>195160</v>
      </c>
      <c r="BR39" s="542">
        <f>BR12*'Cjenik RS'!$D$6</f>
        <v>0</v>
      </c>
      <c r="BS39" s="542">
        <f>BS12*'Cjenik RS'!$D$6</f>
        <v>0</v>
      </c>
      <c r="BT39" s="542">
        <f>BT12*'Cjenik RS'!$D$6</f>
        <v>0</v>
      </c>
      <c r="BU39" s="542">
        <f>BU12*'Cjenik RS'!$D$6</f>
        <v>0</v>
      </c>
      <c r="BV39" s="542">
        <f>BV12*'Cjenik RS'!$D$6</f>
        <v>0</v>
      </c>
      <c r="BW39" s="542">
        <f>BW12*'Cjenik RS'!$D$6</f>
        <v>117047</v>
      </c>
      <c r="BX39" s="542">
        <f>BX12*'Cjenik RS'!$D$6</f>
        <v>0</v>
      </c>
      <c r="BY39" s="542">
        <f>BY12*'Cjenik RS'!$D$6</f>
        <v>0</v>
      </c>
      <c r="BZ39" s="542">
        <f>BZ12*'Cjenik RS'!$D$6</f>
        <v>0</v>
      </c>
      <c r="CA39" s="542">
        <f>CA12*'Cjenik RS'!$D$6</f>
        <v>101780</v>
      </c>
      <c r="CB39" s="542">
        <f>CB12*'Cjenik RS'!$D$6</f>
        <v>66157</v>
      </c>
    </row>
    <row r="40" spans="1:80">
      <c r="A40" s="407" t="s">
        <v>1128</v>
      </c>
      <c r="B40" s="543">
        <f>IF(B7&gt;B8,1,0)*SUM(B7-B8)*B6*'Cjenik RS'!$D$6+B29</f>
        <v>0</v>
      </c>
      <c r="C40" s="543">
        <f>IF(C7&gt;C8,1,0)*SUM(C7-C8)*C6*'Cjenik RS'!$D$6+C29</f>
        <v>0</v>
      </c>
      <c r="D40" s="543">
        <f>IF(D7&gt;D8,1,0)*SUM(D7-D8)*D6*'Cjenik RS'!$D$6+D29</f>
        <v>2000</v>
      </c>
      <c r="E40" s="543">
        <f>IF(E7&gt;E8,1,0)*SUM(E7-E8)*E6*'Cjenik RS'!$D$6+E29</f>
        <v>63123.499999999993</v>
      </c>
      <c r="F40" s="543">
        <f>IF(F7&gt;F8,1,0)*SUM(F7-F8)*F6*'Cjenik RS'!$D$6+F29</f>
        <v>109031.49999999999</v>
      </c>
      <c r="G40" s="543">
        <f>IF(G7&gt;G8,1,0)*SUM(G7-G8)*G6*'Cjenik RS'!$D$6+G29</f>
        <v>63123.499999999993</v>
      </c>
      <c r="H40" s="543">
        <f>IF(H7&gt;H8,1,0)*SUM(H7-H8)*H6*'Cjenik RS'!$D$6+H29</f>
        <v>25445</v>
      </c>
      <c r="I40" s="543">
        <f>IF(I7&gt;I8,1,0)*SUM(I7-I8)*I6*'Cjenik RS'!$D$6+I29</f>
        <v>0</v>
      </c>
      <c r="J40" s="543">
        <f>IF(J7&gt;J8,1,0)*SUM(J7-J8)*J6*'Cjenik RS'!$D$6+J29</f>
        <v>0</v>
      </c>
      <c r="K40" s="543">
        <f>IF(K7&gt;K8,1,0)*SUM(K7-K8)*K6*'Cjenik RS'!$D$6+K29</f>
        <v>0</v>
      </c>
      <c r="L40" s="543">
        <f>IF(L7&gt;L8,1,0)*SUM(L7-L8)*L6*'Cjenik RS'!$D$6+L29</f>
        <v>0</v>
      </c>
      <c r="M40" s="543">
        <f>IF(M7&gt;M8,1,0)*SUM(M7-M8)*M6*'Cjenik RS'!$D$6+M29</f>
        <v>1</v>
      </c>
      <c r="N40" s="543">
        <f>IF(N7&gt;N8,1,0)*SUM(N7-N8)*N6*'Cjenik RS'!$D$6+N29</f>
        <v>109031.49999999999</v>
      </c>
      <c r="O40" s="543">
        <f>IF(O7&gt;O8,1,0)*SUM(O7-O8)*O6*'Cjenik RS'!$D$6+O29</f>
        <v>93613</v>
      </c>
      <c r="P40" s="543">
        <f>IF(P7&gt;P8,1,0)*SUM(P7-P8)*P6*'Cjenik RS'!$D$6+P29</f>
        <v>86077.5</v>
      </c>
      <c r="Q40" s="543">
        <f>IF(Q7&gt;Q8,1,0)*SUM(Q7-Q8)*Q6*'Cjenik RS'!$D$6+Q29</f>
        <v>68861.999999999985</v>
      </c>
      <c r="R40" s="543">
        <f>IF(R7&gt;R8,1,0)*SUM(R7-R8)*R6*'Cjenik RS'!$D$6+R29</f>
        <v>240</v>
      </c>
      <c r="S40" s="543">
        <f>IF(S7&gt;S8,1,0)*SUM(S7-S8)*S6*'Cjenik RS'!$D$6+S29</f>
        <v>380</v>
      </c>
      <c r="T40" s="543">
        <f>IF(T7&gt;T8,1,0)*SUM(T7-T8)*T6*'Cjenik RS'!$D$6+T29</f>
        <v>625</v>
      </c>
      <c r="U40" s="543">
        <f>IF(U7&gt;U8,1,0)*SUM(U7-U8)*U6*'Cjenik RS'!$D$6+U29</f>
        <v>0</v>
      </c>
      <c r="V40" s="543">
        <f>IF(V7&gt;V8,1,0)*SUM(V7-V8)*V6*'Cjenik RS'!$D$6+V29</f>
        <v>625</v>
      </c>
      <c r="W40" s="543">
        <f>IF(W7&gt;W8,1,0)*SUM(W7-W8)*W6*'Cjenik RS'!$D$6+W29</f>
        <v>0</v>
      </c>
      <c r="X40" s="543">
        <f>IF(X7&gt;X8,1,0)*SUM(X7-X8)*X6*'Cjenik RS'!$D$6+X29</f>
        <v>380</v>
      </c>
      <c r="Y40" s="543">
        <f>IF(Y7&gt;Y8,1,0)*SUM(Y7-Y8)*Y6*'Cjenik RS'!$D$6+Y29</f>
        <v>380</v>
      </c>
      <c r="Z40" s="543">
        <f>IF(Z7&gt;Z8,1,0)*SUM(Z7-Z8)*Z6*'Cjenik RS'!$D$6+Z29</f>
        <v>380</v>
      </c>
      <c r="AA40" s="543">
        <f>IF(AA7&gt;AA8,1,0)*SUM(AA7-AA8)*AA6*'Cjenik RS'!$D$6+AA29</f>
        <v>63123.499999999993</v>
      </c>
      <c r="AB40" s="543">
        <f>IF(AB7&gt;AB8,1,0)*SUM(AB7-AB8)*AB6*'Cjenik RS'!$D$6+AB29</f>
        <v>0</v>
      </c>
      <c r="AC40" s="543">
        <f>IF(AC7&gt;AC8,1,0)*SUM(AC7-AC8)*AC6*'Cjenik RS'!$D$6+AC29</f>
        <v>0</v>
      </c>
      <c r="AD40" s="543">
        <f>IF(AD7&gt;AD8,1,0)*SUM(AD7-AD8)*AD6*'Cjenik RS'!$D$6+AD29</f>
        <v>0</v>
      </c>
      <c r="AE40" s="543">
        <f>IF(AE7&gt;AE8,1,0)*SUM(AE7-AE8)*AE6*'Cjenik RS'!$D$6+AE29</f>
        <v>0</v>
      </c>
      <c r="AF40" s="543">
        <f>IF(AF7&gt;AF8,1,0)*SUM(AF7-AF8)*AF6*'Cjenik RS'!$D$6+AF29</f>
        <v>0</v>
      </c>
      <c r="AG40" s="543">
        <f>IF(AG7&gt;AG8,1,0)*SUM(AG7-AG8)*AG6*'Cjenik RS'!$D$6+AG29</f>
        <v>0</v>
      </c>
      <c r="AH40" s="543">
        <f>IF(AH7&gt;AH8,1,0)*SUM(AH7-AH8)*AH6*'Cjenik RS'!$D$6+AH29</f>
        <v>0</v>
      </c>
      <c r="AI40" s="543">
        <f>IF(AI7&gt;AI8,1,0)*SUM(AI7-AI8)*AI6*'Cjenik RS'!$D$6+AI29</f>
        <v>0</v>
      </c>
      <c r="AJ40" s="543">
        <f>IF(AJ7&gt;AJ8,1,0)*SUM(AJ7-AJ8)*AJ6*'Cjenik RS'!$D$6+AJ29</f>
        <v>17107.999999999996</v>
      </c>
      <c r="AK40" s="543">
        <f>IF(AK7&gt;AK8,1,0)*SUM(AK7-AK8)*AK6*'Cjenik RS'!$D$6+AK29</f>
        <v>10178</v>
      </c>
      <c r="AL40" s="543">
        <f>IF(AL7&gt;AL8,1,0)*SUM(AL7-AL8)*AL6*'Cjenik RS'!$D$6+AL29</f>
        <v>0</v>
      </c>
      <c r="AM40" s="543">
        <f>IF(AM7&gt;AM8,1,0)*SUM(AM7-AM8)*AM6*'Cjenik RS'!$D$6+AM29</f>
        <v>0</v>
      </c>
      <c r="AN40" s="543">
        <f>IF(AN7&gt;AN8,1,0)*SUM(AN7-AN8)*AN6*'Cjenik RS'!$D$6+AN29</f>
        <v>0</v>
      </c>
      <c r="AO40" s="543">
        <f>IF(AO7&gt;AO8,1,0)*SUM(AO7-AO8)*AO6*'Cjenik RS'!$D$6+AO29</f>
        <v>0</v>
      </c>
      <c r="AP40" s="543">
        <f>IF(AP7&gt;AP8,1,0)*SUM(AP7-AP8)*AP6*'Cjenik RS'!$D$6+AP29</f>
        <v>0</v>
      </c>
      <c r="AQ40" s="543">
        <f>IF(AQ7&gt;AQ8,1,0)*SUM(AQ7-AQ8)*AQ6*'Cjenik RS'!$D$6+AQ29</f>
        <v>0</v>
      </c>
      <c r="AR40" s="543">
        <f>IF(AR7&gt;AR8,1,0)*SUM(AR7-AR8)*AR6*'Cjenik RS'!$D$6+AR29</f>
        <v>0</v>
      </c>
      <c r="AS40" s="543">
        <f>IF(AS7&gt;AS8,1,0)*SUM(AS7-AS8)*AS6*'Cjenik RS'!$D$6+AS29</f>
        <v>0</v>
      </c>
      <c r="AT40" s="543">
        <f>IF(AT7&gt;AT8,1,0)*SUM(AT7-AT8)*AT6*'Cjenik RS'!$D$6+AT29</f>
        <v>380</v>
      </c>
      <c r="AU40" s="543">
        <f>IF(AU7&gt;AU8,1,0)*SUM(AU7-AU8)*AU6*'Cjenik RS'!$D$6+AU29</f>
        <v>0</v>
      </c>
      <c r="AV40" s="543">
        <f>IF(AV7&gt;AV8,1,0)*SUM(AV7-AV8)*AV6*'Cjenik RS'!$D$6+AV29</f>
        <v>0</v>
      </c>
      <c r="AW40" s="543">
        <f>IF(AW7&gt;AW8,1,0)*SUM(AW7-AW8)*AW6*'Cjenik RS'!$D$6+AW29</f>
        <v>76335</v>
      </c>
      <c r="AX40" s="543">
        <f>IF(AX7&gt;AX8,1,0)*SUM(AX7-AX8)*AX6*'Cjenik RS'!$D$6+AX29</f>
        <v>76335</v>
      </c>
      <c r="AY40" s="543">
        <f>IF(AY7&gt;AY8,1,0)*SUM(AY7-AY8)*AY6*'Cjenik RS'!$D$6+AY29</f>
        <v>0</v>
      </c>
      <c r="AZ40" s="543">
        <f>IF(AZ7&gt;AZ8,1,0)*SUM(AZ7-AZ8)*AZ6*'Cjenik RS'!$D$6+AZ29</f>
        <v>0</v>
      </c>
      <c r="BA40" s="543">
        <f>IF(BA7&gt;BA8,1,0)*SUM(BA7-BA8)*BA6*'Cjenik RS'!$D$6+BA29</f>
        <v>0</v>
      </c>
      <c r="BB40" s="543">
        <f>IF(BB7&gt;BB8,1,0)*SUM(BB7-BB8)*BB6*'Cjenik RS'!$D$6+BB29</f>
        <v>2500</v>
      </c>
      <c r="BC40" s="543">
        <f>IF(BC7&gt;BC8,1,0)*SUM(BC7-BC8)*BC6*'Cjenik RS'!$D$6+BC29</f>
        <v>61068</v>
      </c>
      <c r="BD40" s="543">
        <f>IF(BD7&gt;BD8,1,0)*SUM(BD7-BD8)*BD6*'Cjenik RS'!$D$6+BD29</f>
        <v>0</v>
      </c>
      <c r="BE40" s="543">
        <f>IF(BE7&gt;BE8,1,0)*SUM(BE7-BE8)*BE6*'Cjenik RS'!$D$6+BE29</f>
        <v>0</v>
      </c>
      <c r="BF40" s="543">
        <f>IF(BF7&gt;BF8,1,0)*SUM(BF7-BF8)*BF6*'Cjenik RS'!$D$6+BF29</f>
        <v>55759.999999999993</v>
      </c>
      <c r="BG40" s="543">
        <f>IF(BG7&gt;BG8,1,0)*SUM(BG7-BG8)*BG6*'Cjenik RS'!$D$6+BG29</f>
        <v>0</v>
      </c>
      <c r="BH40" s="543">
        <f>IF(BH7&gt;BH8,1,0)*SUM(BH7-BH8)*BH6*'Cjenik RS'!$D$6+BH29</f>
        <v>0</v>
      </c>
      <c r="BI40" s="543">
        <f>IF(BI7&gt;BI8,1,0)*SUM(BI7-BI8)*BI6*'Cjenik RS'!$D$6+BI29</f>
        <v>0</v>
      </c>
      <c r="BJ40" s="543">
        <f>IF(BJ7&gt;BJ8,1,0)*SUM(BJ7-BJ8)*BJ6*'Cjenik RS'!$D$6+BJ29</f>
        <v>0</v>
      </c>
      <c r="BK40" s="543">
        <f>IF(BK7&gt;BK8,1,0)*SUM(BK7-BK8)*BK6*'Cjenik RS'!$D$6+BK29</f>
        <v>0</v>
      </c>
      <c r="BL40" s="543">
        <f>IF(BL7&gt;BL8,1,0)*SUM(BL7-BL8)*BL6*'Cjenik RS'!$D$6+BL29</f>
        <v>97554.5</v>
      </c>
      <c r="BM40" s="543">
        <f>IF(BM7&gt;BM8,1,0)*SUM(BM7-BM8)*BM6*'Cjenik RS'!$D$6+BM29</f>
        <v>0</v>
      </c>
      <c r="BN40" s="543">
        <f>IF(BN7&gt;BN8,1,0)*SUM(BN7-BN8)*BN6*'Cjenik RS'!$D$6+BN29</f>
        <v>76335</v>
      </c>
      <c r="BO40" s="543">
        <f>IF(BO7&gt;BO8,1,0)*SUM(BO7-BO8)*BO6*'Cjenik RS'!$D$6+BO29</f>
        <v>96691</v>
      </c>
      <c r="BP40" s="543">
        <f>IF(BP7&gt;BP8,1,0)*SUM(BP7-BP8)*BP6*'Cjenik RS'!$D$6+BP29</f>
        <v>117047</v>
      </c>
      <c r="BQ40" s="543">
        <f>IF(BQ7&gt;BQ8,1,0)*SUM(BQ7-BQ8)*BQ6*'Cjenik RS'!$D$6+BQ29</f>
        <v>380</v>
      </c>
      <c r="BR40" s="543">
        <f>IF(BR7&gt;BR8,1,0)*SUM(BR7-BR8)*BR6*'Cjenik RS'!$D$6+BR29</f>
        <v>0</v>
      </c>
      <c r="BS40" s="543">
        <f>IF(BS7&gt;BS8,1,0)*SUM(BS7-BS8)*BS6*'Cjenik RS'!$D$6+BS29</f>
        <v>0</v>
      </c>
      <c r="BT40" s="543">
        <f>IF(BT7&gt;BT8,1,0)*SUM(BT7-BT8)*BT6*'Cjenik RS'!$D$6+BT29</f>
        <v>0</v>
      </c>
      <c r="BU40" s="543">
        <f>IF(BU7&gt;BU8,1,0)*SUM(BU7-BU8)*BU6*'Cjenik RS'!$D$6+BU29</f>
        <v>0</v>
      </c>
      <c r="BV40" s="543">
        <f>IF(BV7&gt;BV8,1,0)*SUM(BV7-BV8)*BV6*'Cjenik RS'!$D$6+BV29</f>
        <v>0</v>
      </c>
      <c r="BW40" s="543">
        <f>IF(BW7&gt;BW8,1,0)*SUM(BW7-BW8)*BW6*'Cjenik RS'!$D$6+BW29</f>
        <v>61068</v>
      </c>
      <c r="BX40" s="543">
        <f>IF(BX7&gt;BX8,1,0)*SUM(BX7-BX8)*BX6*'Cjenik RS'!$D$6+BX29</f>
        <v>0</v>
      </c>
      <c r="BY40" s="543">
        <f>IF(BY7&gt;BY8,1,0)*SUM(BY7-BY8)*BY6*'Cjenik RS'!$D$6+BY29</f>
        <v>0</v>
      </c>
      <c r="BZ40" s="543">
        <f>IF(BZ7&gt;BZ8,1,0)*SUM(BZ7-BZ8)*BZ6*'Cjenik RS'!$D$6+BZ29</f>
        <v>0</v>
      </c>
      <c r="CA40" s="543">
        <f>IF(CA7&gt;CA8,1,0)*SUM(CA7-CA8)*CA6*'Cjenik RS'!$D$6+CA29</f>
        <v>76335</v>
      </c>
      <c r="CB40" s="543">
        <f>IF(CB7&gt;CB8,1,0)*SUM(CB7-CB8)*CB6*'Cjenik RS'!$D$6+CB29</f>
        <v>0</v>
      </c>
    </row>
    <row r="41" spans="1:80" ht="18.75" customHeight="1">
      <c r="A41" s="408" t="s">
        <v>1129</v>
      </c>
      <c r="B41" s="409">
        <f>ROUND(SUM(B33:B40),2)</f>
        <v>37231.910000000003</v>
      </c>
      <c r="C41" s="410">
        <f t="shared" ref="C41:BJ41" si="49">ROUND(SUM(C33:C40),2)</f>
        <v>43034</v>
      </c>
      <c r="D41" s="410">
        <f t="shared" si="49"/>
        <v>53080</v>
      </c>
      <c r="E41" s="410">
        <f t="shared" si="49"/>
        <v>442768.37</v>
      </c>
      <c r="F41" s="410">
        <f t="shared" si="49"/>
        <v>379505.38</v>
      </c>
      <c r="G41" s="410">
        <f t="shared" si="49"/>
        <v>448004.73</v>
      </c>
      <c r="H41" s="410">
        <f t="shared" si="49"/>
        <v>301378.59000000003</v>
      </c>
      <c r="I41" s="410">
        <f t="shared" si="49"/>
        <v>10560</v>
      </c>
      <c r="J41" s="410">
        <f t="shared" si="49"/>
        <v>109157.46</v>
      </c>
      <c r="K41" s="410">
        <f t="shared" si="49"/>
        <v>130873.1</v>
      </c>
      <c r="L41" s="410">
        <f t="shared" si="49"/>
        <v>215172.56</v>
      </c>
      <c r="M41" s="410">
        <f t="shared" si="49"/>
        <v>66261</v>
      </c>
      <c r="N41" s="410">
        <f t="shared" si="49"/>
        <v>533878.49</v>
      </c>
      <c r="O41" s="410">
        <f t="shared" si="49"/>
        <v>226885.99</v>
      </c>
      <c r="P41" s="410">
        <f t="shared" si="49"/>
        <v>708306</v>
      </c>
      <c r="Q41" s="410">
        <f t="shared" si="49"/>
        <v>377994.43</v>
      </c>
      <c r="R41" s="410">
        <f t="shared" si="49"/>
        <v>247864.88</v>
      </c>
      <c r="S41" s="410">
        <f t="shared" si="49"/>
        <v>340537.04</v>
      </c>
      <c r="T41" s="410">
        <f t="shared" si="49"/>
        <v>412724.37</v>
      </c>
      <c r="U41" s="410">
        <f t="shared" si="49"/>
        <v>276837.51</v>
      </c>
      <c r="V41" s="410">
        <f t="shared" si="49"/>
        <v>416396.51</v>
      </c>
      <c r="W41" s="410">
        <f t="shared" si="49"/>
        <v>258068.99</v>
      </c>
      <c r="X41" s="410">
        <f t="shared" si="49"/>
        <v>65419.31</v>
      </c>
      <c r="Y41" s="410">
        <f t="shared" si="49"/>
        <v>41462.51</v>
      </c>
      <c r="Z41" s="410">
        <f t="shared" si="49"/>
        <v>16517.72</v>
      </c>
      <c r="AA41" s="410">
        <f t="shared" si="49"/>
        <v>1123699.5</v>
      </c>
      <c r="AB41" s="410">
        <f t="shared" si="49"/>
        <v>466194.64</v>
      </c>
      <c r="AC41" s="410">
        <f t="shared" si="49"/>
        <v>47487.360000000001</v>
      </c>
      <c r="AD41" s="410">
        <f t="shared" si="49"/>
        <v>29846.19</v>
      </c>
      <c r="AE41" s="410">
        <f t="shared" si="49"/>
        <v>16244.07</v>
      </c>
      <c r="AF41" s="410">
        <f t="shared" si="49"/>
        <v>23117.02</v>
      </c>
      <c r="AG41" s="410">
        <f t="shared" si="49"/>
        <v>56873.74</v>
      </c>
      <c r="AH41" s="410">
        <f t="shared" si="49"/>
        <v>11095.32</v>
      </c>
      <c r="AI41" s="410">
        <f t="shared" si="49"/>
        <v>16305.99</v>
      </c>
      <c r="AJ41" s="410">
        <f t="shared" si="49"/>
        <v>513041.99</v>
      </c>
      <c r="AK41" s="410">
        <f t="shared" si="49"/>
        <v>176589.78</v>
      </c>
      <c r="AL41" s="410">
        <f t="shared" si="49"/>
        <v>36408.15</v>
      </c>
      <c r="AM41" s="410">
        <f t="shared" si="49"/>
        <v>19041.310000000001</v>
      </c>
      <c r="AN41" s="410">
        <f t="shared" si="49"/>
        <v>49970.01</v>
      </c>
      <c r="AO41" s="410">
        <f t="shared" si="49"/>
        <v>46813.99</v>
      </c>
      <c r="AP41" s="410">
        <f t="shared" si="49"/>
        <v>19853.07</v>
      </c>
      <c r="AQ41" s="410">
        <f t="shared" si="49"/>
        <v>45734.01</v>
      </c>
      <c r="AR41" s="410">
        <f t="shared" si="49"/>
        <v>33330.870000000003</v>
      </c>
      <c r="AS41" s="410">
        <f t="shared" si="49"/>
        <v>920.5</v>
      </c>
      <c r="AT41" s="410">
        <f t="shared" si="49"/>
        <v>41462.51</v>
      </c>
      <c r="AU41" s="410">
        <f t="shared" si="49"/>
        <v>10318.43</v>
      </c>
      <c r="AV41" s="410">
        <f t="shared" si="49"/>
        <v>149005.18</v>
      </c>
      <c r="AW41" s="410">
        <f t="shared" si="49"/>
        <v>223350.99</v>
      </c>
      <c r="AX41" s="410">
        <f t="shared" si="49"/>
        <v>247643.01</v>
      </c>
      <c r="AY41" s="410">
        <f t="shared" si="49"/>
        <v>41456.01</v>
      </c>
      <c r="AZ41" s="410">
        <f t="shared" si="49"/>
        <v>32098.01</v>
      </c>
      <c r="BA41" s="410">
        <f t="shared" si="49"/>
        <v>75538</v>
      </c>
      <c r="BB41" s="410">
        <f t="shared" si="49"/>
        <v>60465.99</v>
      </c>
      <c r="BC41" s="411">
        <f t="shared" si="49"/>
        <v>225455</v>
      </c>
      <c r="BD41" s="410">
        <f t="shared" si="49"/>
        <v>118938.22</v>
      </c>
      <c r="BE41" s="410">
        <f t="shared" si="49"/>
        <v>85949.79</v>
      </c>
      <c r="BF41" s="410">
        <f t="shared" si="49"/>
        <v>199840.28</v>
      </c>
      <c r="BG41" s="410">
        <f t="shared" si="49"/>
        <v>5746.47</v>
      </c>
      <c r="BH41" s="410">
        <f t="shared" si="49"/>
        <v>4919.3999999999996</v>
      </c>
      <c r="BI41" s="410">
        <f t="shared" si="49"/>
        <v>44000</v>
      </c>
      <c r="BJ41" s="410">
        <f t="shared" si="49"/>
        <v>19000</v>
      </c>
      <c r="BK41" s="410">
        <f t="shared" ref="BK41:BZ41" si="50">ROUND(SUM(BK33:BK40),2)</f>
        <v>52073.99</v>
      </c>
      <c r="BL41" s="410">
        <f t="shared" si="50"/>
        <v>394941.51</v>
      </c>
      <c r="BM41" s="410">
        <f t="shared" si="50"/>
        <v>35768</v>
      </c>
      <c r="BN41" s="410">
        <f t="shared" si="50"/>
        <v>238150.99</v>
      </c>
      <c r="BO41" s="410">
        <f t="shared" si="50"/>
        <v>238150.99</v>
      </c>
      <c r="BP41" s="410">
        <f t="shared" si="50"/>
        <v>254384.99</v>
      </c>
      <c r="BQ41" s="410">
        <f t="shared" si="50"/>
        <v>274097.01</v>
      </c>
      <c r="BR41" s="410">
        <f t="shared" si="50"/>
        <v>8400.01</v>
      </c>
      <c r="BS41" s="410">
        <f t="shared" si="50"/>
        <v>131500</v>
      </c>
      <c r="BT41" s="410">
        <f t="shared" si="50"/>
        <v>131500</v>
      </c>
      <c r="BU41" s="410">
        <f>ROUND(SUM(BU33:BU40),2)</f>
        <v>73640.009999999995</v>
      </c>
      <c r="BV41" s="410">
        <f>ROUND(SUM(BV33:BV40),2)</f>
        <v>73640.009999999995</v>
      </c>
      <c r="BW41" s="410">
        <f t="shared" si="50"/>
        <v>388679.38</v>
      </c>
      <c r="BX41" s="410">
        <f t="shared" si="50"/>
        <v>4800</v>
      </c>
      <c r="BY41" s="410">
        <f t="shared" si="50"/>
        <v>18410</v>
      </c>
      <c r="BZ41" s="410">
        <f t="shared" si="50"/>
        <v>12494.95</v>
      </c>
      <c r="CA41" s="410">
        <f t="shared" ref="CA41" si="51">ROUND(SUM(CA33:CA40),2)</f>
        <v>195610.75</v>
      </c>
      <c r="CB41" s="410">
        <f>ROUND(SUM(CB33:CB40),2)</f>
        <v>76084.5</v>
      </c>
    </row>
    <row r="42" spans="1:80">
      <c r="A42" s="412"/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413"/>
      <c r="AL42" s="413"/>
      <c r="AM42" s="413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413"/>
      <c r="BF42" s="413"/>
      <c r="BG42" s="413"/>
      <c r="BH42" s="413"/>
      <c r="BI42" s="413"/>
      <c r="BJ42" s="413"/>
      <c r="BK42" s="413"/>
      <c r="BL42" s="413"/>
      <c r="BM42" s="413"/>
      <c r="BN42" s="413"/>
      <c r="BO42" s="413"/>
      <c r="BP42" s="413"/>
      <c r="BQ42" s="413"/>
      <c r="BR42" s="413"/>
      <c r="BS42" s="413"/>
      <c r="BT42" s="413"/>
      <c r="BU42" s="413"/>
      <c r="BV42" s="413"/>
      <c r="BW42" s="413"/>
      <c r="BX42" s="413"/>
      <c r="BY42" s="413"/>
      <c r="BZ42" s="413"/>
      <c r="CA42" s="413"/>
      <c r="CB42" s="413"/>
    </row>
    <row r="43" spans="1:80" ht="15">
      <c r="A43" s="414" t="s">
        <v>1130</v>
      </c>
      <c r="B43" s="415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417"/>
      <c r="BD43" s="416"/>
      <c r="BE43" s="416"/>
      <c r="BF43" s="416"/>
      <c r="BG43" s="416"/>
      <c r="BH43" s="416"/>
      <c r="BI43" s="416"/>
      <c r="BJ43" s="416"/>
      <c r="BK43" s="416"/>
      <c r="BL43" s="416"/>
      <c r="BM43" s="416"/>
      <c r="BN43" s="416"/>
      <c r="BO43" s="416"/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416"/>
      <c r="CB43" s="416"/>
    </row>
    <row r="44" spans="1:80">
      <c r="A44" s="377" t="s">
        <v>1112</v>
      </c>
      <c r="B44" s="404">
        <f>B8*B18*B19</f>
        <v>77000.000000000015</v>
      </c>
      <c r="C44" s="405">
        <f>C18*C19*C8</f>
        <v>107800.00000000001</v>
      </c>
      <c r="D44" s="405">
        <f>D18*D19*D8</f>
        <v>0</v>
      </c>
      <c r="E44" s="383">
        <f t="shared" ref="E44:AM44" si="52">E18*E19*E8</f>
        <v>190080</v>
      </c>
      <c r="F44" s="405">
        <f t="shared" si="52"/>
        <v>105600</v>
      </c>
      <c r="G44" s="405">
        <f t="shared" si="52"/>
        <v>95040</v>
      </c>
      <c r="H44" s="405">
        <f t="shared" si="52"/>
        <v>105600.00000000001</v>
      </c>
      <c r="I44" s="405">
        <f t="shared" si="52"/>
        <v>0</v>
      </c>
      <c r="J44" s="405">
        <f t="shared" si="52"/>
        <v>18480</v>
      </c>
      <c r="K44" s="405">
        <f t="shared" si="52"/>
        <v>33880.000000000007</v>
      </c>
      <c r="L44" s="405">
        <f t="shared" si="52"/>
        <v>63360.000000000007</v>
      </c>
      <c r="M44" s="405">
        <f>M18*M19*M8</f>
        <v>10655.999999999998</v>
      </c>
      <c r="N44" s="405">
        <f t="shared" si="52"/>
        <v>84480</v>
      </c>
      <c r="O44" s="405">
        <f>O18*O19*O8</f>
        <v>49280.000000000007</v>
      </c>
      <c r="P44" s="405">
        <f t="shared" si="52"/>
        <v>105600.00000000001</v>
      </c>
      <c r="Q44" s="405">
        <f t="shared" si="52"/>
        <v>30635.999999999996</v>
      </c>
      <c r="R44" s="405">
        <f t="shared" si="52"/>
        <v>107800.00000000001</v>
      </c>
      <c r="S44" s="405">
        <f t="shared" si="52"/>
        <v>246400.00000000003</v>
      </c>
      <c r="T44" s="405">
        <f t="shared" si="52"/>
        <v>292600.00000000006</v>
      </c>
      <c r="U44" s="405">
        <f>U18*U19*U8</f>
        <v>200640.00000000003</v>
      </c>
      <c r="V44" s="405">
        <f t="shared" si="52"/>
        <v>338800.00000000006</v>
      </c>
      <c r="W44" s="405">
        <f t="shared" ref="W44:AD44" si="53">W18*W19*W8</f>
        <v>77440.000000000015</v>
      </c>
      <c r="X44" s="405">
        <f t="shared" si="53"/>
        <v>0</v>
      </c>
      <c r="Y44" s="405">
        <f t="shared" si="53"/>
        <v>0</v>
      </c>
      <c r="Z44" s="405">
        <f t="shared" si="53"/>
        <v>0</v>
      </c>
      <c r="AA44" s="405">
        <f t="shared" si="53"/>
        <v>158400</v>
      </c>
      <c r="AB44" s="405">
        <f t="shared" si="53"/>
        <v>68640</v>
      </c>
      <c r="AC44" s="405">
        <f t="shared" si="53"/>
        <v>0</v>
      </c>
      <c r="AD44" s="405">
        <f t="shared" si="53"/>
        <v>0</v>
      </c>
      <c r="AE44" s="405">
        <f t="shared" si="52"/>
        <v>0</v>
      </c>
      <c r="AF44" s="405">
        <f t="shared" si="52"/>
        <v>0</v>
      </c>
      <c r="AG44" s="405">
        <f t="shared" si="52"/>
        <v>0</v>
      </c>
      <c r="AH44" s="405">
        <f t="shared" si="52"/>
        <v>0</v>
      </c>
      <c r="AI44" s="405">
        <f t="shared" si="52"/>
        <v>0</v>
      </c>
      <c r="AJ44" s="405">
        <f t="shared" si="52"/>
        <v>197120.00000000003</v>
      </c>
      <c r="AK44" s="405">
        <f t="shared" si="52"/>
        <v>49280.000000000007</v>
      </c>
      <c r="AL44" s="405">
        <f t="shared" si="52"/>
        <v>0</v>
      </c>
      <c r="AM44" s="405">
        <f t="shared" si="52"/>
        <v>0</v>
      </c>
      <c r="AN44" s="405">
        <f t="shared" ref="AN44:BH44" si="54">AN18*AN19*AN8</f>
        <v>0</v>
      </c>
      <c r="AO44" s="405">
        <f t="shared" si="54"/>
        <v>0</v>
      </c>
      <c r="AP44" s="405">
        <f t="shared" si="54"/>
        <v>0</v>
      </c>
      <c r="AQ44" s="405">
        <f t="shared" si="54"/>
        <v>0</v>
      </c>
      <c r="AR44" s="405">
        <f t="shared" si="54"/>
        <v>21120</v>
      </c>
      <c r="AS44" s="405">
        <f>AS18*AS19*AS8</f>
        <v>0</v>
      </c>
      <c r="AT44" s="405">
        <f>AT18*AT19*AT8</f>
        <v>0</v>
      </c>
      <c r="AU44" s="405">
        <f t="shared" si="54"/>
        <v>0</v>
      </c>
      <c r="AV44" s="405">
        <f>AV18*AV19*AV8</f>
        <v>28160.000000000004</v>
      </c>
      <c r="AW44" s="405">
        <f>AW18*AW19*AW8</f>
        <v>15840.000000000002</v>
      </c>
      <c r="AX44" s="405">
        <f>AX18*AX19*AX8</f>
        <v>35200</v>
      </c>
      <c r="AY44" s="405">
        <f>AY18*AY19*AY8</f>
        <v>5327.9999999999991</v>
      </c>
      <c r="AZ44" s="405">
        <f>AZ18*AZ19*AZ8</f>
        <v>10560</v>
      </c>
      <c r="BA44" s="405">
        <f t="shared" si="54"/>
        <v>18480</v>
      </c>
      <c r="BB44" s="405">
        <f>BB18*BB19*BB8</f>
        <v>5280</v>
      </c>
      <c r="BC44" s="406">
        <f t="shared" si="54"/>
        <v>30635.999999999996</v>
      </c>
      <c r="BD44" s="405">
        <f>BD8*BD18*BD19</f>
        <v>44000</v>
      </c>
      <c r="BE44" s="405">
        <f t="shared" si="54"/>
        <v>13200.000000000002</v>
      </c>
      <c r="BF44" s="405">
        <f t="shared" si="54"/>
        <v>15840.000000000002</v>
      </c>
      <c r="BG44" s="405">
        <f t="shared" si="54"/>
        <v>33000</v>
      </c>
      <c r="BH44" s="405">
        <f t="shared" si="54"/>
        <v>13200</v>
      </c>
      <c r="BI44" s="405">
        <f t="shared" ref="BI44:BQ44" si="55">BI18*BI19*BI8</f>
        <v>1584000</v>
      </c>
      <c r="BJ44" s="405">
        <f t="shared" si="55"/>
        <v>1584000</v>
      </c>
      <c r="BK44" s="405">
        <f t="shared" si="55"/>
        <v>35200</v>
      </c>
      <c r="BL44" s="405">
        <f t="shared" si="55"/>
        <v>35640</v>
      </c>
      <c r="BM44" s="405">
        <f t="shared" si="55"/>
        <v>0</v>
      </c>
      <c r="BN44" s="405">
        <f t="shared" si="55"/>
        <v>66000</v>
      </c>
      <c r="BO44" s="405">
        <f t="shared" si="55"/>
        <v>0</v>
      </c>
      <c r="BP44" s="405">
        <f t="shared" si="55"/>
        <v>0</v>
      </c>
      <c r="BQ44" s="405">
        <f t="shared" si="55"/>
        <v>138600</v>
      </c>
      <c r="BR44" s="405">
        <f t="shared" ref="BR44:BX44" si="56">BR18*BR19*BR8</f>
        <v>13200.000000000002</v>
      </c>
      <c r="BS44" s="405">
        <f t="shared" si="56"/>
        <v>0</v>
      </c>
      <c r="BT44" s="405">
        <f t="shared" si="56"/>
        <v>0</v>
      </c>
      <c r="BU44" s="405">
        <f t="shared" si="56"/>
        <v>0</v>
      </c>
      <c r="BV44" s="405">
        <f t="shared" si="56"/>
        <v>0</v>
      </c>
      <c r="BW44" s="405">
        <f t="shared" si="56"/>
        <v>30360.000000000004</v>
      </c>
      <c r="BX44" s="405">
        <f t="shared" si="56"/>
        <v>5280</v>
      </c>
      <c r="BY44" s="405">
        <f>BY18*BY19*BY8</f>
        <v>0</v>
      </c>
      <c r="BZ44" s="405">
        <f>BZ18*BZ19*BZ8</f>
        <v>10655.999999999998</v>
      </c>
      <c r="CA44" s="405">
        <f t="shared" ref="CA44" si="57">CA18*CA19*CA8</f>
        <v>66000</v>
      </c>
      <c r="CB44" s="405">
        <f>CB18*CB19*CB8</f>
        <v>68640</v>
      </c>
    </row>
    <row r="45" spans="1:80">
      <c r="A45" s="377" t="s">
        <v>1131</v>
      </c>
      <c r="B45" s="404">
        <f>B8*B21</f>
        <v>4619.9999999999991</v>
      </c>
      <c r="C45" s="405">
        <f>C21*C8</f>
        <v>6468</v>
      </c>
      <c r="D45" s="405">
        <f>D21*D8</f>
        <v>0</v>
      </c>
      <c r="E45" s="383">
        <f t="shared" ref="E45:AM45" si="58">E21*E8</f>
        <v>11404.800000000001</v>
      </c>
      <c r="F45" s="405">
        <f t="shared" si="58"/>
        <v>6336</v>
      </c>
      <c r="G45" s="405">
        <f t="shared" si="58"/>
        <v>5702.4000000000005</v>
      </c>
      <c r="H45" s="405">
        <f t="shared" si="58"/>
        <v>6336</v>
      </c>
      <c r="I45" s="405">
        <f t="shared" si="58"/>
        <v>0</v>
      </c>
      <c r="J45" s="405">
        <f t="shared" si="58"/>
        <v>1108.8</v>
      </c>
      <c r="K45" s="405">
        <f t="shared" si="58"/>
        <v>2032.8</v>
      </c>
      <c r="L45" s="405">
        <f t="shared" si="58"/>
        <v>3801.6000000000004</v>
      </c>
      <c r="M45" s="405">
        <f>M21*M8</f>
        <v>639.3599999999999</v>
      </c>
      <c r="N45" s="405">
        <f t="shared" si="58"/>
        <v>5068.8</v>
      </c>
      <c r="O45" s="405">
        <f>O21*O8</f>
        <v>2956.8</v>
      </c>
      <c r="P45" s="405">
        <f t="shared" si="58"/>
        <v>6336</v>
      </c>
      <c r="Q45" s="405">
        <f t="shared" si="58"/>
        <v>1838.1599999999999</v>
      </c>
      <c r="R45" s="405">
        <f t="shared" si="58"/>
        <v>6468</v>
      </c>
      <c r="S45" s="405">
        <f t="shared" si="58"/>
        <v>14784</v>
      </c>
      <c r="T45" s="405">
        <f t="shared" si="58"/>
        <v>17556</v>
      </c>
      <c r="U45" s="405">
        <f>U21*U8</f>
        <v>12038.4</v>
      </c>
      <c r="V45" s="405">
        <f t="shared" si="58"/>
        <v>20328</v>
      </c>
      <c r="W45" s="405">
        <f t="shared" ref="W45:AD45" si="59">W21*W8</f>
        <v>4646.3999999999996</v>
      </c>
      <c r="X45" s="405">
        <f t="shared" si="59"/>
        <v>0</v>
      </c>
      <c r="Y45" s="405">
        <f t="shared" si="59"/>
        <v>0</v>
      </c>
      <c r="Z45" s="405">
        <f t="shared" si="59"/>
        <v>0</v>
      </c>
      <c r="AA45" s="405">
        <f t="shared" si="59"/>
        <v>9504</v>
      </c>
      <c r="AB45" s="405">
        <f t="shared" si="59"/>
        <v>4118.4000000000005</v>
      </c>
      <c r="AC45" s="405">
        <f t="shared" si="59"/>
        <v>0</v>
      </c>
      <c r="AD45" s="405">
        <f t="shared" si="59"/>
        <v>0</v>
      </c>
      <c r="AE45" s="405">
        <f t="shared" si="58"/>
        <v>0</v>
      </c>
      <c r="AF45" s="405">
        <f t="shared" si="58"/>
        <v>0</v>
      </c>
      <c r="AG45" s="405">
        <f t="shared" si="58"/>
        <v>0</v>
      </c>
      <c r="AH45" s="405">
        <f t="shared" si="58"/>
        <v>0</v>
      </c>
      <c r="AI45" s="405">
        <f t="shared" si="58"/>
        <v>0</v>
      </c>
      <c r="AJ45" s="405">
        <f t="shared" si="58"/>
        <v>11827.2</v>
      </c>
      <c r="AK45" s="405">
        <f t="shared" si="58"/>
        <v>2956.8</v>
      </c>
      <c r="AL45" s="405">
        <f t="shared" si="58"/>
        <v>0</v>
      </c>
      <c r="AM45" s="405">
        <f t="shared" si="58"/>
        <v>0</v>
      </c>
      <c r="AN45" s="405">
        <f t="shared" ref="AN45:BH45" si="60">AN21*AN8</f>
        <v>0</v>
      </c>
      <c r="AO45" s="405">
        <f t="shared" si="60"/>
        <v>0</v>
      </c>
      <c r="AP45" s="405">
        <f t="shared" si="60"/>
        <v>0</v>
      </c>
      <c r="AQ45" s="405">
        <f t="shared" si="60"/>
        <v>0</v>
      </c>
      <c r="AR45" s="405">
        <f t="shared" si="60"/>
        <v>1267.2</v>
      </c>
      <c r="AS45" s="405">
        <f>AS21*AS8</f>
        <v>0</v>
      </c>
      <c r="AT45" s="405">
        <f>AT21*AT8</f>
        <v>0</v>
      </c>
      <c r="AU45" s="405">
        <f t="shared" si="60"/>
        <v>0</v>
      </c>
      <c r="AV45" s="405">
        <f>AV21*AV8</f>
        <v>1689.6000000000001</v>
      </c>
      <c r="AW45" s="405">
        <f>AW21*AW8</f>
        <v>950.4</v>
      </c>
      <c r="AX45" s="405">
        <f>AX21*AX8</f>
        <v>2112</v>
      </c>
      <c r="AY45" s="405">
        <f>AY21*AY8</f>
        <v>319.67999999999995</v>
      </c>
      <c r="AZ45" s="405">
        <f>AZ21*AZ8</f>
        <v>633.6</v>
      </c>
      <c r="BA45" s="405">
        <f t="shared" si="60"/>
        <v>1108.8</v>
      </c>
      <c r="BB45" s="405">
        <f>BB21*BB8</f>
        <v>316.8</v>
      </c>
      <c r="BC45" s="406">
        <f t="shared" si="60"/>
        <v>1838.1599999999999</v>
      </c>
      <c r="BD45" s="405">
        <f>BD8*BD21</f>
        <v>2639.9999999999995</v>
      </c>
      <c r="BE45" s="405">
        <f t="shared" si="60"/>
        <v>792</v>
      </c>
      <c r="BF45" s="405">
        <f t="shared" si="60"/>
        <v>950.40000000000009</v>
      </c>
      <c r="BG45" s="405">
        <f t="shared" si="60"/>
        <v>1980</v>
      </c>
      <c r="BH45" s="405">
        <f t="shared" si="60"/>
        <v>792</v>
      </c>
      <c r="BI45" s="405">
        <f t="shared" ref="BI45:BQ45" si="61">BI21*BI8</f>
        <v>95040</v>
      </c>
      <c r="BJ45" s="405">
        <f t="shared" si="61"/>
        <v>95040</v>
      </c>
      <c r="BK45" s="405">
        <f t="shared" si="61"/>
        <v>2112</v>
      </c>
      <c r="BL45" s="405">
        <f t="shared" si="61"/>
        <v>2138.4</v>
      </c>
      <c r="BM45" s="405">
        <f t="shared" si="61"/>
        <v>0</v>
      </c>
      <c r="BN45" s="405">
        <f t="shared" si="61"/>
        <v>3960</v>
      </c>
      <c r="BO45" s="405">
        <f t="shared" si="61"/>
        <v>0</v>
      </c>
      <c r="BP45" s="405">
        <f t="shared" si="61"/>
        <v>0</v>
      </c>
      <c r="BQ45" s="405">
        <f t="shared" si="61"/>
        <v>8316.0000000000018</v>
      </c>
      <c r="BR45" s="405">
        <f t="shared" ref="BR45:BX45" si="62">BR21*BR8</f>
        <v>792</v>
      </c>
      <c r="BS45" s="405">
        <f t="shared" si="62"/>
        <v>0</v>
      </c>
      <c r="BT45" s="405">
        <f t="shared" si="62"/>
        <v>0</v>
      </c>
      <c r="BU45" s="405">
        <f t="shared" si="62"/>
        <v>0</v>
      </c>
      <c r="BV45" s="405">
        <f t="shared" si="62"/>
        <v>0</v>
      </c>
      <c r="BW45" s="405">
        <f t="shared" si="62"/>
        <v>1821.6000000000001</v>
      </c>
      <c r="BX45" s="405">
        <f t="shared" si="62"/>
        <v>316.8</v>
      </c>
      <c r="BY45" s="405">
        <f>BY21*BY8</f>
        <v>0</v>
      </c>
      <c r="BZ45" s="405">
        <f>BZ21*BZ8</f>
        <v>639.3599999999999</v>
      </c>
      <c r="CA45" s="405">
        <f t="shared" ref="CA45" si="63">CA21*CA8</f>
        <v>3960</v>
      </c>
      <c r="CB45" s="405">
        <f>CB21*CB8</f>
        <v>4118.4000000000005</v>
      </c>
    </row>
    <row r="46" spans="1:80">
      <c r="A46" s="377" t="s">
        <v>1116</v>
      </c>
      <c r="B46" s="404">
        <f>B22*B23</f>
        <v>1600</v>
      </c>
      <c r="C46" s="405">
        <f>C22*C23</f>
        <v>2820</v>
      </c>
      <c r="D46" s="405">
        <f>D22*D23</f>
        <v>0</v>
      </c>
      <c r="E46" s="383">
        <f t="shared" ref="E46:AM46" si="64">E22*E23</f>
        <v>14100</v>
      </c>
      <c r="F46" s="405">
        <f t="shared" si="64"/>
        <v>5740</v>
      </c>
      <c r="G46" s="405">
        <f t="shared" si="64"/>
        <v>4560</v>
      </c>
      <c r="H46" s="405">
        <f t="shared" si="64"/>
        <v>5740</v>
      </c>
      <c r="I46" s="405">
        <f t="shared" si="64"/>
        <v>0</v>
      </c>
      <c r="J46" s="405">
        <f t="shared" si="64"/>
        <v>0</v>
      </c>
      <c r="K46" s="405">
        <f t="shared" si="64"/>
        <v>0</v>
      </c>
      <c r="L46" s="405">
        <f t="shared" si="64"/>
        <v>0</v>
      </c>
      <c r="M46" s="405">
        <f>M22*M23</f>
        <v>0</v>
      </c>
      <c r="N46" s="405">
        <f t="shared" si="64"/>
        <v>3000</v>
      </c>
      <c r="O46" s="405">
        <f>O22*O23</f>
        <v>0</v>
      </c>
      <c r="P46" s="405">
        <f t="shared" si="64"/>
        <v>20400</v>
      </c>
      <c r="Q46" s="405">
        <f t="shared" si="64"/>
        <v>1000</v>
      </c>
      <c r="R46" s="405">
        <f t="shared" si="64"/>
        <v>5640</v>
      </c>
      <c r="S46" s="405">
        <f t="shared" si="64"/>
        <v>7650</v>
      </c>
      <c r="T46" s="405">
        <f t="shared" si="64"/>
        <v>12750</v>
      </c>
      <c r="U46" s="405">
        <f>U22*U23</f>
        <v>7650</v>
      </c>
      <c r="V46" s="405">
        <f t="shared" si="64"/>
        <v>12750</v>
      </c>
      <c r="W46" s="405">
        <f t="shared" ref="W46:AD46" si="65">W22*W23</f>
        <v>5100</v>
      </c>
      <c r="X46" s="405">
        <f t="shared" si="65"/>
        <v>5700</v>
      </c>
      <c r="Y46" s="405">
        <f t="shared" si="65"/>
        <v>3800</v>
      </c>
      <c r="Z46" s="405">
        <f t="shared" si="65"/>
        <v>1900</v>
      </c>
      <c r="AA46" s="405">
        <f t="shared" si="65"/>
        <v>5740</v>
      </c>
      <c r="AB46" s="405">
        <f t="shared" si="65"/>
        <v>20400</v>
      </c>
      <c r="AC46" s="405">
        <f t="shared" si="65"/>
        <v>0</v>
      </c>
      <c r="AD46" s="405">
        <f t="shared" si="65"/>
        <v>0</v>
      </c>
      <c r="AE46" s="405">
        <f t="shared" si="64"/>
        <v>0</v>
      </c>
      <c r="AF46" s="405">
        <f t="shared" si="64"/>
        <v>0</v>
      </c>
      <c r="AG46" s="405">
        <f t="shared" si="64"/>
        <v>0</v>
      </c>
      <c r="AH46" s="405">
        <f t="shared" si="64"/>
        <v>380</v>
      </c>
      <c r="AI46" s="405">
        <f t="shared" si="64"/>
        <v>0</v>
      </c>
      <c r="AJ46" s="405">
        <f t="shared" si="64"/>
        <v>18700</v>
      </c>
      <c r="AK46" s="405">
        <f t="shared" si="64"/>
        <v>6000</v>
      </c>
      <c r="AL46" s="405">
        <f t="shared" si="64"/>
        <v>0</v>
      </c>
      <c r="AM46" s="405">
        <f t="shared" si="64"/>
        <v>0</v>
      </c>
      <c r="AN46" s="405">
        <f t="shared" ref="AN46:BH46" si="66">AN22*AN23</f>
        <v>0</v>
      </c>
      <c r="AO46" s="405">
        <f t="shared" si="66"/>
        <v>0</v>
      </c>
      <c r="AP46" s="405">
        <f t="shared" si="66"/>
        <v>0</v>
      </c>
      <c r="AQ46" s="405">
        <f t="shared" si="66"/>
        <v>0</v>
      </c>
      <c r="AR46" s="405">
        <f t="shared" si="66"/>
        <v>0</v>
      </c>
      <c r="AS46" s="405">
        <f>AS22*AS23</f>
        <v>0</v>
      </c>
      <c r="AT46" s="405">
        <f>AT22*AT23</f>
        <v>3800</v>
      </c>
      <c r="AU46" s="405">
        <f t="shared" si="66"/>
        <v>0</v>
      </c>
      <c r="AV46" s="405">
        <f>AV22*AV23</f>
        <v>1880</v>
      </c>
      <c r="AW46" s="405">
        <f>AW22*AW23</f>
        <v>250</v>
      </c>
      <c r="AX46" s="405">
        <f>AX22*AX23</f>
        <v>3000</v>
      </c>
      <c r="AY46" s="405">
        <f>AY22*AY23</f>
        <v>0</v>
      </c>
      <c r="AZ46" s="405">
        <f>AZ22*AZ23</f>
        <v>0</v>
      </c>
      <c r="BA46" s="405">
        <f t="shared" si="66"/>
        <v>0</v>
      </c>
      <c r="BB46" s="405">
        <f>BB22*BB23</f>
        <v>0</v>
      </c>
      <c r="BC46" s="406">
        <f t="shared" si="66"/>
        <v>1000</v>
      </c>
      <c r="BD46" s="405">
        <f>BD22*BD23</f>
        <v>1600</v>
      </c>
      <c r="BE46" s="405">
        <f t="shared" si="66"/>
        <v>1000</v>
      </c>
      <c r="BF46" s="405">
        <f t="shared" si="66"/>
        <v>1000</v>
      </c>
      <c r="BG46" s="405">
        <f t="shared" si="66"/>
        <v>0</v>
      </c>
      <c r="BH46" s="405">
        <f t="shared" si="66"/>
        <v>0</v>
      </c>
      <c r="BI46" s="405">
        <f t="shared" ref="BI46:BQ46" si="67">BI22*BI23</f>
        <v>0</v>
      </c>
      <c r="BJ46" s="405">
        <f t="shared" si="67"/>
        <v>0</v>
      </c>
      <c r="BK46" s="405">
        <f t="shared" si="67"/>
        <v>0</v>
      </c>
      <c r="BL46" s="405">
        <f t="shared" si="67"/>
        <v>20400</v>
      </c>
      <c r="BM46" s="405">
        <f t="shared" si="67"/>
        <v>0</v>
      </c>
      <c r="BN46" s="405">
        <f t="shared" si="67"/>
        <v>0</v>
      </c>
      <c r="BO46" s="405">
        <f t="shared" si="67"/>
        <v>0</v>
      </c>
      <c r="BP46" s="405">
        <f t="shared" si="67"/>
        <v>0</v>
      </c>
      <c r="BQ46" s="405">
        <f t="shared" si="67"/>
        <v>7650</v>
      </c>
      <c r="BR46" s="405">
        <f t="shared" ref="BR46:BX46" si="68">BR22*BR23</f>
        <v>0</v>
      </c>
      <c r="BS46" s="405">
        <f t="shared" si="68"/>
        <v>0</v>
      </c>
      <c r="BT46" s="405">
        <f t="shared" si="68"/>
        <v>0</v>
      </c>
      <c r="BU46" s="405">
        <f t="shared" si="68"/>
        <v>0</v>
      </c>
      <c r="BV46" s="405">
        <f t="shared" si="68"/>
        <v>0</v>
      </c>
      <c r="BW46" s="405">
        <f t="shared" si="68"/>
        <v>1000</v>
      </c>
      <c r="BX46" s="405">
        <f t="shared" si="68"/>
        <v>0</v>
      </c>
      <c r="BY46" s="405">
        <f>BY22*BY23</f>
        <v>0</v>
      </c>
      <c r="BZ46" s="405">
        <f>BZ22*BZ23</f>
        <v>200</v>
      </c>
      <c r="CA46" s="405">
        <f t="shared" ref="CA46" si="69">CA22*CA23</f>
        <v>0</v>
      </c>
      <c r="CB46" s="405">
        <f>CB22*CB23</f>
        <v>1200</v>
      </c>
    </row>
    <row r="47" spans="1:80">
      <c r="A47" s="377" t="s">
        <v>1132</v>
      </c>
      <c r="B47" s="404">
        <f>B27*B28</f>
        <v>0</v>
      </c>
      <c r="C47" s="405">
        <f>C27*C28</f>
        <v>0</v>
      </c>
      <c r="D47" s="405">
        <f>D27*D28</f>
        <v>0</v>
      </c>
      <c r="E47" s="383">
        <f t="shared" ref="E47:AM47" si="70">E27*E28</f>
        <v>0</v>
      </c>
      <c r="F47" s="405">
        <f t="shared" si="70"/>
        <v>0</v>
      </c>
      <c r="G47" s="405">
        <f t="shared" si="70"/>
        <v>0</v>
      </c>
      <c r="H47" s="405">
        <f t="shared" si="70"/>
        <v>0</v>
      </c>
      <c r="I47" s="405">
        <f t="shared" si="70"/>
        <v>0</v>
      </c>
      <c r="J47" s="405">
        <f t="shared" si="70"/>
        <v>0</v>
      </c>
      <c r="K47" s="405">
        <f t="shared" si="70"/>
        <v>0</v>
      </c>
      <c r="L47" s="405">
        <f t="shared" si="70"/>
        <v>0</v>
      </c>
      <c r="M47" s="405">
        <f>M27*M28</f>
        <v>0</v>
      </c>
      <c r="N47" s="405">
        <f t="shared" si="70"/>
        <v>8000</v>
      </c>
      <c r="O47" s="405">
        <f>O27*O28</f>
        <v>0</v>
      </c>
      <c r="P47" s="405">
        <f t="shared" si="70"/>
        <v>0</v>
      </c>
      <c r="Q47" s="405">
        <f t="shared" si="70"/>
        <v>0</v>
      </c>
      <c r="R47" s="405">
        <f t="shared" si="70"/>
        <v>0</v>
      </c>
      <c r="S47" s="405">
        <f t="shared" si="70"/>
        <v>0</v>
      </c>
      <c r="T47" s="405">
        <f t="shared" si="70"/>
        <v>0</v>
      </c>
      <c r="U47" s="405">
        <f>U27*U28</f>
        <v>0</v>
      </c>
      <c r="V47" s="405">
        <f t="shared" si="70"/>
        <v>0</v>
      </c>
      <c r="W47" s="405">
        <f t="shared" ref="W47:AD47" si="71">W27*W28</f>
        <v>0</v>
      </c>
      <c r="X47" s="405">
        <f t="shared" si="71"/>
        <v>0</v>
      </c>
      <c r="Y47" s="405">
        <f t="shared" si="71"/>
        <v>0</v>
      </c>
      <c r="Z47" s="405">
        <f t="shared" si="71"/>
        <v>0</v>
      </c>
      <c r="AA47" s="405">
        <f t="shared" si="71"/>
        <v>0</v>
      </c>
      <c r="AB47" s="405">
        <f t="shared" si="71"/>
        <v>0</v>
      </c>
      <c r="AC47" s="405">
        <f t="shared" si="71"/>
        <v>0</v>
      </c>
      <c r="AD47" s="405">
        <f t="shared" si="71"/>
        <v>0</v>
      </c>
      <c r="AE47" s="405">
        <f t="shared" si="70"/>
        <v>0</v>
      </c>
      <c r="AF47" s="405">
        <f t="shared" si="70"/>
        <v>0</v>
      </c>
      <c r="AG47" s="405">
        <f t="shared" si="70"/>
        <v>0</v>
      </c>
      <c r="AH47" s="405">
        <f t="shared" si="70"/>
        <v>0</v>
      </c>
      <c r="AI47" s="405">
        <f t="shared" si="70"/>
        <v>0</v>
      </c>
      <c r="AJ47" s="405">
        <f t="shared" si="70"/>
        <v>0</v>
      </c>
      <c r="AK47" s="405">
        <f t="shared" si="70"/>
        <v>0</v>
      </c>
      <c r="AL47" s="405">
        <f t="shared" si="70"/>
        <v>0</v>
      </c>
      <c r="AM47" s="405">
        <f t="shared" si="70"/>
        <v>0</v>
      </c>
      <c r="AN47" s="405">
        <f t="shared" ref="AN47:BH47" si="72">AN27*AN28</f>
        <v>0</v>
      </c>
      <c r="AO47" s="405">
        <f t="shared" si="72"/>
        <v>0</v>
      </c>
      <c r="AP47" s="405">
        <f t="shared" si="72"/>
        <v>27900</v>
      </c>
      <c r="AQ47" s="405">
        <f t="shared" si="72"/>
        <v>0</v>
      </c>
      <c r="AR47" s="405">
        <f t="shared" si="72"/>
        <v>0</v>
      </c>
      <c r="AS47" s="405">
        <f>AS27*AS28</f>
        <v>7000</v>
      </c>
      <c r="AT47" s="405">
        <f>AT27*AT28</f>
        <v>0</v>
      </c>
      <c r="AU47" s="405">
        <f t="shared" si="72"/>
        <v>0</v>
      </c>
      <c r="AV47" s="405">
        <f>AV27*AV28</f>
        <v>0</v>
      </c>
      <c r="AW47" s="405">
        <f>AW27*AW28</f>
        <v>0</v>
      </c>
      <c r="AX47" s="405">
        <f>AX27*AX28</f>
        <v>0</v>
      </c>
      <c r="AY47" s="405">
        <f>AY27*AY28</f>
        <v>0</v>
      </c>
      <c r="AZ47" s="405">
        <f>AZ27*AZ28</f>
        <v>0</v>
      </c>
      <c r="BA47" s="405">
        <f t="shared" si="72"/>
        <v>0</v>
      </c>
      <c r="BB47" s="405">
        <f>BB27*BB28</f>
        <v>0</v>
      </c>
      <c r="BC47" s="406">
        <f t="shared" si="72"/>
        <v>0</v>
      </c>
      <c r="BD47" s="405">
        <f>BD27*BD28</f>
        <v>0</v>
      </c>
      <c r="BE47" s="405">
        <f t="shared" si="72"/>
        <v>0</v>
      </c>
      <c r="BF47" s="405">
        <f t="shared" si="72"/>
        <v>0</v>
      </c>
      <c r="BG47" s="405">
        <f t="shared" si="72"/>
        <v>0</v>
      </c>
      <c r="BH47" s="405">
        <f t="shared" si="72"/>
        <v>0</v>
      </c>
      <c r="BI47" s="405">
        <f t="shared" ref="BI47:BQ47" si="73">BI27*BI28</f>
        <v>0</v>
      </c>
      <c r="BJ47" s="405">
        <f t="shared" si="73"/>
        <v>0</v>
      </c>
      <c r="BK47" s="405">
        <f t="shared" si="73"/>
        <v>0</v>
      </c>
      <c r="BL47" s="405">
        <f t="shared" si="73"/>
        <v>0</v>
      </c>
      <c r="BM47" s="405">
        <f t="shared" si="73"/>
        <v>0</v>
      </c>
      <c r="BN47" s="405">
        <f t="shared" si="73"/>
        <v>0</v>
      </c>
      <c r="BO47" s="405">
        <f t="shared" si="73"/>
        <v>0</v>
      </c>
      <c r="BP47" s="405">
        <f t="shared" si="73"/>
        <v>0</v>
      </c>
      <c r="BQ47" s="405">
        <f t="shared" si="73"/>
        <v>0</v>
      </c>
      <c r="BR47" s="405">
        <f t="shared" ref="BR47:BX47" si="74">BR27*BR28</f>
        <v>0</v>
      </c>
      <c r="BS47" s="405">
        <f t="shared" si="74"/>
        <v>0</v>
      </c>
      <c r="BT47" s="405">
        <f t="shared" si="74"/>
        <v>0</v>
      </c>
      <c r="BU47" s="405">
        <f t="shared" si="74"/>
        <v>0</v>
      </c>
      <c r="BV47" s="405">
        <f t="shared" si="74"/>
        <v>0</v>
      </c>
      <c r="BW47" s="405">
        <f t="shared" si="74"/>
        <v>0</v>
      </c>
      <c r="BX47" s="405">
        <f t="shared" si="74"/>
        <v>0</v>
      </c>
      <c r="BY47" s="405">
        <f>BY27*BY28</f>
        <v>0</v>
      </c>
      <c r="BZ47" s="405">
        <f>BZ27*BZ28</f>
        <v>0</v>
      </c>
      <c r="CA47" s="405">
        <f t="shared" ref="CA47" si="75">CA27*CA28</f>
        <v>0</v>
      </c>
      <c r="CB47" s="405">
        <f>CB27*CB28</f>
        <v>0</v>
      </c>
    </row>
    <row r="48" spans="1:80">
      <c r="A48" s="418" t="s">
        <v>1128</v>
      </c>
      <c r="B48" s="419">
        <f>B29+B30</f>
        <v>0</v>
      </c>
      <c r="C48" s="420">
        <f>C30+C29</f>
        <v>0</v>
      </c>
      <c r="D48" s="420">
        <f>D30+D29</f>
        <v>2000</v>
      </c>
      <c r="E48" s="421">
        <f t="shared" ref="E48:AM48" si="76">E30+E29</f>
        <v>0</v>
      </c>
      <c r="F48" s="420">
        <f t="shared" si="76"/>
        <v>0</v>
      </c>
      <c r="G48" s="420">
        <f t="shared" si="76"/>
        <v>0</v>
      </c>
      <c r="H48" s="420">
        <f t="shared" si="76"/>
        <v>0</v>
      </c>
      <c r="I48" s="420">
        <f t="shared" si="76"/>
        <v>0</v>
      </c>
      <c r="J48" s="420">
        <f t="shared" si="76"/>
        <v>0</v>
      </c>
      <c r="K48" s="420">
        <f t="shared" si="76"/>
        <v>0</v>
      </c>
      <c r="L48" s="420">
        <f t="shared" si="76"/>
        <v>0</v>
      </c>
      <c r="M48" s="420">
        <f>M30+M29</f>
        <v>1</v>
      </c>
      <c r="N48" s="420">
        <f t="shared" si="76"/>
        <v>2000</v>
      </c>
      <c r="O48" s="420">
        <f>O30+O29</f>
        <v>0</v>
      </c>
      <c r="P48" s="420">
        <f t="shared" si="76"/>
        <v>0</v>
      </c>
      <c r="Q48" s="420">
        <f t="shared" si="76"/>
        <v>0</v>
      </c>
      <c r="R48" s="420">
        <f t="shared" si="76"/>
        <v>240</v>
      </c>
      <c r="S48" s="420">
        <f t="shared" si="76"/>
        <v>380</v>
      </c>
      <c r="T48" s="420">
        <f t="shared" si="76"/>
        <v>625</v>
      </c>
      <c r="U48" s="420">
        <f>U30+U29</f>
        <v>0</v>
      </c>
      <c r="V48" s="420">
        <f t="shared" si="76"/>
        <v>625</v>
      </c>
      <c r="W48" s="420">
        <f t="shared" ref="W48:AD48" si="77">W30+W29</f>
        <v>0</v>
      </c>
      <c r="X48" s="420">
        <f t="shared" si="77"/>
        <v>380</v>
      </c>
      <c r="Y48" s="420">
        <f t="shared" si="77"/>
        <v>380</v>
      </c>
      <c r="Z48" s="420">
        <f t="shared" si="77"/>
        <v>380</v>
      </c>
      <c r="AA48" s="420">
        <f t="shared" si="77"/>
        <v>0</v>
      </c>
      <c r="AB48" s="420">
        <f t="shared" si="77"/>
        <v>0</v>
      </c>
      <c r="AC48" s="420">
        <f t="shared" si="77"/>
        <v>0</v>
      </c>
      <c r="AD48" s="420">
        <f t="shared" si="77"/>
        <v>1500</v>
      </c>
      <c r="AE48" s="420">
        <f t="shared" si="76"/>
        <v>0</v>
      </c>
      <c r="AF48" s="420">
        <f t="shared" si="76"/>
        <v>0</v>
      </c>
      <c r="AG48" s="420">
        <f t="shared" si="76"/>
        <v>0</v>
      </c>
      <c r="AH48" s="420">
        <f t="shared" si="76"/>
        <v>0</v>
      </c>
      <c r="AI48" s="420">
        <f t="shared" si="76"/>
        <v>0</v>
      </c>
      <c r="AJ48" s="420">
        <f t="shared" si="76"/>
        <v>380</v>
      </c>
      <c r="AK48" s="420">
        <f t="shared" si="76"/>
        <v>0</v>
      </c>
      <c r="AL48" s="420">
        <f t="shared" si="76"/>
        <v>0</v>
      </c>
      <c r="AM48" s="420">
        <f t="shared" si="76"/>
        <v>0</v>
      </c>
      <c r="AN48" s="420">
        <f t="shared" ref="AN48:BH48" si="78">AN30+AN29</f>
        <v>3000</v>
      </c>
      <c r="AO48" s="420">
        <f t="shared" si="78"/>
        <v>3000</v>
      </c>
      <c r="AP48" s="420">
        <f t="shared" si="78"/>
        <v>0</v>
      </c>
      <c r="AQ48" s="420">
        <f t="shared" si="78"/>
        <v>0</v>
      </c>
      <c r="AR48" s="420">
        <f t="shared" si="78"/>
        <v>0</v>
      </c>
      <c r="AS48" s="420">
        <f>AS30+AS29</f>
        <v>0</v>
      </c>
      <c r="AT48" s="420">
        <f>AT30+AT29</f>
        <v>380</v>
      </c>
      <c r="AU48" s="420">
        <f t="shared" si="78"/>
        <v>0</v>
      </c>
      <c r="AV48" s="420">
        <f>AV30+AV29</f>
        <v>2000</v>
      </c>
      <c r="AW48" s="420">
        <f>AW30+AW29</f>
        <v>0</v>
      </c>
      <c r="AX48" s="420">
        <f>AX30+AX29</f>
        <v>0</v>
      </c>
      <c r="AY48" s="420">
        <f>AY30+AY29</f>
        <v>0</v>
      </c>
      <c r="AZ48" s="420">
        <f>AZ30+AZ29</f>
        <v>0</v>
      </c>
      <c r="BA48" s="420">
        <f t="shared" si="78"/>
        <v>0</v>
      </c>
      <c r="BB48" s="420">
        <f>BB30+BB29</f>
        <v>2500</v>
      </c>
      <c r="BC48" s="422">
        <f t="shared" si="78"/>
        <v>0</v>
      </c>
      <c r="BD48" s="420">
        <f>BD29+BD30</f>
        <v>0</v>
      </c>
      <c r="BE48" s="420">
        <f t="shared" si="78"/>
        <v>0</v>
      </c>
      <c r="BF48" s="420">
        <f t="shared" si="78"/>
        <v>0</v>
      </c>
      <c r="BG48" s="420">
        <f t="shared" si="78"/>
        <v>0</v>
      </c>
      <c r="BH48" s="420">
        <f t="shared" si="78"/>
        <v>0</v>
      </c>
      <c r="BI48" s="420">
        <f t="shared" ref="BI48:BQ48" si="79">BI30+BI29</f>
        <v>0</v>
      </c>
      <c r="BJ48" s="420">
        <f t="shared" si="79"/>
        <v>0</v>
      </c>
      <c r="BK48" s="420">
        <f t="shared" si="79"/>
        <v>0</v>
      </c>
      <c r="BL48" s="420">
        <f t="shared" si="79"/>
        <v>0</v>
      </c>
      <c r="BM48" s="420">
        <f t="shared" si="79"/>
        <v>0</v>
      </c>
      <c r="BN48" s="420">
        <f t="shared" si="79"/>
        <v>0</v>
      </c>
      <c r="BO48" s="420">
        <f t="shared" si="79"/>
        <v>0</v>
      </c>
      <c r="BP48" s="420">
        <f t="shared" si="79"/>
        <v>0</v>
      </c>
      <c r="BQ48" s="420">
        <f t="shared" si="79"/>
        <v>380</v>
      </c>
      <c r="BR48" s="420">
        <f t="shared" ref="BR48:BX48" si="80">BR30+BR29</f>
        <v>7</v>
      </c>
      <c r="BS48" s="420">
        <f t="shared" si="80"/>
        <v>0</v>
      </c>
      <c r="BT48" s="420">
        <f t="shared" si="80"/>
        <v>0</v>
      </c>
      <c r="BU48" s="420">
        <f t="shared" si="80"/>
        <v>0</v>
      </c>
      <c r="BV48" s="420">
        <f t="shared" si="80"/>
        <v>0</v>
      </c>
      <c r="BW48" s="420">
        <f t="shared" si="80"/>
        <v>0</v>
      </c>
      <c r="BX48" s="420">
        <f t="shared" si="80"/>
        <v>0</v>
      </c>
      <c r="BY48" s="420">
        <f>BY30+BY29</f>
        <v>0</v>
      </c>
      <c r="BZ48" s="420">
        <f>BZ30+BZ29</f>
        <v>0</v>
      </c>
      <c r="CA48" s="420">
        <f t="shared" ref="CA48" si="81">CA30+CA29</f>
        <v>0</v>
      </c>
      <c r="CB48" s="420">
        <f>CB30+CB29</f>
        <v>0</v>
      </c>
    </row>
    <row r="49" spans="1:80" ht="18.75" customHeight="1">
      <c r="A49" s="408" t="s">
        <v>1133</v>
      </c>
      <c r="B49" s="409">
        <f>ROUND(SUM(B44:B48),2)</f>
        <v>83220</v>
      </c>
      <c r="C49" s="410">
        <f>ROUND(SUM(C44:C48),2)</f>
        <v>117088</v>
      </c>
      <c r="D49" s="410">
        <f>ROUND(SUM(D44:D48),2)</f>
        <v>2000</v>
      </c>
      <c r="E49" s="410">
        <f t="shared" ref="E49:AM49" si="82">ROUND(SUM(E44:E48),2)</f>
        <v>215584.8</v>
      </c>
      <c r="F49" s="410">
        <f t="shared" si="82"/>
        <v>117676</v>
      </c>
      <c r="G49" s="410">
        <f t="shared" si="82"/>
        <v>105302.39999999999</v>
      </c>
      <c r="H49" s="410">
        <f t="shared" si="82"/>
        <v>117676</v>
      </c>
      <c r="I49" s="410">
        <f t="shared" si="82"/>
        <v>0</v>
      </c>
      <c r="J49" s="410">
        <f t="shared" si="82"/>
        <v>19588.8</v>
      </c>
      <c r="K49" s="410">
        <f t="shared" si="82"/>
        <v>35912.800000000003</v>
      </c>
      <c r="L49" s="410">
        <f t="shared" si="82"/>
        <v>67161.600000000006</v>
      </c>
      <c r="M49" s="410">
        <f>ROUND(SUM(M44:M48),2)</f>
        <v>11296.36</v>
      </c>
      <c r="N49" s="410">
        <f t="shared" si="82"/>
        <v>102548.8</v>
      </c>
      <c r="O49" s="410">
        <f>ROUND(SUM(O44:O48),2)</f>
        <v>52236.800000000003</v>
      </c>
      <c r="P49" s="410">
        <f t="shared" si="82"/>
        <v>132336</v>
      </c>
      <c r="Q49" s="410">
        <f t="shared" si="82"/>
        <v>33474.160000000003</v>
      </c>
      <c r="R49" s="410">
        <f t="shared" si="82"/>
        <v>120148</v>
      </c>
      <c r="S49" s="410">
        <f t="shared" si="82"/>
        <v>269214</v>
      </c>
      <c r="T49" s="410">
        <f t="shared" si="82"/>
        <v>323531</v>
      </c>
      <c r="U49" s="410">
        <f>ROUND(SUM(U44:U48),2)</f>
        <v>220328.4</v>
      </c>
      <c r="V49" s="410">
        <f t="shared" si="82"/>
        <v>372503</v>
      </c>
      <c r="W49" s="410">
        <f t="shared" ref="W49:AD49" si="83">ROUND(SUM(W44:W48),2)</f>
        <v>87186.4</v>
      </c>
      <c r="X49" s="410">
        <f t="shared" si="83"/>
        <v>6080</v>
      </c>
      <c r="Y49" s="410">
        <f t="shared" si="83"/>
        <v>4180</v>
      </c>
      <c r="Z49" s="410">
        <f t="shared" si="83"/>
        <v>2280</v>
      </c>
      <c r="AA49" s="410">
        <f t="shared" si="83"/>
        <v>173644</v>
      </c>
      <c r="AB49" s="410">
        <f t="shared" si="82"/>
        <v>93158.399999999994</v>
      </c>
      <c r="AC49" s="410">
        <f t="shared" si="83"/>
        <v>0</v>
      </c>
      <c r="AD49" s="410">
        <f t="shared" si="83"/>
        <v>1500</v>
      </c>
      <c r="AE49" s="410">
        <f t="shared" si="82"/>
        <v>0</v>
      </c>
      <c r="AF49" s="410">
        <f t="shared" si="82"/>
        <v>0</v>
      </c>
      <c r="AG49" s="410">
        <f t="shared" si="82"/>
        <v>0</v>
      </c>
      <c r="AH49" s="410">
        <f t="shared" si="82"/>
        <v>380</v>
      </c>
      <c r="AI49" s="410">
        <f t="shared" si="82"/>
        <v>0</v>
      </c>
      <c r="AJ49" s="410">
        <f t="shared" si="82"/>
        <v>228027.2</v>
      </c>
      <c r="AK49" s="410">
        <f t="shared" si="82"/>
        <v>58236.800000000003</v>
      </c>
      <c r="AL49" s="410">
        <f t="shared" si="82"/>
        <v>0</v>
      </c>
      <c r="AM49" s="410">
        <f t="shared" si="82"/>
        <v>0</v>
      </c>
      <c r="AN49" s="410">
        <f t="shared" ref="AN49:BJ49" si="84">ROUND(SUM(AN44:AN48),2)</f>
        <v>3000</v>
      </c>
      <c r="AO49" s="410">
        <f t="shared" si="84"/>
        <v>3000</v>
      </c>
      <c r="AP49" s="410">
        <f t="shared" si="84"/>
        <v>27900</v>
      </c>
      <c r="AQ49" s="410">
        <f t="shared" si="84"/>
        <v>0</v>
      </c>
      <c r="AR49" s="410">
        <f t="shared" si="84"/>
        <v>22387.200000000001</v>
      </c>
      <c r="AS49" s="410">
        <f t="shared" si="84"/>
        <v>7000</v>
      </c>
      <c r="AT49" s="410">
        <f t="shared" si="84"/>
        <v>4180</v>
      </c>
      <c r="AU49" s="410">
        <f t="shared" si="84"/>
        <v>0</v>
      </c>
      <c r="AV49" s="410">
        <f>ROUND(SUM(AV44:AV48),2)</f>
        <v>33729.599999999999</v>
      </c>
      <c r="AW49" s="410">
        <f>ROUND(SUM(AW44:AW48),2)</f>
        <v>17040.400000000001</v>
      </c>
      <c r="AX49" s="410">
        <f>ROUND(SUM(AX44:AX48),2)</f>
        <v>40312</v>
      </c>
      <c r="AY49" s="410">
        <f>ROUND(SUM(AY44:AY48),2)</f>
        <v>5647.68</v>
      </c>
      <c r="AZ49" s="410">
        <f>ROUND(SUM(AZ44:AZ48),2)</f>
        <v>11193.6</v>
      </c>
      <c r="BA49" s="410">
        <f t="shared" si="84"/>
        <v>19588.8</v>
      </c>
      <c r="BB49" s="410">
        <f>ROUND(SUM(BB44:BB48),2)</f>
        <v>8096.8</v>
      </c>
      <c r="BC49" s="411">
        <f t="shared" si="84"/>
        <v>33474.160000000003</v>
      </c>
      <c r="BD49" s="410">
        <f>ROUND(SUM(BD44:BD48),2)</f>
        <v>48240</v>
      </c>
      <c r="BE49" s="410">
        <f t="shared" si="84"/>
        <v>14992</v>
      </c>
      <c r="BF49" s="410">
        <f t="shared" si="84"/>
        <v>17790.400000000001</v>
      </c>
      <c r="BG49" s="410">
        <f t="shared" si="84"/>
        <v>34980</v>
      </c>
      <c r="BH49" s="410">
        <f t="shared" si="84"/>
        <v>13992</v>
      </c>
      <c r="BI49" s="410">
        <f t="shared" si="84"/>
        <v>1679040</v>
      </c>
      <c r="BJ49" s="410">
        <f t="shared" si="84"/>
        <v>1679040</v>
      </c>
      <c r="BK49" s="410">
        <f t="shared" ref="BK49:BT49" si="85">ROUND(SUM(BK44:BK48),2)</f>
        <v>37312</v>
      </c>
      <c r="BL49" s="410">
        <f t="shared" si="85"/>
        <v>58178.400000000001</v>
      </c>
      <c r="BM49" s="410">
        <f t="shared" si="85"/>
        <v>0</v>
      </c>
      <c r="BN49" s="410">
        <f t="shared" si="85"/>
        <v>69960</v>
      </c>
      <c r="BO49" s="410">
        <f t="shared" si="85"/>
        <v>0</v>
      </c>
      <c r="BP49" s="410">
        <f t="shared" si="85"/>
        <v>0</v>
      </c>
      <c r="BQ49" s="410">
        <f t="shared" si="85"/>
        <v>154946</v>
      </c>
      <c r="BR49" s="410">
        <f t="shared" si="85"/>
        <v>13999</v>
      </c>
      <c r="BS49" s="410">
        <f t="shared" si="85"/>
        <v>0</v>
      </c>
      <c r="BT49" s="410">
        <f t="shared" si="85"/>
        <v>0</v>
      </c>
      <c r="BU49" s="410">
        <f t="shared" ref="BU49:CA49" si="86">ROUND(SUM(BU44:BU48),2)</f>
        <v>0</v>
      </c>
      <c r="BV49" s="410">
        <f t="shared" si="86"/>
        <v>0</v>
      </c>
      <c r="BW49" s="410">
        <f t="shared" si="86"/>
        <v>33181.599999999999</v>
      </c>
      <c r="BX49" s="410">
        <f t="shared" si="86"/>
        <v>5596.8</v>
      </c>
      <c r="BY49" s="410">
        <f t="shared" si="86"/>
        <v>0</v>
      </c>
      <c r="BZ49" s="410">
        <f t="shared" si="86"/>
        <v>11495.36</v>
      </c>
      <c r="CA49" s="410">
        <f t="shared" si="86"/>
        <v>69960</v>
      </c>
      <c r="CB49" s="410">
        <f>ROUND(SUM(CB44:CB48),2)</f>
        <v>73958.399999999994</v>
      </c>
    </row>
    <row r="50" spans="1:80" ht="9" customHeight="1">
      <c r="A50" s="423"/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24"/>
      <c r="AT50" s="424"/>
      <c r="AU50" s="424"/>
      <c r="AV50" s="424"/>
      <c r="AW50" s="424"/>
      <c r="AX50" s="424"/>
      <c r="AY50" s="424"/>
      <c r="AZ50" s="424"/>
      <c r="BA50" s="424"/>
      <c r="BB50" s="424"/>
      <c r="BC50" s="424"/>
      <c r="BD50" s="424"/>
      <c r="BE50" s="424"/>
      <c r="BF50" s="424"/>
      <c r="BG50" s="424"/>
      <c r="BH50" s="424"/>
      <c r="BI50" s="424"/>
      <c r="BJ50" s="424"/>
      <c r="BK50" s="424"/>
      <c r="BL50" s="424"/>
      <c r="BM50" s="424"/>
      <c r="BN50" s="424"/>
      <c r="BO50" s="424"/>
      <c r="BP50" s="424"/>
      <c r="BQ50" s="424"/>
      <c r="BR50" s="424"/>
      <c r="BS50" s="424"/>
      <c r="BT50" s="424"/>
      <c r="BU50" s="424"/>
      <c r="BV50" s="424"/>
      <c r="BW50" s="424"/>
      <c r="BX50" s="424"/>
      <c r="BY50" s="424"/>
      <c r="BZ50" s="424"/>
      <c r="CA50" s="424"/>
      <c r="CB50" s="424"/>
    </row>
    <row r="51" spans="1:80" ht="16.5" customHeight="1">
      <c r="A51" s="425" t="s">
        <v>1134</v>
      </c>
      <c r="B51" s="426">
        <f t="shared" ref="B51:AH51" si="87">ROUND((B41+B49),2)</f>
        <v>120451.91</v>
      </c>
      <c r="C51" s="426">
        <f t="shared" si="87"/>
        <v>160122</v>
      </c>
      <c r="D51" s="426">
        <f t="shared" si="87"/>
        <v>55080</v>
      </c>
      <c r="E51" s="426">
        <f t="shared" si="87"/>
        <v>658353.17000000004</v>
      </c>
      <c r="F51" s="426">
        <f t="shared" si="87"/>
        <v>497181.38</v>
      </c>
      <c r="G51" s="426">
        <f t="shared" si="87"/>
        <v>553307.13</v>
      </c>
      <c r="H51" s="426">
        <f t="shared" si="87"/>
        <v>419054.59</v>
      </c>
      <c r="I51" s="426">
        <f t="shared" si="87"/>
        <v>10560</v>
      </c>
      <c r="J51" s="426">
        <f t="shared" si="87"/>
        <v>128746.26</v>
      </c>
      <c r="K51" s="426">
        <f t="shared" si="87"/>
        <v>166785.9</v>
      </c>
      <c r="L51" s="426">
        <f t="shared" si="87"/>
        <v>282334.15999999997</v>
      </c>
      <c r="M51" s="426">
        <f t="shared" si="87"/>
        <v>77557.36</v>
      </c>
      <c r="N51" s="426">
        <f t="shared" si="87"/>
        <v>636427.29</v>
      </c>
      <c r="O51" s="426">
        <f t="shared" si="87"/>
        <v>279122.78999999998</v>
      </c>
      <c r="P51" s="426">
        <f t="shared" si="87"/>
        <v>840642</v>
      </c>
      <c r="Q51" s="426">
        <f t="shared" si="87"/>
        <v>411468.59</v>
      </c>
      <c r="R51" s="426">
        <f t="shared" si="87"/>
        <v>368012.88</v>
      </c>
      <c r="S51" s="426">
        <f t="shared" si="87"/>
        <v>609751.04000000004</v>
      </c>
      <c r="T51" s="426">
        <f t="shared" si="87"/>
        <v>736255.37</v>
      </c>
      <c r="U51" s="426">
        <f t="shared" si="87"/>
        <v>497165.91</v>
      </c>
      <c r="V51" s="426">
        <f t="shared" si="87"/>
        <v>788899.51</v>
      </c>
      <c r="W51" s="426">
        <f t="shared" si="87"/>
        <v>345255.39</v>
      </c>
      <c r="X51" s="426">
        <f t="shared" si="87"/>
        <v>71499.31</v>
      </c>
      <c r="Y51" s="426">
        <f t="shared" si="87"/>
        <v>45642.51</v>
      </c>
      <c r="Z51" s="426">
        <f t="shared" si="87"/>
        <v>18797.72</v>
      </c>
      <c r="AA51" s="426">
        <f t="shared" si="87"/>
        <v>1297343.5</v>
      </c>
      <c r="AB51" s="426">
        <f>ROUND((AB41+AB49),2)</f>
        <v>559353.04</v>
      </c>
      <c r="AC51" s="426">
        <f t="shared" si="87"/>
        <v>47487.360000000001</v>
      </c>
      <c r="AD51" s="426">
        <f t="shared" si="87"/>
        <v>31346.19</v>
      </c>
      <c r="AE51" s="426">
        <f t="shared" si="87"/>
        <v>16244.07</v>
      </c>
      <c r="AF51" s="426">
        <f t="shared" si="87"/>
        <v>23117.02</v>
      </c>
      <c r="AG51" s="426">
        <f t="shared" si="87"/>
        <v>56873.74</v>
      </c>
      <c r="AH51" s="426">
        <f t="shared" si="87"/>
        <v>11475.32</v>
      </c>
      <c r="AI51" s="426">
        <f t="shared" ref="AI51:BH51" si="88">ROUND((AI41+AI49),2)</f>
        <v>16305.99</v>
      </c>
      <c r="AJ51" s="426">
        <f t="shared" si="88"/>
        <v>741069.19</v>
      </c>
      <c r="AK51" s="426">
        <f t="shared" si="88"/>
        <v>234826.58</v>
      </c>
      <c r="AL51" s="426">
        <f t="shared" si="88"/>
        <v>36408.15</v>
      </c>
      <c r="AM51" s="426">
        <f t="shared" si="88"/>
        <v>19041.310000000001</v>
      </c>
      <c r="AN51" s="426">
        <f t="shared" si="88"/>
        <v>52970.01</v>
      </c>
      <c r="AO51" s="426">
        <f t="shared" si="88"/>
        <v>49813.99</v>
      </c>
      <c r="AP51" s="426">
        <f t="shared" si="88"/>
        <v>47753.07</v>
      </c>
      <c r="AQ51" s="426">
        <f t="shared" si="88"/>
        <v>45734.01</v>
      </c>
      <c r="AR51" s="426">
        <f t="shared" si="88"/>
        <v>55718.07</v>
      </c>
      <c r="AS51" s="426">
        <f>ROUND((AS41+AS49),2)</f>
        <v>7920.5</v>
      </c>
      <c r="AT51" s="426">
        <f>ROUND((AT41+AT49),2)</f>
        <v>45642.51</v>
      </c>
      <c r="AU51" s="426">
        <f t="shared" si="88"/>
        <v>10318.43</v>
      </c>
      <c r="AV51" s="426">
        <f t="shared" si="88"/>
        <v>182734.78</v>
      </c>
      <c r="AW51" s="426">
        <f t="shared" si="88"/>
        <v>240391.39</v>
      </c>
      <c r="AX51" s="426">
        <f t="shared" si="88"/>
        <v>287955.01</v>
      </c>
      <c r="AY51" s="426">
        <f t="shared" si="88"/>
        <v>47103.69</v>
      </c>
      <c r="AZ51" s="426">
        <f t="shared" si="88"/>
        <v>43291.61</v>
      </c>
      <c r="BA51" s="426">
        <f t="shared" si="88"/>
        <v>95126.8</v>
      </c>
      <c r="BB51" s="426">
        <f t="shared" si="88"/>
        <v>68562.789999999994</v>
      </c>
      <c r="BC51" s="426">
        <f t="shared" si="88"/>
        <v>258929.16</v>
      </c>
      <c r="BD51" s="426">
        <f t="shared" si="88"/>
        <v>167178.22</v>
      </c>
      <c r="BE51" s="426">
        <f t="shared" si="88"/>
        <v>100941.79</v>
      </c>
      <c r="BF51" s="426">
        <f>ROUND((BF41+BF49),2)</f>
        <v>217630.68</v>
      </c>
      <c r="BG51" s="426">
        <f t="shared" si="88"/>
        <v>40726.47</v>
      </c>
      <c r="BH51" s="426">
        <f t="shared" si="88"/>
        <v>18911.400000000001</v>
      </c>
      <c r="BI51" s="426">
        <f t="shared" ref="BI51:BQ51" si="89">ROUND((BI41+BI49),2)</f>
        <v>1723040</v>
      </c>
      <c r="BJ51" s="426">
        <f t="shared" si="89"/>
        <v>1698040</v>
      </c>
      <c r="BK51" s="426">
        <f t="shared" si="89"/>
        <v>89385.99</v>
      </c>
      <c r="BL51" s="426">
        <f t="shared" si="89"/>
        <v>453119.91</v>
      </c>
      <c r="BM51" s="426">
        <f t="shared" si="89"/>
        <v>35768</v>
      </c>
      <c r="BN51" s="426">
        <f t="shared" si="89"/>
        <v>308110.99</v>
      </c>
      <c r="BO51" s="426">
        <f t="shared" si="89"/>
        <v>238150.99</v>
      </c>
      <c r="BP51" s="426">
        <f t="shared" si="89"/>
        <v>254384.99</v>
      </c>
      <c r="BQ51" s="426">
        <f t="shared" si="89"/>
        <v>429043.01</v>
      </c>
      <c r="BR51" s="426">
        <f t="shared" ref="BR51:BX51" si="90">ROUND((BR41+BR49),2)</f>
        <v>22399.01</v>
      </c>
      <c r="BS51" s="426">
        <f t="shared" si="90"/>
        <v>131500</v>
      </c>
      <c r="BT51" s="426">
        <f t="shared" si="90"/>
        <v>131500</v>
      </c>
      <c r="BU51" s="426">
        <f t="shared" si="90"/>
        <v>73640.009999999995</v>
      </c>
      <c r="BV51" s="426">
        <f t="shared" si="90"/>
        <v>73640.009999999995</v>
      </c>
      <c r="BW51" s="426">
        <f t="shared" si="90"/>
        <v>421860.98</v>
      </c>
      <c r="BX51" s="426">
        <f t="shared" si="90"/>
        <v>10396.799999999999</v>
      </c>
      <c r="BY51" s="426">
        <f>ROUND((BY41+BY49),2)</f>
        <v>18410</v>
      </c>
      <c r="BZ51" s="426">
        <f>ROUND((BZ41+BZ49),2)</f>
        <v>23990.31</v>
      </c>
      <c r="CA51" s="426">
        <f t="shared" ref="CA51" si="91">ROUND((CA41+CA49),2)</f>
        <v>265570.75</v>
      </c>
      <c r="CB51" s="426">
        <f>ROUND((CB41+CB49),2)</f>
        <v>150042.9</v>
      </c>
    </row>
    <row r="52" spans="1:80" ht="13.5" customHeight="1">
      <c r="A52" s="423"/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427"/>
      <c r="AT52" s="427"/>
      <c r="AU52" s="427"/>
      <c r="AV52" s="427"/>
      <c r="AW52" s="427"/>
      <c r="AX52" s="427"/>
      <c r="AY52" s="427"/>
      <c r="AZ52" s="427"/>
      <c r="BA52" s="427"/>
      <c r="BB52" s="427"/>
      <c r="BC52" s="427"/>
      <c r="BD52" s="427"/>
      <c r="BE52" s="427"/>
      <c r="BF52" s="427"/>
      <c r="BG52" s="427"/>
      <c r="BH52" s="427"/>
      <c r="BI52" s="427"/>
      <c r="BJ52" s="427"/>
      <c r="BK52" s="427"/>
      <c r="BL52" s="427"/>
      <c r="BM52" s="427"/>
      <c r="BN52" s="427"/>
      <c r="BO52" s="427"/>
      <c r="BP52" s="427"/>
      <c r="BQ52" s="427"/>
      <c r="BR52" s="427"/>
      <c r="BS52" s="427"/>
      <c r="BT52" s="427"/>
      <c r="BU52" s="427"/>
      <c r="BV52" s="427"/>
      <c r="BW52" s="427"/>
      <c r="BX52" s="427"/>
      <c r="BY52" s="427"/>
      <c r="BZ52" s="427"/>
      <c r="CA52" s="427"/>
      <c r="CB52" s="427"/>
    </row>
    <row r="53" spans="1:80" ht="19.5" customHeight="1">
      <c r="A53" s="414" t="s">
        <v>1135</v>
      </c>
      <c r="B53" s="428">
        <f t="shared" ref="B53:AH53" si="92">ROUND((B51/B8),2)</f>
        <v>68.83</v>
      </c>
      <c r="C53" s="428">
        <f t="shared" si="92"/>
        <v>91.5</v>
      </c>
      <c r="D53" s="428">
        <f t="shared" si="92"/>
        <v>31.47</v>
      </c>
      <c r="E53" s="429">
        <f t="shared" si="92"/>
        <v>548.63</v>
      </c>
      <c r="F53" s="428">
        <f t="shared" si="92"/>
        <v>621.48</v>
      </c>
      <c r="G53" s="428">
        <f t="shared" si="92"/>
        <v>461.09</v>
      </c>
      <c r="H53" s="428">
        <f t="shared" si="92"/>
        <v>279.37</v>
      </c>
      <c r="I53" s="428">
        <f t="shared" si="92"/>
        <v>35.200000000000003</v>
      </c>
      <c r="J53" s="428">
        <f t="shared" si="92"/>
        <v>183.92</v>
      </c>
      <c r="K53" s="428">
        <f t="shared" si="92"/>
        <v>238.27</v>
      </c>
      <c r="L53" s="428">
        <f t="shared" si="92"/>
        <v>313.7</v>
      </c>
      <c r="M53" s="428">
        <f t="shared" si="92"/>
        <v>129.26</v>
      </c>
      <c r="N53" s="428">
        <f t="shared" si="92"/>
        <v>795.53</v>
      </c>
      <c r="O53" s="428">
        <f t="shared" si="92"/>
        <v>348.9</v>
      </c>
      <c r="P53" s="428">
        <f t="shared" si="92"/>
        <v>840.64</v>
      </c>
      <c r="Q53" s="428">
        <f t="shared" si="92"/>
        <v>357.8</v>
      </c>
      <c r="R53" s="428">
        <f t="shared" si="92"/>
        <v>210.29</v>
      </c>
      <c r="S53" s="428">
        <f t="shared" si="92"/>
        <v>348.43</v>
      </c>
      <c r="T53" s="428">
        <f t="shared" si="92"/>
        <v>420.72</v>
      </c>
      <c r="U53" s="428">
        <f t="shared" si="92"/>
        <v>414.3</v>
      </c>
      <c r="V53" s="428">
        <f t="shared" si="92"/>
        <v>450.8</v>
      </c>
      <c r="W53" s="428">
        <f t="shared" si="92"/>
        <v>863.14</v>
      </c>
      <c r="X53" s="428">
        <f t="shared" si="92"/>
        <v>119.17</v>
      </c>
      <c r="Y53" s="428">
        <f t="shared" si="92"/>
        <v>76.069999999999993</v>
      </c>
      <c r="Z53" s="428">
        <f t="shared" si="92"/>
        <v>31.33</v>
      </c>
      <c r="AA53" s="428">
        <f t="shared" si="92"/>
        <v>1081.1199999999999</v>
      </c>
      <c r="AB53" s="428">
        <f>ROUND((AB51/AB8),2)</f>
        <v>860.54</v>
      </c>
      <c r="AC53" s="428">
        <f t="shared" si="92"/>
        <v>105.53</v>
      </c>
      <c r="AD53" s="428">
        <f t="shared" si="92"/>
        <v>313.45999999999998</v>
      </c>
      <c r="AE53" s="428">
        <f t="shared" si="92"/>
        <v>40.61</v>
      </c>
      <c r="AF53" s="428">
        <f t="shared" si="92"/>
        <v>57.79</v>
      </c>
      <c r="AG53" s="428">
        <f t="shared" si="92"/>
        <v>113.75</v>
      </c>
      <c r="AH53" s="428">
        <f t="shared" si="92"/>
        <v>28.69</v>
      </c>
      <c r="AI53" s="428">
        <f t="shared" ref="AI53:BH53" si="93">ROUND((AI51/AI8),2)</f>
        <v>46.59</v>
      </c>
      <c r="AJ53" s="428">
        <f t="shared" si="93"/>
        <v>463.17</v>
      </c>
      <c r="AK53" s="428">
        <f t="shared" si="93"/>
        <v>293.52999999999997</v>
      </c>
      <c r="AL53" s="428">
        <f t="shared" si="93"/>
        <v>91.02</v>
      </c>
      <c r="AM53" s="428">
        <f t="shared" si="93"/>
        <v>47.6</v>
      </c>
      <c r="AN53" s="428">
        <f t="shared" si="93"/>
        <v>66.209999999999994</v>
      </c>
      <c r="AO53" s="428">
        <f t="shared" si="93"/>
        <v>62.27</v>
      </c>
      <c r="AP53" s="428">
        <f t="shared" si="93"/>
        <v>59.69</v>
      </c>
      <c r="AQ53" s="428">
        <f t="shared" si="93"/>
        <v>57.17</v>
      </c>
      <c r="AR53" s="428">
        <f t="shared" si="93"/>
        <v>69.650000000000006</v>
      </c>
      <c r="AS53" s="428">
        <f>ROUND((AS51/AS8),2)</f>
        <v>31.68</v>
      </c>
      <c r="AT53" s="428">
        <f>ROUND((AT51/AT8),2)</f>
        <v>76.069999999999993</v>
      </c>
      <c r="AU53" s="428">
        <f t="shared" si="93"/>
        <v>25.8</v>
      </c>
      <c r="AV53" s="428">
        <f t="shared" si="93"/>
        <v>228.42</v>
      </c>
      <c r="AW53" s="428">
        <f t="shared" si="93"/>
        <v>240.39</v>
      </c>
      <c r="AX53" s="428">
        <f t="shared" si="93"/>
        <v>287.95999999999998</v>
      </c>
      <c r="AY53" s="428">
        <f t="shared" si="93"/>
        <v>117.76</v>
      </c>
      <c r="AZ53" s="428">
        <f t="shared" si="93"/>
        <v>72.150000000000006</v>
      </c>
      <c r="BA53" s="428">
        <f t="shared" si="93"/>
        <v>135.9</v>
      </c>
      <c r="BB53" s="428">
        <f t="shared" si="93"/>
        <v>228.54</v>
      </c>
      <c r="BC53" s="428">
        <f t="shared" si="93"/>
        <v>225.16</v>
      </c>
      <c r="BD53" s="428">
        <f t="shared" si="93"/>
        <v>167.18</v>
      </c>
      <c r="BE53" s="428">
        <f t="shared" si="93"/>
        <v>201.88</v>
      </c>
      <c r="BF53" s="428">
        <f>ROUND((BF51/BF8),2)</f>
        <v>362.72</v>
      </c>
      <c r="BG53" s="428">
        <f t="shared" si="93"/>
        <v>54.3</v>
      </c>
      <c r="BH53" s="428">
        <f t="shared" si="93"/>
        <v>31.52</v>
      </c>
      <c r="BI53" s="428">
        <f t="shared" ref="BI53:BQ53" si="94">ROUND((BI51/BI8),2)</f>
        <v>23.93</v>
      </c>
      <c r="BJ53" s="428">
        <f t="shared" si="94"/>
        <v>23.58</v>
      </c>
      <c r="BK53" s="428">
        <f t="shared" si="94"/>
        <v>111.73</v>
      </c>
      <c r="BL53" s="428">
        <f t="shared" si="94"/>
        <v>503.47</v>
      </c>
      <c r="BM53" s="428">
        <f t="shared" si="94"/>
        <v>44.71</v>
      </c>
      <c r="BN53" s="428">
        <f t="shared" si="94"/>
        <v>308.11</v>
      </c>
      <c r="BO53" s="428">
        <f t="shared" si="94"/>
        <v>297.69</v>
      </c>
      <c r="BP53" s="428">
        <f t="shared" si="94"/>
        <v>423.97</v>
      </c>
      <c r="BQ53" s="428">
        <f t="shared" si="94"/>
        <v>245.17</v>
      </c>
      <c r="BR53" s="428">
        <f t="shared" ref="BR53:BX53" si="95">ROUND((BR51/BR8),2)</f>
        <v>44.8</v>
      </c>
      <c r="BS53" s="428">
        <f t="shared" si="95"/>
        <v>164.38</v>
      </c>
      <c r="BT53" s="428">
        <f t="shared" si="95"/>
        <v>164.38</v>
      </c>
      <c r="BU53" s="428">
        <f t="shared" si="95"/>
        <v>92.05</v>
      </c>
      <c r="BV53" s="428">
        <f t="shared" si="95"/>
        <v>92.05</v>
      </c>
      <c r="BW53" s="428">
        <f t="shared" si="95"/>
        <v>366.84</v>
      </c>
      <c r="BX53" s="428">
        <f t="shared" si="95"/>
        <v>51.98</v>
      </c>
      <c r="BY53" s="428">
        <f>ROUND((BY51/BY8),2)</f>
        <v>46.03</v>
      </c>
      <c r="BZ53" s="428">
        <f>ROUND((BZ51/BZ8),2)</f>
        <v>59.98</v>
      </c>
      <c r="CA53" s="428">
        <f t="shared" ref="CA53" si="96">ROUND((CA51/CA8),2)</f>
        <v>265.57</v>
      </c>
      <c r="CB53" s="428">
        <f>ROUND((CB51/CB8),2)</f>
        <v>230.84</v>
      </c>
    </row>
    <row r="54" spans="1:80" ht="18.75">
      <c r="A54" s="430" t="s">
        <v>1136</v>
      </c>
      <c r="B54" s="431">
        <f>ROUND((B53*'Devizni tecaj, porez i gorivo'!$B$12),2)</f>
        <v>17.21</v>
      </c>
      <c r="C54" s="431">
        <f>ROUND((C53*'Devizni tecaj, porez i gorivo'!$B$12),2)</f>
        <v>22.88</v>
      </c>
      <c r="D54" s="431">
        <f>ROUND((D53*'Devizni tecaj, porez i gorivo'!$B$12),2)</f>
        <v>7.87</v>
      </c>
      <c r="E54" s="431">
        <f>ROUND((E53*'Devizni tecaj, porez i gorivo'!$B$12),2)</f>
        <v>137.16</v>
      </c>
      <c r="F54" s="431">
        <f>ROUND((F53*'Devizni tecaj, porez i gorivo'!$B$12),2)</f>
        <v>155.37</v>
      </c>
      <c r="G54" s="431">
        <f>ROUND((G53*'Devizni tecaj, porez i gorivo'!$B$12),2)</f>
        <v>115.27</v>
      </c>
      <c r="H54" s="431">
        <f>ROUND((H53*'Devizni tecaj, porez i gorivo'!$B$12),2)</f>
        <v>69.84</v>
      </c>
      <c r="I54" s="431">
        <f>ROUND((I53*'Devizni tecaj, porez i gorivo'!$B$12),2)</f>
        <v>8.8000000000000007</v>
      </c>
      <c r="J54" s="431">
        <f>ROUND((J53*'Devizni tecaj, porez i gorivo'!$B$12),2)</f>
        <v>45.98</v>
      </c>
      <c r="K54" s="431">
        <f>ROUND((K53*'Devizni tecaj, porez i gorivo'!$B$12),2)</f>
        <v>59.57</v>
      </c>
      <c r="L54" s="431">
        <f>ROUND((L53*'Devizni tecaj, porez i gorivo'!$B$12),2)</f>
        <v>78.430000000000007</v>
      </c>
      <c r="M54" s="431">
        <f>ROUND((M53*'Devizni tecaj, porez i gorivo'!$B$12),2)</f>
        <v>32.32</v>
      </c>
      <c r="N54" s="431">
        <f>ROUND((N53*'Devizni tecaj, porez i gorivo'!$B$12),2)</f>
        <v>198.88</v>
      </c>
      <c r="O54" s="431">
        <f>ROUND((O53*'Devizni tecaj, porez i gorivo'!$B$12),2)</f>
        <v>87.23</v>
      </c>
      <c r="P54" s="431">
        <f>ROUND((P53*'Devizni tecaj, porez i gorivo'!$B$12),2)</f>
        <v>210.16</v>
      </c>
      <c r="Q54" s="431">
        <f>ROUND((Q53*'Devizni tecaj, porez i gorivo'!$B$12),2)</f>
        <v>89.45</v>
      </c>
      <c r="R54" s="431">
        <f>ROUND((R53*'Devizni tecaj, porez i gorivo'!$B$12),2)</f>
        <v>52.57</v>
      </c>
      <c r="S54" s="431">
        <f>ROUND((S53*'Devizni tecaj, porez i gorivo'!$B$12),2)</f>
        <v>87.11</v>
      </c>
      <c r="T54" s="431">
        <f>ROUND((T53*'Devizni tecaj, porez i gorivo'!$B$12),2)</f>
        <v>105.18</v>
      </c>
      <c r="U54" s="431">
        <f>ROUND((U53*'Devizni tecaj, porez i gorivo'!$B$12),2)</f>
        <v>103.58</v>
      </c>
      <c r="V54" s="431">
        <f>ROUND((V53*'Devizni tecaj, porez i gorivo'!$B$12),2)</f>
        <v>112.7</v>
      </c>
      <c r="W54" s="431">
        <f>ROUND((W53*'Devizni tecaj, porez i gorivo'!$B$12),2)</f>
        <v>215.79</v>
      </c>
      <c r="X54" s="431">
        <f>ROUND((X53*'Devizni tecaj, porez i gorivo'!$B$12),2)</f>
        <v>29.79</v>
      </c>
      <c r="Y54" s="431">
        <f>ROUND((Y53*'Devizni tecaj, porez i gorivo'!$B$12),2)</f>
        <v>19.02</v>
      </c>
      <c r="Z54" s="431">
        <f>ROUND((Z53*'Devizni tecaj, porez i gorivo'!$B$12),2)</f>
        <v>7.83</v>
      </c>
      <c r="AA54" s="431">
        <f>ROUND((AA53*'Devizni tecaj, porez i gorivo'!$B$12),2)</f>
        <v>270.27999999999997</v>
      </c>
      <c r="AB54" s="431">
        <f>ROUND((AB53*'Devizni tecaj, porez i gorivo'!$B$12),2)</f>
        <v>215.14</v>
      </c>
      <c r="AC54" s="431">
        <f>ROUND((AC53*'Devizni tecaj, porez i gorivo'!$B$12),2)</f>
        <v>26.38</v>
      </c>
      <c r="AD54" s="431">
        <f>ROUND((AD53*'Devizni tecaj, porez i gorivo'!$B$12),2)</f>
        <v>78.37</v>
      </c>
      <c r="AE54" s="431">
        <f>ROUND((AE53*'Devizni tecaj, porez i gorivo'!$B$12),2)</f>
        <v>10.15</v>
      </c>
      <c r="AF54" s="431">
        <f>ROUND((AF53*'Devizni tecaj, porez i gorivo'!$B$12),2)</f>
        <v>14.45</v>
      </c>
      <c r="AG54" s="431">
        <f>ROUND((AG53*'Devizni tecaj, porez i gorivo'!$B$12),2)</f>
        <v>28.44</v>
      </c>
      <c r="AH54" s="431">
        <f>ROUND((AH53*'Devizni tecaj, porez i gorivo'!$B$12),2)</f>
        <v>7.17</v>
      </c>
      <c r="AI54" s="431">
        <f>ROUND((AI53*'Devizni tecaj, porez i gorivo'!$B$12),2)</f>
        <v>11.65</v>
      </c>
      <c r="AJ54" s="431">
        <f>ROUND((AJ53*'Devizni tecaj, porez i gorivo'!$B$12),2)</f>
        <v>115.79</v>
      </c>
      <c r="AK54" s="431">
        <f>ROUND((AK53*'Devizni tecaj, porez i gorivo'!$B$12),2)</f>
        <v>73.38</v>
      </c>
      <c r="AL54" s="431">
        <f>ROUND((AL53*'Devizni tecaj, porez i gorivo'!$B$12),2)</f>
        <v>22.76</v>
      </c>
      <c r="AM54" s="431">
        <f>ROUND((AM53*'Devizni tecaj, porez i gorivo'!$B$12),2)</f>
        <v>11.9</v>
      </c>
      <c r="AN54" s="431">
        <f>ROUND((AN53*'Devizni tecaj, porez i gorivo'!$B$12),2)</f>
        <v>16.55</v>
      </c>
      <c r="AO54" s="431">
        <f>ROUND((AO53*'Devizni tecaj, porez i gorivo'!$B$12),2)</f>
        <v>15.57</v>
      </c>
      <c r="AP54" s="431">
        <f>ROUND((AP53*'Devizni tecaj, porez i gorivo'!$B$12),2)</f>
        <v>14.92</v>
      </c>
      <c r="AQ54" s="431">
        <f>ROUND((AQ53*'Devizni tecaj, porez i gorivo'!$B$12),2)</f>
        <v>14.29</v>
      </c>
      <c r="AR54" s="431">
        <f>ROUND((AR53*'Devizni tecaj, porez i gorivo'!$B$12),2)</f>
        <v>17.41</v>
      </c>
      <c r="AS54" s="431">
        <f>ROUND((AS53*'Devizni tecaj, porez i gorivo'!$B$12),2)</f>
        <v>7.92</v>
      </c>
      <c r="AT54" s="431">
        <f>ROUND((AT53*'Devizni tecaj, porez i gorivo'!$B$12),2)</f>
        <v>19.02</v>
      </c>
      <c r="AU54" s="431">
        <f>ROUND((AU53*'Devizni tecaj, porez i gorivo'!$B$12),2)</f>
        <v>6.45</v>
      </c>
      <c r="AV54" s="431">
        <f>ROUND((AV53*'Devizni tecaj, porez i gorivo'!$B$12),2)</f>
        <v>57.11</v>
      </c>
      <c r="AW54" s="431">
        <f>ROUND((AW53*'Devizni tecaj, porez i gorivo'!$B$12),2)</f>
        <v>60.1</v>
      </c>
      <c r="AX54" s="431">
        <f>ROUND((AX53*'Devizni tecaj, porez i gorivo'!$B$12),2)</f>
        <v>71.989999999999995</v>
      </c>
      <c r="AY54" s="431">
        <f>ROUND((AY53*'Devizni tecaj, porez i gorivo'!$B$12),2)</f>
        <v>29.44</v>
      </c>
      <c r="AZ54" s="431">
        <f>ROUND((AZ53*'Devizni tecaj, porez i gorivo'!$B$12),2)</f>
        <v>18.04</v>
      </c>
      <c r="BA54" s="431">
        <f>ROUND((BA53*'Devizni tecaj, porez i gorivo'!$B$12),2)</f>
        <v>33.979999999999997</v>
      </c>
      <c r="BB54" s="431">
        <f>ROUND((BB53*'Devizni tecaj, porez i gorivo'!$B$12),2)</f>
        <v>57.14</v>
      </c>
      <c r="BC54" s="431">
        <f>ROUND((BC53*'Devizni tecaj, porez i gorivo'!$B$12),2)</f>
        <v>56.29</v>
      </c>
      <c r="BD54" s="431">
        <f>ROUND((BD53*'Devizni tecaj, porez i gorivo'!$B$12),2)</f>
        <v>41.8</v>
      </c>
      <c r="BE54" s="431">
        <f>ROUND((BE53*'Devizni tecaj, porez i gorivo'!$B$12),2)</f>
        <v>50.47</v>
      </c>
      <c r="BF54" s="431">
        <f>ROUND((BF53*'Devizni tecaj, porez i gorivo'!$B$12),2)</f>
        <v>90.68</v>
      </c>
      <c r="BG54" s="431">
        <f>ROUND((BG53*'Devizni tecaj, porez i gorivo'!$B$12),2)</f>
        <v>13.58</v>
      </c>
      <c r="BH54" s="431">
        <f>ROUND((BH53*'Devizni tecaj, porez i gorivo'!$B$12),2)</f>
        <v>7.88</v>
      </c>
      <c r="BI54" s="431">
        <f>ROUND((BI53*'Devizni tecaj, porez i gorivo'!$B$12),2)</f>
        <v>5.98</v>
      </c>
      <c r="BJ54" s="431">
        <f>ROUND((BJ53*'Devizni tecaj, porez i gorivo'!$B$12),2)</f>
        <v>5.9</v>
      </c>
      <c r="BK54" s="431">
        <f>ROUND((BK53*'Devizni tecaj, porez i gorivo'!$B$12),2)</f>
        <v>27.93</v>
      </c>
      <c r="BL54" s="431">
        <f>ROUND((BL53*'Devizni tecaj, porez i gorivo'!$B$12),2)</f>
        <v>125.87</v>
      </c>
      <c r="BM54" s="431">
        <f>ROUND((BM53*'Devizni tecaj, porez i gorivo'!$B$12),2)</f>
        <v>11.18</v>
      </c>
      <c r="BN54" s="431">
        <f>ROUND((BN53*'Devizni tecaj, porez i gorivo'!$B$12),2)</f>
        <v>77.03</v>
      </c>
      <c r="BO54" s="431">
        <f>ROUND((BO53*'Devizni tecaj, porez i gorivo'!$B$12),2)</f>
        <v>74.42</v>
      </c>
      <c r="BP54" s="431">
        <f>ROUND((BP53*'Devizni tecaj, porez i gorivo'!$B$12),2)</f>
        <v>105.99</v>
      </c>
      <c r="BQ54" s="431">
        <f>ROUND((BQ53*'Devizni tecaj, porez i gorivo'!$B$12),2)</f>
        <v>61.29</v>
      </c>
      <c r="BR54" s="431">
        <f>ROUND((BR53*'Devizni tecaj, porez i gorivo'!$B$12),2)</f>
        <v>11.2</v>
      </c>
      <c r="BS54" s="431">
        <f>ROUND((BS53*'Devizni tecaj, porez i gorivo'!$B$12),2)</f>
        <v>41.1</v>
      </c>
      <c r="BT54" s="431">
        <f>ROUND((BT53*'Devizni tecaj, porez i gorivo'!$B$12),2)</f>
        <v>41.1</v>
      </c>
      <c r="BU54" s="431">
        <f>ROUND((BU53*'Devizni tecaj, porez i gorivo'!$B$12),2)</f>
        <v>23.01</v>
      </c>
      <c r="BV54" s="431">
        <f>ROUND((BV53*'Devizni tecaj, porez i gorivo'!$B$12),2)</f>
        <v>23.01</v>
      </c>
      <c r="BW54" s="431">
        <f>ROUND((BW53*'Devizni tecaj, porez i gorivo'!$B$12),2)</f>
        <v>91.71</v>
      </c>
      <c r="BX54" s="431">
        <f>ROUND((BX53*'Devizni tecaj, porez i gorivo'!$B$12),2)</f>
        <v>13</v>
      </c>
      <c r="BY54" s="431">
        <f>ROUND((BY53*'Devizni tecaj, porez i gorivo'!$B$12),2)</f>
        <v>11.51</v>
      </c>
      <c r="BZ54" s="431">
        <f>ROUND((BZ53*'Devizni tecaj, porez i gorivo'!$B$12),2)</f>
        <v>15</v>
      </c>
      <c r="CA54" s="431">
        <f>ROUND((CA53*'Devizni tecaj, porez i gorivo'!$B$12),2)</f>
        <v>66.39</v>
      </c>
      <c r="CB54" s="431">
        <f>ROUND((CB53*'Devizni tecaj, porez i gorivo'!$B$12),2)</f>
        <v>57.71</v>
      </c>
    </row>
    <row r="55" spans="1:80" ht="18.75">
      <c r="A55" s="432" t="s">
        <v>1137</v>
      </c>
      <c r="B55" s="433">
        <f>ROUND(SUM(B53:B54),2)</f>
        <v>86.04</v>
      </c>
      <c r="C55" s="433">
        <f t="shared" ref="C55:BJ55" si="97">ROUND(SUM(C53:C54),2)</f>
        <v>114.38</v>
      </c>
      <c r="D55" s="433">
        <f t="shared" si="97"/>
        <v>39.340000000000003</v>
      </c>
      <c r="E55" s="434">
        <f t="shared" si="97"/>
        <v>685.79</v>
      </c>
      <c r="F55" s="433">
        <f t="shared" si="97"/>
        <v>776.85</v>
      </c>
      <c r="G55" s="433">
        <f t="shared" si="97"/>
        <v>576.36</v>
      </c>
      <c r="H55" s="433">
        <f t="shared" si="97"/>
        <v>349.21</v>
      </c>
      <c r="I55" s="433">
        <f t="shared" si="97"/>
        <v>44</v>
      </c>
      <c r="J55" s="433">
        <f t="shared" si="97"/>
        <v>229.9</v>
      </c>
      <c r="K55" s="433">
        <f t="shared" si="97"/>
        <v>297.83999999999997</v>
      </c>
      <c r="L55" s="433">
        <f t="shared" si="97"/>
        <v>392.13</v>
      </c>
      <c r="M55" s="433">
        <f t="shared" si="97"/>
        <v>161.58000000000001</v>
      </c>
      <c r="N55" s="433">
        <f t="shared" si="97"/>
        <v>994.41</v>
      </c>
      <c r="O55" s="433">
        <f t="shared" si="97"/>
        <v>436.13</v>
      </c>
      <c r="P55" s="433">
        <f t="shared" si="97"/>
        <v>1050.8</v>
      </c>
      <c r="Q55" s="433">
        <f t="shared" si="97"/>
        <v>447.25</v>
      </c>
      <c r="R55" s="433">
        <f t="shared" si="97"/>
        <v>262.86</v>
      </c>
      <c r="S55" s="433">
        <f t="shared" si="97"/>
        <v>435.54</v>
      </c>
      <c r="T55" s="433">
        <f t="shared" si="97"/>
        <v>525.9</v>
      </c>
      <c r="U55" s="433">
        <f t="shared" si="97"/>
        <v>517.88</v>
      </c>
      <c r="V55" s="433">
        <f t="shared" si="97"/>
        <v>563.5</v>
      </c>
      <c r="W55" s="433">
        <f t="shared" si="97"/>
        <v>1078.93</v>
      </c>
      <c r="X55" s="433">
        <f t="shared" si="97"/>
        <v>148.96</v>
      </c>
      <c r="Y55" s="433">
        <f t="shared" si="97"/>
        <v>95.09</v>
      </c>
      <c r="Z55" s="433">
        <f t="shared" si="97"/>
        <v>39.159999999999997</v>
      </c>
      <c r="AA55" s="433">
        <f t="shared" si="97"/>
        <v>1351.4</v>
      </c>
      <c r="AB55" s="433">
        <f t="shared" si="97"/>
        <v>1075.68</v>
      </c>
      <c r="AC55" s="433">
        <f t="shared" si="97"/>
        <v>131.91</v>
      </c>
      <c r="AD55" s="433">
        <f t="shared" si="97"/>
        <v>391.83</v>
      </c>
      <c r="AE55" s="433">
        <f t="shared" si="97"/>
        <v>50.76</v>
      </c>
      <c r="AF55" s="433">
        <f t="shared" si="97"/>
        <v>72.239999999999995</v>
      </c>
      <c r="AG55" s="433">
        <f t="shared" si="97"/>
        <v>142.19</v>
      </c>
      <c r="AH55" s="433">
        <f t="shared" si="97"/>
        <v>35.86</v>
      </c>
      <c r="AI55" s="433">
        <f t="shared" si="97"/>
        <v>58.24</v>
      </c>
      <c r="AJ55" s="433">
        <f t="shared" si="97"/>
        <v>578.96</v>
      </c>
      <c r="AK55" s="433">
        <f t="shared" si="97"/>
        <v>366.91</v>
      </c>
      <c r="AL55" s="433">
        <f t="shared" si="97"/>
        <v>113.78</v>
      </c>
      <c r="AM55" s="433">
        <f t="shared" si="97"/>
        <v>59.5</v>
      </c>
      <c r="AN55" s="433">
        <f t="shared" si="97"/>
        <v>82.76</v>
      </c>
      <c r="AO55" s="433">
        <f t="shared" si="97"/>
        <v>77.84</v>
      </c>
      <c r="AP55" s="433">
        <f t="shared" si="97"/>
        <v>74.61</v>
      </c>
      <c r="AQ55" s="433">
        <f t="shared" si="97"/>
        <v>71.459999999999994</v>
      </c>
      <c r="AR55" s="433">
        <f t="shared" si="97"/>
        <v>87.06</v>
      </c>
      <c r="AS55" s="433">
        <f t="shared" si="97"/>
        <v>39.6</v>
      </c>
      <c r="AT55" s="433">
        <f t="shared" si="97"/>
        <v>95.09</v>
      </c>
      <c r="AU55" s="433">
        <f t="shared" si="97"/>
        <v>32.25</v>
      </c>
      <c r="AV55" s="433">
        <f t="shared" si="97"/>
        <v>285.52999999999997</v>
      </c>
      <c r="AW55" s="433">
        <f t="shared" si="97"/>
        <v>300.49</v>
      </c>
      <c r="AX55" s="433">
        <f t="shared" si="97"/>
        <v>359.95</v>
      </c>
      <c r="AY55" s="433">
        <f t="shared" si="97"/>
        <v>147.19999999999999</v>
      </c>
      <c r="AZ55" s="433">
        <f t="shared" si="97"/>
        <v>90.19</v>
      </c>
      <c r="BA55" s="433">
        <f t="shared" si="97"/>
        <v>169.88</v>
      </c>
      <c r="BB55" s="433">
        <f t="shared" si="97"/>
        <v>285.68</v>
      </c>
      <c r="BC55" s="433">
        <f t="shared" si="97"/>
        <v>281.45</v>
      </c>
      <c r="BD55" s="433">
        <f>ROUND(SUM(BD53:BD54),2)</f>
        <v>208.98</v>
      </c>
      <c r="BE55" s="433">
        <f t="shared" si="97"/>
        <v>252.35</v>
      </c>
      <c r="BF55" s="433">
        <f t="shared" si="97"/>
        <v>453.4</v>
      </c>
      <c r="BG55" s="433">
        <f t="shared" si="97"/>
        <v>67.88</v>
      </c>
      <c r="BH55" s="433">
        <f t="shared" si="97"/>
        <v>39.4</v>
      </c>
      <c r="BI55" s="433">
        <f t="shared" si="97"/>
        <v>29.91</v>
      </c>
      <c r="BJ55" s="433">
        <f t="shared" si="97"/>
        <v>29.48</v>
      </c>
      <c r="BK55" s="433">
        <f t="shared" ref="BK55:BZ55" si="98">ROUND(SUM(BK53:BK54),2)</f>
        <v>139.66</v>
      </c>
      <c r="BL55" s="433">
        <f t="shared" si="98"/>
        <v>629.34</v>
      </c>
      <c r="BM55" s="433">
        <f t="shared" si="98"/>
        <v>55.89</v>
      </c>
      <c r="BN55" s="433">
        <f t="shared" si="98"/>
        <v>385.14</v>
      </c>
      <c r="BO55" s="433">
        <f t="shared" si="98"/>
        <v>372.11</v>
      </c>
      <c r="BP55" s="433">
        <f t="shared" si="98"/>
        <v>529.96</v>
      </c>
      <c r="BQ55" s="433">
        <f t="shared" si="98"/>
        <v>306.45999999999998</v>
      </c>
      <c r="BR55" s="433">
        <f t="shared" si="98"/>
        <v>56</v>
      </c>
      <c r="BS55" s="433">
        <f t="shared" si="98"/>
        <v>205.48</v>
      </c>
      <c r="BT55" s="433">
        <f t="shared" si="98"/>
        <v>205.48</v>
      </c>
      <c r="BU55" s="433">
        <f>ROUND(SUM(BU53:BU54),2)</f>
        <v>115.06</v>
      </c>
      <c r="BV55" s="433">
        <f>ROUND(SUM(BV53:BV54),2)</f>
        <v>115.06</v>
      </c>
      <c r="BW55" s="433">
        <f t="shared" si="98"/>
        <v>458.55</v>
      </c>
      <c r="BX55" s="433">
        <f t="shared" si="98"/>
        <v>64.98</v>
      </c>
      <c r="BY55" s="433">
        <f t="shared" si="98"/>
        <v>57.54</v>
      </c>
      <c r="BZ55" s="433">
        <f t="shared" si="98"/>
        <v>74.98</v>
      </c>
      <c r="CA55" s="433">
        <f t="shared" ref="CA55" si="99">ROUND(SUM(CA53:CA54),2)</f>
        <v>331.96</v>
      </c>
      <c r="CB55" s="433">
        <f>ROUND(SUM(CB53:CB54),2)</f>
        <v>288.55</v>
      </c>
    </row>
    <row r="56" spans="1:80">
      <c r="A56" s="312"/>
      <c r="E56" s="360"/>
      <c r="AA56" s="360"/>
      <c r="BS56" s="677"/>
      <c r="BT56" s="677"/>
      <c r="BU56" s="677"/>
      <c r="BV56" s="677"/>
    </row>
    <row r="57" spans="1:80">
      <c r="A57" s="312"/>
      <c r="E57" s="360"/>
      <c r="AA57" s="360"/>
      <c r="BS57" s="677"/>
      <c r="BT57" s="677"/>
      <c r="BU57" s="677"/>
      <c r="BV57" s="677"/>
    </row>
    <row r="58" spans="1:80">
      <c r="A58" s="312"/>
      <c r="E58" s="360"/>
      <c r="AA58" s="360"/>
      <c r="BS58" s="677"/>
      <c r="BT58" s="677"/>
      <c r="BU58" s="677"/>
      <c r="BV58" s="677"/>
    </row>
  </sheetData>
  <sheetProtection selectLockedCells="1"/>
  <phoneticPr fontId="1" type="noConversion"/>
  <pageMargins left="0.98425196850393704" right="0.39370078740157483" top="0.39370078740157483" bottom="0.39370078740157483" header="0.19685039370078741" footer="0.19685039370078741"/>
  <pageSetup paperSize="9" scale="95" pageOrder="overThenDown" orientation="portrait" horizontalDpi="300" verticalDpi="300" r:id="rId1"/>
  <headerFooter alignWithMargins="0">
    <oddHeader>&amp;C&amp;8STANDARD REDOVNOG ODRŽAVANJA CESTA 2009.&amp;R&amp;8&amp;D</oddHeader>
    <oddFooter>&amp;L&amp;8&amp;F&amp;C&amp;8&amp;A&amp;R&amp;8&amp;P /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</sheetPr>
  <dimension ref="A1:E36"/>
  <sheetViews>
    <sheetView view="pageLayout" zoomScaleNormal="115" workbookViewId="0">
      <selection activeCell="J25" sqref="J25"/>
    </sheetView>
  </sheetViews>
  <sheetFormatPr defaultRowHeight="12.75"/>
  <cols>
    <col min="1" max="1" width="6.7109375" style="220" customWidth="1"/>
    <col min="2" max="2" width="66.85546875" style="221" customWidth="1"/>
    <col min="3" max="3" width="14.42578125" style="222" customWidth="1"/>
    <col min="4" max="4" width="18.7109375" style="435" hidden="1" customWidth="1"/>
    <col min="5" max="5" width="14.7109375" style="222" hidden="1" customWidth="1"/>
    <col min="6" max="16384" width="9.140625" style="222"/>
  </cols>
  <sheetData>
    <row r="1" spans="1:5" ht="4.9000000000000004" customHeight="1"/>
    <row r="2" spans="1:5" s="437" customFormat="1" ht="14.25" customHeight="1">
      <c r="A2" s="436"/>
      <c r="B2" s="779" t="s">
        <v>1210</v>
      </c>
    </row>
    <row r="3" spans="1:5" ht="20.100000000000001" customHeight="1">
      <c r="A3" s="924"/>
      <c r="B3" s="924"/>
      <c r="C3" s="924"/>
    </row>
    <row r="4" spans="1:5" ht="4.9000000000000004" customHeight="1" thickBot="1">
      <c r="A4" s="227"/>
      <c r="B4" s="226"/>
      <c r="C4" s="226"/>
      <c r="E4" s="226"/>
    </row>
    <row r="5" spans="1:5" s="230" customFormat="1" ht="15.75" customHeight="1" thickBot="1">
      <c r="A5" s="227"/>
      <c r="B5" s="228" t="s">
        <v>853</v>
      </c>
      <c r="C5" s="229" t="s">
        <v>51</v>
      </c>
      <c r="E5" s="438"/>
    </row>
    <row r="6" spans="1:5" ht="12" customHeight="1" thickBot="1">
      <c r="A6" s="227"/>
      <c r="B6" s="226"/>
      <c r="C6" s="226"/>
      <c r="E6" s="226"/>
    </row>
    <row r="7" spans="1:5" ht="12.75" customHeight="1">
      <c r="A7" s="929" t="s">
        <v>855</v>
      </c>
      <c r="B7" s="927" t="s">
        <v>1040</v>
      </c>
      <c r="C7" s="927" t="s">
        <v>1139</v>
      </c>
      <c r="D7" s="925" t="s">
        <v>1140</v>
      </c>
      <c r="E7" s="922" t="s">
        <v>1141</v>
      </c>
    </row>
    <row r="8" spans="1:5" ht="13.5" thickBot="1">
      <c r="A8" s="930"/>
      <c r="B8" s="928"/>
      <c r="C8" s="928"/>
      <c r="D8" s="926"/>
      <c r="E8" s="923"/>
    </row>
    <row r="9" spans="1:5" s="234" customFormat="1" ht="15">
      <c r="A9" s="808" t="str">
        <f>'Nabavna cijena'!$A$7</f>
        <v>1.</v>
      </c>
      <c r="B9" s="236" t="str">
        <f>'Nabavna cijena'!$B$23</f>
        <v>Kamion do 2 t</v>
      </c>
      <c r="C9" s="813">
        <f>'Cijena sata rada'!R$53</f>
        <v>210.29</v>
      </c>
      <c r="D9" s="439">
        <v>39.57</v>
      </c>
      <c r="E9" s="440">
        <v>281.81</v>
      </c>
    </row>
    <row r="10" spans="1:5" s="234" customFormat="1" ht="15">
      <c r="A10" s="809" t="str">
        <f>'Nabavna cijena'!$A$8</f>
        <v>2.</v>
      </c>
      <c r="B10" s="236" t="str">
        <f>'Nabavna cijena'!$B$24</f>
        <v>Teretni automobil nosivosti 3,5 - 12 t</v>
      </c>
      <c r="C10" s="814">
        <f>'Cijena sata rada'!S$53</f>
        <v>348.43</v>
      </c>
      <c r="D10" s="441">
        <v>61.94</v>
      </c>
      <c r="E10" s="440">
        <v>244.21</v>
      </c>
    </row>
    <row r="11" spans="1:5" s="234" customFormat="1" ht="15">
      <c r="A11" s="809" t="str">
        <f>'Nabavna cijena'!$A$9</f>
        <v>3.</v>
      </c>
      <c r="B11" s="236" t="str">
        <f>'Nabavna cijena'!$B$25</f>
        <v>Teretni automobil nosivosti &gt; 12 t</v>
      </c>
      <c r="C11" s="814">
        <f>'Cijena sata rada'!T$53</f>
        <v>420.72</v>
      </c>
      <c r="D11" s="441">
        <v>22.76</v>
      </c>
      <c r="E11" s="440">
        <v>209.15</v>
      </c>
    </row>
    <row r="12" spans="1:5" s="234" customFormat="1" ht="15">
      <c r="A12" s="810" t="str">
        <f>'Nabavna cijena'!$A$10</f>
        <v>4.</v>
      </c>
      <c r="B12" s="789" t="str">
        <f>'Nabavna cijena'!$B$26</f>
        <v>Teretni automobil cisterna</v>
      </c>
      <c r="C12" s="815">
        <f>'Cijena sata rada'!U$53</f>
        <v>414.3</v>
      </c>
      <c r="D12" s="441">
        <v>317.92</v>
      </c>
      <c r="E12" s="440">
        <v>143.02000000000001</v>
      </c>
    </row>
    <row r="13" spans="1:5" s="234" customFormat="1" ht="15">
      <c r="A13" s="811" t="str">
        <f>'Nabavna cijena'!$A$11</f>
        <v>5.</v>
      </c>
      <c r="B13" s="790" t="str">
        <f>'Nabavna cijena'!$B$74</f>
        <v>Teretni automobil nosivosti do 3,5t</v>
      </c>
      <c r="C13" s="804">
        <f>'Cijena sata rada'!BQ$53</f>
        <v>245.17</v>
      </c>
      <c r="D13" s="441">
        <v>271.3</v>
      </c>
      <c r="E13" s="440">
        <v>56.98</v>
      </c>
    </row>
    <row r="14" spans="1:5" ht="18" customHeight="1" thickBot="1">
      <c r="A14" s="812" t="s">
        <v>39</v>
      </c>
      <c r="B14" s="806" t="str">
        <f>'Nabavna cijena'!B75</f>
        <v>Ručni trimer za travu</v>
      </c>
      <c r="C14" s="807">
        <f>'Cijena sata rada'!BR53</f>
        <v>44.8</v>
      </c>
    </row>
    <row r="15" spans="1:5">
      <c r="A15" s="686"/>
      <c r="B15" s="757"/>
      <c r="C15" s="805"/>
    </row>
    <row r="16" spans="1:5">
      <c r="A16" s="686"/>
      <c r="B16" s="906"/>
      <c r="C16" s="907"/>
    </row>
    <row r="17" spans="1:1">
      <c r="A17" s="686"/>
    </row>
    <row r="18" spans="1:1">
      <c r="A18" s="686"/>
    </row>
    <row r="19" spans="1:1">
      <c r="A19" s="686"/>
    </row>
    <row r="20" spans="1:1">
      <c r="A20" s="686"/>
    </row>
    <row r="21" spans="1:1">
      <c r="A21" s="686"/>
    </row>
    <row r="22" spans="1:1">
      <c r="A22" s="686"/>
    </row>
    <row r="23" spans="1:1">
      <c r="A23" s="686"/>
    </row>
    <row r="24" spans="1:1">
      <c r="A24" s="686"/>
    </row>
    <row r="25" spans="1:1">
      <c r="A25" s="686"/>
    </row>
    <row r="26" spans="1:1">
      <c r="A26" s="686"/>
    </row>
    <row r="34" spans="2:3">
      <c r="B34" s="777" t="s">
        <v>1212</v>
      </c>
      <c r="C34" s="778" t="s">
        <v>840</v>
      </c>
    </row>
    <row r="35" spans="2:3">
      <c r="B35" s="906"/>
      <c r="C35" s="907"/>
    </row>
    <row r="36" spans="2:3">
      <c r="B36" s="221" t="s">
        <v>1211</v>
      </c>
      <c r="C36" s="222" t="s">
        <v>1211</v>
      </c>
    </row>
  </sheetData>
  <sheetProtection selectLockedCells="1"/>
  <mergeCells count="8">
    <mergeCell ref="B35:C35"/>
    <mergeCell ref="B16:C16"/>
    <mergeCell ref="E7:E8"/>
    <mergeCell ref="A3:C3"/>
    <mergeCell ref="D7:D8"/>
    <mergeCell ref="C7:C8"/>
    <mergeCell ref="A7:A8"/>
    <mergeCell ref="B7:B8"/>
  </mergeCells>
  <phoneticPr fontId="1" type="noConversion"/>
  <conditionalFormatting sqref="C9:C13">
    <cfRule type="cellIs" dxfId="8" priority="1" stopIfTrue="1" operator="lessThan">
      <formula>#REF!</formula>
    </cfRule>
  </conditionalFormatting>
  <conditionalFormatting sqref="B9:B13">
    <cfRule type="cellIs" dxfId="7" priority="2" stopIfTrue="1" operator="notEqual">
      <formula>#REF!</formula>
    </cfRule>
  </conditionalFormatting>
  <pageMargins left="0.98425196850393704" right="0.39370078740157483" top="0.39370078740157483" bottom="0.39370078740157483" header="0.19685039370078741" footer="0.19685039370078741"/>
  <pageSetup paperSize="9" scale="96" orientation="portrait" horizontalDpi="4294967292" verticalDpi="300" r:id="rId1"/>
  <headerFooter alignWithMargins="0">
    <oddHeader>&amp;L&amp;8PERUŠIĆ d.o.o.&amp;CCJENIK VOZILA, STROJEVA I OPREME - &amp;R&amp;8&amp;D</oddHeader>
    <oddFooter>&amp;L&amp;8&amp;F&amp;R&amp;8&amp;P /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90"/>
  <sheetViews>
    <sheetView view="pageBreakPreview" topLeftCell="A73" zoomScale="115" zoomScaleNormal="85" zoomScaleSheetLayoutView="115" workbookViewId="0">
      <selection activeCell="B89" sqref="B89"/>
    </sheetView>
  </sheetViews>
  <sheetFormatPr defaultRowHeight="12.75"/>
  <cols>
    <col min="1" max="1" width="5.7109375" style="220" customWidth="1"/>
    <col min="2" max="2" width="69" style="221" customWidth="1"/>
    <col min="3" max="3" width="8.7109375" style="222" customWidth="1"/>
    <col min="4" max="4" width="14.140625" style="222" bestFit="1" customWidth="1"/>
    <col min="5" max="5" width="10.28515625" style="659" customWidth="1"/>
    <col min="6" max="6" width="9.140625" style="659"/>
    <col min="7" max="7" width="10.28515625" style="617" customWidth="1"/>
    <col min="8" max="16384" width="9.140625" style="222"/>
  </cols>
  <sheetData>
    <row r="1" spans="1:9" ht="4.9000000000000004" customHeight="1"/>
    <row r="2" spans="1:9" s="225" customFormat="1" ht="4.9000000000000004" customHeight="1">
      <c r="A2" s="223"/>
      <c r="B2" s="224"/>
      <c r="E2" s="660"/>
      <c r="F2" s="660"/>
      <c r="G2" s="618"/>
    </row>
    <row r="3" spans="1:9" ht="20.100000000000001" customHeight="1">
      <c r="A3" s="935" t="s">
        <v>1138</v>
      </c>
      <c r="B3" s="935"/>
      <c r="C3" s="935"/>
    </row>
    <row r="4" spans="1:9" ht="4.9000000000000004" customHeight="1" thickBot="1">
      <c r="A4" s="227"/>
      <c r="B4" s="226"/>
      <c r="C4" s="226"/>
    </row>
    <row r="5" spans="1:9" s="230" customFormat="1" ht="15.75" customHeight="1" thickBot="1">
      <c r="A5" s="227"/>
      <c r="B5" s="228" t="s">
        <v>853</v>
      </c>
      <c r="C5" s="229" t="s">
        <v>51</v>
      </c>
      <c r="D5" s="667"/>
      <c r="E5" s="661"/>
      <c r="F5" s="661"/>
      <c r="G5" s="619"/>
    </row>
    <row r="6" spans="1:9" ht="12" customHeight="1" thickBot="1">
      <c r="A6" s="227"/>
      <c r="B6" s="226"/>
      <c r="C6" s="226"/>
      <c r="D6" s="668"/>
    </row>
    <row r="7" spans="1:9" ht="12.75" customHeight="1">
      <c r="A7" s="938" t="s">
        <v>855</v>
      </c>
      <c r="B7" s="940" t="s">
        <v>1040</v>
      </c>
      <c r="C7" s="936">
        <v>2021</v>
      </c>
      <c r="D7" s="669"/>
      <c r="E7" s="932" t="s">
        <v>1142</v>
      </c>
      <c r="F7" s="934"/>
      <c r="G7" s="931" t="s">
        <v>1143</v>
      </c>
      <c r="H7" s="931" t="s">
        <v>1144</v>
      </c>
      <c r="I7" s="931" t="s">
        <v>1145</v>
      </c>
    </row>
    <row r="8" spans="1:9" ht="27" customHeight="1" thickBot="1">
      <c r="A8" s="939"/>
      <c r="B8" s="941"/>
      <c r="C8" s="937"/>
      <c r="D8" s="666">
        <v>1.05</v>
      </c>
      <c r="E8" s="933"/>
      <c r="F8" s="934"/>
      <c r="G8" s="931"/>
      <c r="H8" s="931"/>
      <c r="I8" s="931"/>
    </row>
    <row r="9" spans="1:9" s="234" customFormat="1" ht="15">
      <c r="A9" s="231" t="s">
        <v>8</v>
      </c>
      <c r="B9" s="232" t="s">
        <v>52</v>
      </c>
      <c r="C9" s="233">
        <f>ROUND(G9*$D$8,2)</f>
        <v>59.43</v>
      </c>
      <c r="E9" s="662">
        <v>64.59</v>
      </c>
      <c r="F9" s="663">
        <f>C9/E9</f>
        <v>0.92011147236414303</v>
      </c>
      <c r="G9" s="657">
        <v>56.6</v>
      </c>
      <c r="H9" s="656">
        <f>C9/G9</f>
        <v>1.05</v>
      </c>
      <c r="I9" s="656">
        <f>E9/G9</f>
        <v>1.141166077738516</v>
      </c>
    </row>
    <row r="10" spans="1:9" s="234" customFormat="1" ht="15">
      <c r="A10" s="235" t="s">
        <v>17</v>
      </c>
      <c r="B10" s="236" t="s">
        <v>1050</v>
      </c>
      <c r="C10" s="237">
        <f t="shared" ref="C10:C73" si="0">ROUND(G10*$D$8,2)</f>
        <v>69.66</v>
      </c>
      <c r="E10" s="664">
        <v>85.56</v>
      </c>
      <c r="F10" s="663">
        <f t="shared" ref="F10:F73" si="1">C10/E10</f>
        <v>0.81416549789621318</v>
      </c>
      <c r="G10" s="657">
        <v>66.34</v>
      </c>
      <c r="H10" s="656">
        <f t="shared" ref="H10:H73" si="2">C10/G10</f>
        <v>1.0500452215857701</v>
      </c>
      <c r="I10" s="656">
        <f t="shared" ref="I10:I73" si="3">E10/G10</f>
        <v>1.2897196261682242</v>
      </c>
    </row>
    <row r="11" spans="1:9" s="234" customFormat="1" ht="15">
      <c r="A11" s="235" t="s">
        <v>23</v>
      </c>
      <c r="B11" s="236" t="s">
        <v>1051</v>
      </c>
      <c r="C11" s="237">
        <f t="shared" si="0"/>
        <v>33.04</v>
      </c>
      <c r="E11" s="664">
        <v>31.47</v>
      </c>
      <c r="F11" s="663">
        <f t="shared" si="1"/>
        <v>1.049888782967906</v>
      </c>
      <c r="G11" s="657">
        <v>31.47</v>
      </c>
      <c r="H11" s="656">
        <f t="shared" si="2"/>
        <v>1.049888782967906</v>
      </c>
      <c r="I11" s="656">
        <f t="shared" si="3"/>
        <v>1</v>
      </c>
    </row>
    <row r="12" spans="1:9" s="234" customFormat="1" ht="15">
      <c r="A12" s="235" t="s">
        <v>27</v>
      </c>
      <c r="B12" s="236" t="s">
        <v>172</v>
      </c>
      <c r="C12" s="237">
        <f t="shared" si="0"/>
        <v>447.37</v>
      </c>
      <c r="E12" s="664">
        <v>498.07</v>
      </c>
      <c r="F12" s="663">
        <f t="shared" si="1"/>
        <v>0.89820707932619914</v>
      </c>
      <c r="G12" s="657">
        <v>426.07</v>
      </c>
      <c r="H12" s="656">
        <f t="shared" si="2"/>
        <v>1.0499917853873777</v>
      </c>
      <c r="I12" s="656">
        <f t="shared" si="3"/>
        <v>1.1689863168024033</v>
      </c>
    </row>
    <row r="13" spans="1:9" s="234" customFormat="1" ht="15">
      <c r="A13" s="235" t="s">
        <v>31</v>
      </c>
      <c r="B13" s="236" t="s">
        <v>818</v>
      </c>
      <c r="C13" s="237">
        <f t="shared" si="0"/>
        <v>605.15</v>
      </c>
      <c r="E13" s="664">
        <v>396.93</v>
      </c>
      <c r="F13" s="663">
        <f t="shared" si="1"/>
        <v>1.5245761217343108</v>
      </c>
      <c r="G13" s="657">
        <v>576.33000000000004</v>
      </c>
      <c r="H13" s="656">
        <f t="shared" si="2"/>
        <v>1.0500060729096177</v>
      </c>
      <c r="I13" s="656">
        <f t="shared" si="3"/>
        <v>0.68872000416428081</v>
      </c>
    </row>
    <row r="14" spans="1:9" s="234" customFormat="1" ht="15">
      <c r="A14" s="235" t="s">
        <v>39</v>
      </c>
      <c r="B14" s="236" t="s">
        <v>217</v>
      </c>
      <c r="C14" s="237">
        <f t="shared" si="0"/>
        <v>367.61</v>
      </c>
      <c r="E14" s="664">
        <v>418.17</v>
      </c>
      <c r="F14" s="663">
        <f t="shared" si="1"/>
        <v>0.87909223521534308</v>
      </c>
      <c r="G14" s="657">
        <v>350.1</v>
      </c>
      <c r="H14" s="656">
        <f t="shared" si="2"/>
        <v>1.0500142816338189</v>
      </c>
      <c r="I14" s="656">
        <f t="shared" si="3"/>
        <v>1.1944301628106255</v>
      </c>
    </row>
    <row r="15" spans="1:9" s="234" customFormat="1" ht="15">
      <c r="A15" s="235" t="s">
        <v>561</v>
      </c>
      <c r="B15" s="236" t="s">
        <v>97</v>
      </c>
      <c r="C15" s="681">
        <f>'Cijena sata rada'!H53</f>
        <v>279.37</v>
      </c>
      <c r="D15" s="680"/>
      <c r="E15" s="664">
        <v>246.7</v>
      </c>
      <c r="F15" s="663">
        <f t="shared" si="1"/>
        <v>1.132428050263478</v>
      </c>
      <c r="G15" s="657">
        <v>217.45</v>
      </c>
      <c r="H15" s="656">
        <f t="shared" si="2"/>
        <v>1.2847551161186481</v>
      </c>
      <c r="I15" s="656">
        <f t="shared" si="3"/>
        <v>1.1345136813060475</v>
      </c>
    </row>
    <row r="16" spans="1:9" s="234" customFormat="1" ht="15">
      <c r="A16" s="235" t="s">
        <v>615</v>
      </c>
      <c r="B16" s="236" t="s">
        <v>454</v>
      </c>
      <c r="C16" s="237">
        <f t="shared" si="0"/>
        <v>82.31</v>
      </c>
      <c r="E16" s="664">
        <v>53.9</v>
      </c>
      <c r="F16" s="663">
        <f t="shared" si="1"/>
        <v>1.5270871985157701</v>
      </c>
      <c r="G16" s="657">
        <v>78.39</v>
      </c>
      <c r="H16" s="656">
        <f t="shared" si="2"/>
        <v>1.0500063783645874</v>
      </c>
      <c r="I16" s="656">
        <f t="shared" si="3"/>
        <v>0.68758770251307566</v>
      </c>
    </row>
    <row r="17" spans="1:9" s="234" customFormat="1" ht="15">
      <c r="A17" s="235" t="s">
        <v>728</v>
      </c>
      <c r="B17" s="236" t="s">
        <v>182</v>
      </c>
      <c r="C17" s="237">
        <f t="shared" si="0"/>
        <v>151.94999999999999</v>
      </c>
      <c r="E17" s="664">
        <v>159.19</v>
      </c>
      <c r="F17" s="663">
        <f t="shared" si="1"/>
        <v>0.95451975626609709</v>
      </c>
      <c r="G17" s="657">
        <v>144.71</v>
      </c>
      <c r="H17" s="656">
        <f t="shared" si="2"/>
        <v>1.0500310966761106</v>
      </c>
      <c r="I17" s="656">
        <f t="shared" si="3"/>
        <v>1.1000621933522217</v>
      </c>
    </row>
    <row r="18" spans="1:9" s="234" customFormat="1" ht="15">
      <c r="A18" s="235" t="s">
        <v>762</v>
      </c>
      <c r="B18" s="236" t="s">
        <v>79</v>
      </c>
      <c r="C18" s="237">
        <f t="shared" si="0"/>
        <v>199.57</v>
      </c>
      <c r="E18" s="664">
        <v>211.41</v>
      </c>
      <c r="F18" s="663">
        <f t="shared" si="1"/>
        <v>0.94399508064897586</v>
      </c>
      <c r="G18" s="657">
        <v>190.07</v>
      </c>
      <c r="H18" s="656">
        <f t="shared" si="2"/>
        <v>1.0499815857315726</v>
      </c>
      <c r="I18" s="656">
        <f t="shared" si="3"/>
        <v>1.112274425211764</v>
      </c>
    </row>
    <row r="19" spans="1:9" s="234" customFormat="1" ht="15">
      <c r="A19" s="235" t="s">
        <v>833</v>
      </c>
      <c r="B19" s="236" t="s">
        <v>88</v>
      </c>
      <c r="C19" s="237">
        <f t="shared" si="0"/>
        <v>269.36</v>
      </c>
      <c r="E19" s="664">
        <v>284.73</v>
      </c>
      <c r="F19" s="663">
        <f t="shared" si="1"/>
        <v>0.94601903557756473</v>
      </c>
      <c r="G19" s="657">
        <v>256.52999999999997</v>
      </c>
      <c r="H19" s="656">
        <f t="shared" si="2"/>
        <v>1.0500136436284258</v>
      </c>
      <c r="I19" s="656">
        <f t="shared" si="3"/>
        <v>1.1099286633142325</v>
      </c>
    </row>
    <row r="20" spans="1:9" s="234" customFormat="1" ht="15">
      <c r="A20" s="235" t="s">
        <v>866</v>
      </c>
      <c r="B20" s="236" t="s">
        <v>70</v>
      </c>
      <c r="C20" s="237">
        <f t="shared" si="0"/>
        <v>99.33</v>
      </c>
      <c r="E20" s="664">
        <v>107.08</v>
      </c>
      <c r="F20" s="663">
        <f t="shared" si="1"/>
        <v>0.92762420620097119</v>
      </c>
      <c r="G20" s="657">
        <v>94.6</v>
      </c>
      <c r="H20" s="656">
        <f t="shared" si="2"/>
        <v>1.05</v>
      </c>
      <c r="I20" s="656">
        <f t="shared" si="3"/>
        <v>1.131923890063425</v>
      </c>
    </row>
    <row r="21" spans="1:9" s="234" customFormat="1" ht="15">
      <c r="A21" s="235" t="s">
        <v>868</v>
      </c>
      <c r="B21" s="236" t="s">
        <v>75</v>
      </c>
      <c r="C21" s="237">
        <f t="shared" si="0"/>
        <v>718.97</v>
      </c>
      <c r="E21" s="664">
        <v>732.42</v>
      </c>
      <c r="F21" s="663">
        <f t="shared" si="1"/>
        <v>0.98163621965538905</v>
      </c>
      <c r="G21" s="657">
        <v>684.73</v>
      </c>
      <c r="H21" s="656">
        <f t="shared" si="2"/>
        <v>1.0500051115038045</v>
      </c>
      <c r="I21" s="656">
        <f t="shared" si="3"/>
        <v>1.0696478904093583</v>
      </c>
    </row>
    <row r="22" spans="1:9" s="234" customFormat="1" ht="15">
      <c r="A22" s="235" t="s">
        <v>870</v>
      </c>
      <c r="B22" s="236" t="s">
        <v>87</v>
      </c>
      <c r="C22" s="237">
        <f t="shared" si="0"/>
        <v>240.85</v>
      </c>
      <c r="E22" s="664">
        <v>295.52</v>
      </c>
      <c r="F22" s="663">
        <f t="shared" si="1"/>
        <v>0.81500406063887387</v>
      </c>
      <c r="G22" s="657">
        <v>229.38</v>
      </c>
      <c r="H22" s="656">
        <f t="shared" si="2"/>
        <v>1.0500043595779929</v>
      </c>
      <c r="I22" s="656">
        <f t="shared" si="3"/>
        <v>1.2883424884471182</v>
      </c>
    </row>
    <row r="23" spans="1:9" s="234" customFormat="1" ht="15">
      <c r="A23" s="235" t="s">
        <v>877</v>
      </c>
      <c r="B23" s="236" t="s">
        <v>104</v>
      </c>
      <c r="C23" s="237">
        <f t="shared" si="0"/>
        <v>693.43</v>
      </c>
      <c r="E23" s="664">
        <v>788.12</v>
      </c>
      <c r="F23" s="663">
        <f t="shared" si="1"/>
        <v>0.87985332182916298</v>
      </c>
      <c r="G23" s="657">
        <v>660.41</v>
      </c>
      <c r="H23" s="656">
        <f t="shared" si="2"/>
        <v>1.0499992428945655</v>
      </c>
      <c r="I23" s="656">
        <f t="shared" si="3"/>
        <v>1.1933798700807074</v>
      </c>
    </row>
    <row r="24" spans="1:9" s="234" customFormat="1" ht="15">
      <c r="A24" s="235" t="s">
        <v>879</v>
      </c>
      <c r="B24" s="236" t="s">
        <v>1061</v>
      </c>
      <c r="C24" s="237">
        <f t="shared" si="0"/>
        <v>289.01</v>
      </c>
      <c r="E24" s="664">
        <v>320.23</v>
      </c>
      <c r="F24" s="663">
        <f t="shared" si="1"/>
        <v>0.90250757268213466</v>
      </c>
      <c r="G24" s="657">
        <v>275.25</v>
      </c>
      <c r="H24" s="656">
        <f t="shared" si="2"/>
        <v>1.0499909173478656</v>
      </c>
      <c r="I24" s="656">
        <f t="shared" si="3"/>
        <v>1.1634150772025431</v>
      </c>
    </row>
    <row r="25" spans="1:9" s="234" customFormat="1" ht="15">
      <c r="A25" s="235" t="s">
        <v>880</v>
      </c>
      <c r="B25" s="236" t="s">
        <v>1062</v>
      </c>
      <c r="C25" s="237">
        <f t="shared" si="0"/>
        <v>162.57</v>
      </c>
      <c r="E25" s="664">
        <v>180.67</v>
      </c>
      <c r="F25" s="663">
        <f t="shared" si="1"/>
        <v>0.89981734654342171</v>
      </c>
      <c r="G25" s="657">
        <v>154.83000000000001</v>
      </c>
      <c r="H25" s="656">
        <f t="shared" si="2"/>
        <v>1.0499903119550473</v>
      </c>
      <c r="I25" s="656">
        <f t="shared" si="3"/>
        <v>1.1668927210488922</v>
      </c>
    </row>
    <row r="26" spans="1:9" s="234" customFormat="1" ht="15">
      <c r="A26" s="235" t="s">
        <v>881</v>
      </c>
      <c r="B26" s="236" t="s">
        <v>73</v>
      </c>
      <c r="C26" s="237">
        <f t="shared" si="0"/>
        <v>291.72000000000003</v>
      </c>
      <c r="E26" s="664">
        <v>311.17</v>
      </c>
      <c r="F26" s="663">
        <f t="shared" si="1"/>
        <v>0.93749397435485426</v>
      </c>
      <c r="G26" s="657">
        <v>277.83</v>
      </c>
      <c r="H26" s="656">
        <f t="shared" si="2"/>
        <v>1.0499946010150094</v>
      </c>
      <c r="I26" s="656">
        <f t="shared" si="3"/>
        <v>1.120001439729331</v>
      </c>
    </row>
    <row r="27" spans="1:9" s="234" customFormat="1" ht="15">
      <c r="A27" s="235" t="s">
        <v>882</v>
      </c>
      <c r="B27" s="236" t="s">
        <v>74</v>
      </c>
      <c r="C27" s="237">
        <f t="shared" si="0"/>
        <v>355.64</v>
      </c>
      <c r="E27" s="664">
        <v>380.41</v>
      </c>
      <c r="F27" s="663">
        <f t="shared" si="1"/>
        <v>0.93488604400515218</v>
      </c>
      <c r="G27" s="657">
        <v>338.7</v>
      </c>
      <c r="H27" s="656">
        <f t="shared" si="2"/>
        <v>1.0500147623265426</v>
      </c>
      <c r="I27" s="656">
        <f t="shared" si="3"/>
        <v>1.1231473280188959</v>
      </c>
    </row>
    <row r="28" spans="1:9" s="234" customFormat="1" ht="15">
      <c r="A28" s="235" t="s">
        <v>883</v>
      </c>
      <c r="B28" s="236" t="s">
        <v>63</v>
      </c>
      <c r="C28" s="237">
        <f t="shared" si="0"/>
        <v>313.64</v>
      </c>
      <c r="E28" s="664">
        <v>373.99</v>
      </c>
      <c r="F28" s="663">
        <f t="shared" si="1"/>
        <v>0.83863204898526689</v>
      </c>
      <c r="G28" s="657">
        <v>298.7</v>
      </c>
      <c r="H28" s="656">
        <f t="shared" si="2"/>
        <v>1.0500167392032138</v>
      </c>
      <c r="I28" s="656">
        <f t="shared" si="3"/>
        <v>1.2520589219953131</v>
      </c>
    </row>
    <row r="29" spans="1:9" s="234" customFormat="1" ht="15.75" customHeight="1">
      <c r="A29" s="235" t="s">
        <v>884</v>
      </c>
      <c r="B29" s="236" t="s">
        <v>417</v>
      </c>
      <c r="C29" s="237">
        <f t="shared" si="0"/>
        <v>357.84</v>
      </c>
      <c r="E29" s="664">
        <v>407.94</v>
      </c>
      <c r="F29" s="663">
        <f t="shared" si="1"/>
        <v>0.87718782173849086</v>
      </c>
      <c r="G29" s="657">
        <v>340.8</v>
      </c>
      <c r="H29" s="656">
        <f t="shared" si="2"/>
        <v>1.0499999999999998</v>
      </c>
      <c r="I29" s="656">
        <f t="shared" si="3"/>
        <v>1.1970070422535211</v>
      </c>
    </row>
    <row r="30" spans="1:9" s="234" customFormat="1" ht="15">
      <c r="A30" s="235" t="s">
        <v>886</v>
      </c>
      <c r="B30" s="236" t="s">
        <v>1065</v>
      </c>
      <c r="C30" s="237">
        <f t="shared" si="0"/>
        <v>707.84</v>
      </c>
      <c r="E30" s="664">
        <v>820.28</v>
      </c>
      <c r="F30" s="663">
        <f t="shared" si="1"/>
        <v>0.86292485492758575</v>
      </c>
      <c r="G30" s="657">
        <v>674.13</v>
      </c>
      <c r="H30" s="656">
        <f t="shared" si="2"/>
        <v>1.0500051918769377</v>
      </c>
      <c r="I30" s="656">
        <f t="shared" si="3"/>
        <v>1.2167979469835195</v>
      </c>
    </row>
    <row r="31" spans="1:9" s="234" customFormat="1" ht="15">
      <c r="A31" s="235" t="s">
        <v>888</v>
      </c>
      <c r="B31" s="236" t="s">
        <v>81</v>
      </c>
      <c r="C31" s="237">
        <f t="shared" si="0"/>
        <v>107.11</v>
      </c>
      <c r="E31" s="664">
        <v>119.17</v>
      </c>
      <c r="F31" s="663">
        <f t="shared" si="1"/>
        <v>0.89880003356549465</v>
      </c>
      <c r="G31" s="657">
        <v>102.01</v>
      </c>
      <c r="H31" s="656">
        <f t="shared" si="2"/>
        <v>1.0499950985197528</v>
      </c>
      <c r="I31" s="656">
        <f t="shared" si="3"/>
        <v>1.1682188020782276</v>
      </c>
    </row>
    <row r="32" spans="1:9" s="234" customFormat="1" ht="15">
      <c r="A32" s="235" t="s">
        <v>889</v>
      </c>
      <c r="B32" s="236" t="s">
        <v>80</v>
      </c>
      <c r="C32" s="237">
        <f t="shared" si="0"/>
        <v>68.709999999999994</v>
      </c>
      <c r="E32" s="664">
        <v>76.069999999999993</v>
      </c>
      <c r="F32" s="663">
        <f t="shared" si="1"/>
        <v>0.90324700933350865</v>
      </c>
      <c r="G32" s="657">
        <v>65.44</v>
      </c>
      <c r="H32" s="656">
        <f t="shared" si="2"/>
        <v>1.0499694376528117</v>
      </c>
      <c r="I32" s="656">
        <f t="shared" si="3"/>
        <v>1.1624388753056234</v>
      </c>
    </row>
    <row r="33" spans="1:9" s="234" customFormat="1" ht="15">
      <c r="A33" s="235" t="s">
        <v>890</v>
      </c>
      <c r="B33" s="236" t="s">
        <v>183</v>
      </c>
      <c r="C33" s="237">
        <f t="shared" si="0"/>
        <v>32.9</v>
      </c>
      <c r="E33" s="664">
        <v>31.33</v>
      </c>
      <c r="F33" s="663">
        <f t="shared" si="1"/>
        <v>1.050111714012129</v>
      </c>
      <c r="G33" s="657">
        <v>31.33</v>
      </c>
      <c r="H33" s="656">
        <f t="shared" si="2"/>
        <v>1.050111714012129</v>
      </c>
      <c r="I33" s="656">
        <f t="shared" si="3"/>
        <v>1</v>
      </c>
    </row>
    <row r="34" spans="1:9" s="234" customFormat="1" ht="15">
      <c r="A34" s="235" t="s">
        <v>891</v>
      </c>
      <c r="B34" s="236" t="s">
        <v>192</v>
      </c>
      <c r="C34" s="237">
        <f t="shared" si="0"/>
        <v>899.51</v>
      </c>
      <c r="E34" s="664">
        <v>1033.1099999999999</v>
      </c>
      <c r="F34" s="663">
        <f t="shared" si="1"/>
        <v>0.87068172798637133</v>
      </c>
      <c r="G34" s="657">
        <v>856.68</v>
      </c>
      <c r="H34" s="656">
        <f t="shared" si="2"/>
        <v>1.0499953308119718</v>
      </c>
      <c r="I34" s="656">
        <f t="shared" si="3"/>
        <v>1.205946210953915</v>
      </c>
    </row>
    <row r="35" spans="1:9" s="234" customFormat="1" ht="15">
      <c r="A35" s="235" t="s">
        <v>894</v>
      </c>
      <c r="B35" s="236" t="s">
        <v>813</v>
      </c>
      <c r="C35" s="681">
        <f>'Cijena sata rada'!AB53</f>
        <v>860.54</v>
      </c>
      <c r="D35" s="680"/>
      <c r="E35" s="664">
        <v>826.17</v>
      </c>
      <c r="F35" s="663">
        <f t="shared" si="1"/>
        <v>1.0416016074173595</v>
      </c>
      <c r="G35" s="657">
        <v>587.89</v>
      </c>
      <c r="H35" s="656">
        <f t="shared" si="2"/>
        <v>1.4637772372382589</v>
      </c>
      <c r="I35" s="656">
        <f t="shared" si="3"/>
        <v>1.4053139192706119</v>
      </c>
    </row>
    <row r="36" spans="1:9" s="234" customFormat="1" ht="15">
      <c r="A36" s="235" t="s">
        <v>896</v>
      </c>
      <c r="B36" s="236" t="s">
        <v>805</v>
      </c>
      <c r="C36" s="237">
        <f t="shared" si="0"/>
        <v>92.68</v>
      </c>
      <c r="E36" s="664">
        <v>105.53</v>
      </c>
      <c r="F36" s="663">
        <f t="shared" si="1"/>
        <v>0.87823367762721505</v>
      </c>
      <c r="G36" s="657">
        <v>88.27</v>
      </c>
      <c r="H36" s="656">
        <f t="shared" si="2"/>
        <v>1.0499603489294211</v>
      </c>
      <c r="I36" s="656">
        <f t="shared" si="3"/>
        <v>1.195536422340546</v>
      </c>
    </row>
    <row r="37" spans="1:9" s="234" customFormat="1" ht="15">
      <c r="A37" s="235" t="s">
        <v>898</v>
      </c>
      <c r="B37" s="236" t="s">
        <v>829</v>
      </c>
      <c r="C37" s="237">
        <f t="shared" si="0"/>
        <v>265.62</v>
      </c>
      <c r="E37" s="664">
        <v>291.77</v>
      </c>
      <c r="F37" s="663">
        <f t="shared" si="1"/>
        <v>0.9103746101381226</v>
      </c>
      <c r="G37" s="657">
        <v>252.97</v>
      </c>
      <c r="H37" s="656">
        <f t="shared" si="2"/>
        <v>1.0500059295568644</v>
      </c>
      <c r="I37" s="656">
        <f t="shared" si="3"/>
        <v>1.1533778708937819</v>
      </c>
    </row>
    <row r="38" spans="1:9" s="234" customFormat="1" ht="15">
      <c r="A38" s="235" t="s">
        <v>900</v>
      </c>
      <c r="B38" s="236" t="s">
        <v>804</v>
      </c>
      <c r="C38" s="237">
        <f t="shared" si="0"/>
        <v>35.67</v>
      </c>
      <c r="E38" s="664">
        <v>40.61</v>
      </c>
      <c r="F38" s="663">
        <f t="shared" si="1"/>
        <v>0.87835508495444481</v>
      </c>
      <c r="G38" s="657">
        <v>33.97</v>
      </c>
      <c r="H38" s="656">
        <f t="shared" si="2"/>
        <v>1.0500441566087726</v>
      </c>
      <c r="I38" s="656">
        <f t="shared" si="3"/>
        <v>1.1954665881660289</v>
      </c>
    </row>
    <row r="39" spans="1:9" s="234" customFormat="1" ht="15">
      <c r="A39" s="235" t="s">
        <v>902</v>
      </c>
      <c r="B39" s="236" t="s">
        <v>795</v>
      </c>
      <c r="C39" s="237">
        <f t="shared" si="0"/>
        <v>60.68</v>
      </c>
      <c r="E39" s="664">
        <v>57.79</v>
      </c>
      <c r="F39" s="663">
        <f t="shared" si="1"/>
        <v>1.0500086520159198</v>
      </c>
      <c r="G39" s="657">
        <v>57.79</v>
      </c>
      <c r="H39" s="656">
        <f t="shared" si="2"/>
        <v>1.0500086520159198</v>
      </c>
      <c r="I39" s="656">
        <f t="shared" si="3"/>
        <v>1</v>
      </c>
    </row>
    <row r="40" spans="1:9" s="234" customFormat="1" ht="15">
      <c r="A40" s="235" t="s">
        <v>904</v>
      </c>
      <c r="B40" s="236" t="s">
        <v>796</v>
      </c>
      <c r="C40" s="237">
        <f t="shared" si="0"/>
        <v>119.44</v>
      </c>
      <c r="E40" s="664">
        <v>113.75</v>
      </c>
      <c r="F40" s="663">
        <f t="shared" si="1"/>
        <v>1.0500219780219779</v>
      </c>
      <c r="G40" s="657">
        <v>113.75</v>
      </c>
      <c r="H40" s="656">
        <f t="shared" si="2"/>
        <v>1.0500219780219779</v>
      </c>
      <c r="I40" s="656">
        <f t="shared" si="3"/>
        <v>1</v>
      </c>
    </row>
    <row r="41" spans="1:9" s="234" customFormat="1" ht="15">
      <c r="A41" s="235" t="s">
        <v>906</v>
      </c>
      <c r="B41" s="236" t="s">
        <v>797</v>
      </c>
      <c r="C41" s="237">
        <f t="shared" si="0"/>
        <v>25.36</v>
      </c>
      <c r="E41" s="664">
        <v>28.69</v>
      </c>
      <c r="F41" s="663">
        <f t="shared" si="1"/>
        <v>0.88393168351341922</v>
      </c>
      <c r="G41" s="657">
        <v>24.15</v>
      </c>
      <c r="H41" s="656">
        <f t="shared" si="2"/>
        <v>1.0501035196687372</v>
      </c>
      <c r="I41" s="656">
        <f t="shared" si="3"/>
        <v>1.1879917184265012</v>
      </c>
    </row>
    <row r="42" spans="1:9" s="234" customFormat="1" ht="15">
      <c r="A42" s="235" t="s">
        <v>908</v>
      </c>
      <c r="B42" s="236" t="s">
        <v>792</v>
      </c>
      <c r="C42" s="237">
        <f t="shared" si="0"/>
        <v>40.92</v>
      </c>
      <c r="E42" s="664">
        <v>46.59</v>
      </c>
      <c r="F42" s="663">
        <f t="shared" si="1"/>
        <v>0.87830006439150032</v>
      </c>
      <c r="G42" s="657">
        <v>38.97</v>
      </c>
      <c r="H42" s="656">
        <f t="shared" si="2"/>
        <v>1.0500384911470362</v>
      </c>
      <c r="I42" s="656">
        <f t="shared" si="3"/>
        <v>1.195535026943803</v>
      </c>
    </row>
    <row r="43" spans="1:9" s="234" customFormat="1" ht="15">
      <c r="A43" s="235" t="s">
        <v>910</v>
      </c>
      <c r="B43" s="236" t="s">
        <v>60</v>
      </c>
      <c r="C43" s="237">
        <f t="shared" si="0"/>
        <v>328.73</v>
      </c>
      <c r="E43" s="664">
        <v>425.39</v>
      </c>
      <c r="F43" s="663">
        <f t="shared" si="1"/>
        <v>0.7727732198688263</v>
      </c>
      <c r="G43" s="657">
        <v>313.08</v>
      </c>
      <c r="H43" s="656">
        <f t="shared" si="2"/>
        <v>1.0499872237127892</v>
      </c>
      <c r="I43" s="656">
        <f t="shared" si="3"/>
        <v>1.3587262041650696</v>
      </c>
    </row>
    <row r="44" spans="1:9" s="234" customFormat="1" ht="15">
      <c r="A44" s="235" t="s">
        <v>912</v>
      </c>
      <c r="B44" s="236" t="s">
        <v>570</v>
      </c>
      <c r="C44" s="681">
        <f>'Cijena sata rada'!AK53</f>
        <v>293.52999999999997</v>
      </c>
      <c r="D44" s="682"/>
      <c r="E44" s="664">
        <v>240.05</v>
      </c>
      <c r="F44" s="663">
        <f t="shared" si="1"/>
        <v>1.2227869193917933</v>
      </c>
      <c r="G44" s="657">
        <v>199.49</v>
      </c>
      <c r="H44" s="656">
        <f t="shared" si="2"/>
        <v>1.4714020752919943</v>
      </c>
      <c r="I44" s="656">
        <f t="shared" si="3"/>
        <v>1.2033184620782997</v>
      </c>
    </row>
    <row r="45" spans="1:9" s="234" customFormat="1" ht="15">
      <c r="A45" s="235" t="s">
        <v>914</v>
      </c>
      <c r="B45" s="236" t="s">
        <v>1068</v>
      </c>
      <c r="C45" s="237">
        <f t="shared" si="0"/>
        <v>79.95</v>
      </c>
      <c r="E45" s="664">
        <v>91.02</v>
      </c>
      <c r="F45" s="663">
        <f t="shared" si="1"/>
        <v>0.8783783783783784</v>
      </c>
      <c r="G45" s="657">
        <v>76.14</v>
      </c>
      <c r="H45" s="656">
        <f t="shared" si="2"/>
        <v>1.050039401103231</v>
      </c>
      <c r="I45" s="656">
        <f t="shared" si="3"/>
        <v>1.1954294720252165</v>
      </c>
    </row>
    <row r="46" spans="1:9" s="234" customFormat="1" ht="15">
      <c r="A46" s="235" t="s">
        <v>916</v>
      </c>
      <c r="B46" s="236" t="s">
        <v>1069</v>
      </c>
      <c r="C46" s="237">
        <f t="shared" si="0"/>
        <v>41.81</v>
      </c>
      <c r="E46" s="664">
        <v>47.6</v>
      </c>
      <c r="F46" s="663">
        <f t="shared" si="1"/>
        <v>0.87836134453781511</v>
      </c>
      <c r="G46" s="657">
        <v>39.82</v>
      </c>
      <c r="H46" s="656">
        <f t="shared" si="2"/>
        <v>1.0499748869914616</v>
      </c>
      <c r="I46" s="656">
        <f t="shared" si="3"/>
        <v>1.1953792064289301</v>
      </c>
    </row>
    <row r="47" spans="1:9" s="234" customFormat="1" ht="15">
      <c r="A47" s="235" t="s">
        <v>918</v>
      </c>
      <c r="B47" s="236" t="s">
        <v>575</v>
      </c>
      <c r="C47" s="237">
        <f t="shared" si="0"/>
        <v>69.52</v>
      </c>
      <c r="E47" s="664">
        <v>66.209999999999994</v>
      </c>
      <c r="F47" s="663">
        <f t="shared" si="1"/>
        <v>1.049992448270654</v>
      </c>
      <c r="G47" s="657">
        <v>66.209999999999994</v>
      </c>
      <c r="H47" s="656">
        <f t="shared" si="2"/>
        <v>1.049992448270654</v>
      </c>
      <c r="I47" s="656">
        <f t="shared" si="3"/>
        <v>1</v>
      </c>
    </row>
    <row r="48" spans="1:9" s="234" customFormat="1" ht="15">
      <c r="A48" s="235" t="s">
        <v>920</v>
      </c>
      <c r="B48" s="236" t="s">
        <v>576</v>
      </c>
      <c r="C48" s="237">
        <f t="shared" si="0"/>
        <v>65.38</v>
      </c>
      <c r="E48" s="664">
        <v>62.27</v>
      </c>
      <c r="F48" s="663">
        <f t="shared" si="1"/>
        <v>1.0499437931588242</v>
      </c>
      <c r="G48" s="657">
        <v>62.27</v>
      </c>
      <c r="H48" s="656">
        <f t="shared" si="2"/>
        <v>1.0499437931588242</v>
      </c>
      <c r="I48" s="656">
        <f t="shared" si="3"/>
        <v>1</v>
      </c>
    </row>
    <row r="49" spans="1:9" s="234" customFormat="1" ht="15">
      <c r="A49" s="235" t="s">
        <v>922</v>
      </c>
      <c r="B49" s="236" t="s">
        <v>61</v>
      </c>
      <c r="C49" s="237">
        <f t="shared" si="0"/>
        <v>62.67</v>
      </c>
      <c r="E49" s="664">
        <v>59.69</v>
      </c>
      <c r="F49" s="663">
        <f t="shared" si="1"/>
        <v>1.0499246104875188</v>
      </c>
      <c r="G49" s="657">
        <v>59.69</v>
      </c>
      <c r="H49" s="656">
        <f t="shared" si="2"/>
        <v>1.0499246104875188</v>
      </c>
      <c r="I49" s="656">
        <f t="shared" si="3"/>
        <v>1</v>
      </c>
    </row>
    <row r="50" spans="1:9" s="234" customFormat="1" ht="15">
      <c r="A50" s="235" t="s">
        <v>924</v>
      </c>
      <c r="B50" s="236" t="s">
        <v>591</v>
      </c>
      <c r="C50" s="237">
        <f t="shared" si="0"/>
        <v>60.03</v>
      </c>
      <c r="E50" s="664">
        <v>57.17</v>
      </c>
      <c r="F50" s="663">
        <f t="shared" si="1"/>
        <v>1.0500262375371698</v>
      </c>
      <c r="G50" s="657">
        <v>57.17</v>
      </c>
      <c r="H50" s="656">
        <f t="shared" si="2"/>
        <v>1.0500262375371698</v>
      </c>
      <c r="I50" s="656">
        <f t="shared" si="3"/>
        <v>1</v>
      </c>
    </row>
    <row r="51" spans="1:9" s="234" customFormat="1" ht="15">
      <c r="A51" s="235" t="s">
        <v>926</v>
      </c>
      <c r="B51" s="236" t="s">
        <v>595</v>
      </c>
      <c r="C51" s="237">
        <f t="shared" si="0"/>
        <v>61.81</v>
      </c>
      <c r="E51" s="664">
        <v>67.099999999999994</v>
      </c>
      <c r="F51" s="663">
        <f t="shared" si="1"/>
        <v>0.92116244411326387</v>
      </c>
      <c r="G51" s="657">
        <v>58.87</v>
      </c>
      <c r="H51" s="656">
        <f t="shared" si="2"/>
        <v>1.0499405469678955</v>
      </c>
      <c r="I51" s="656">
        <f t="shared" si="3"/>
        <v>1.1397995583489042</v>
      </c>
    </row>
    <row r="52" spans="1:9" s="234" customFormat="1" ht="15">
      <c r="A52" s="235" t="s">
        <v>928</v>
      </c>
      <c r="B52" s="236" t="s">
        <v>571</v>
      </c>
      <c r="C52" s="237">
        <f t="shared" si="0"/>
        <v>33.26</v>
      </c>
      <c r="E52" s="664">
        <v>31.68</v>
      </c>
      <c r="F52" s="663">
        <f t="shared" si="1"/>
        <v>1.0498737373737372</v>
      </c>
      <c r="G52" s="657">
        <v>31.68</v>
      </c>
      <c r="H52" s="656">
        <f t="shared" si="2"/>
        <v>1.0498737373737372</v>
      </c>
      <c r="I52" s="656">
        <f t="shared" si="3"/>
        <v>1</v>
      </c>
    </row>
    <row r="53" spans="1:9" s="234" customFormat="1" ht="15">
      <c r="A53" s="235" t="s">
        <v>930</v>
      </c>
      <c r="B53" s="236" t="s">
        <v>572</v>
      </c>
      <c r="C53" s="237">
        <f t="shared" si="0"/>
        <v>68.709999999999994</v>
      </c>
      <c r="E53" s="664">
        <v>76.069999999999993</v>
      </c>
      <c r="F53" s="663">
        <f t="shared" si="1"/>
        <v>0.90324700933350865</v>
      </c>
      <c r="G53" s="657">
        <v>65.44</v>
      </c>
      <c r="H53" s="656">
        <f t="shared" si="2"/>
        <v>1.0499694376528117</v>
      </c>
      <c r="I53" s="656">
        <f t="shared" si="3"/>
        <v>1.1624388753056234</v>
      </c>
    </row>
    <row r="54" spans="1:9" s="234" customFormat="1" ht="15">
      <c r="A54" s="235" t="s">
        <v>932</v>
      </c>
      <c r="B54" s="236" t="s">
        <v>1076</v>
      </c>
      <c r="C54" s="237">
        <f t="shared" si="0"/>
        <v>22.66</v>
      </c>
      <c r="E54" s="664">
        <v>25.8</v>
      </c>
      <c r="F54" s="663">
        <f t="shared" si="1"/>
        <v>0.87829457364341079</v>
      </c>
      <c r="G54" s="657">
        <v>21.58</v>
      </c>
      <c r="H54" s="656">
        <f t="shared" si="2"/>
        <v>1.0500463392029658</v>
      </c>
      <c r="I54" s="656">
        <f t="shared" si="3"/>
        <v>1.1955514365152922</v>
      </c>
    </row>
    <row r="55" spans="1:9" s="234" customFormat="1" ht="15">
      <c r="A55" s="235" t="s">
        <v>934</v>
      </c>
      <c r="B55" s="236" t="s">
        <v>188</v>
      </c>
      <c r="C55" s="237">
        <f t="shared" si="0"/>
        <v>194.89</v>
      </c>
      <c r="E55" s="664">
        <v>202.84</v>
      </c>
      <c r="F55" s="663">
        <f t="shared" si="1"/>
        <v>0.96080654703214352</v>
      </c>
      <c r="G55" s="657">
        <v>185.61</v>
      </c>
      <c r="H55" s="656">
        <f t="shared" si="2"/>
        <v>1.0499973061796237</v>
      </c>
      <c r="I55" s="656">
        <f t="shared" si="3"/>
        <v>1.0928290501589353</v>
      </c>
    </row>
    <row r="56" spans="1:9" s="234" customFormat="1" ht="15">
      <c r="A56" s="235" t="s">
        <v>936</v>
      </c>
      <c r="B56" s="236" t="s">
        <v>92</v>
      </c>
      <c r="C56" s="237">
        <f t="shared" si="0"/>
        <v>185.61</v>
      </c>
      <c r="E56" s="664">
        <v>200.03</v>
      </c>
      <c r="F56" s="663">
        <f t="shared" si="1"/>
        <v>0.92791081337799342</v>
      </c>
      <c r="G56" s="657">
        <v>176.77</v>
      </c>
      <c r="H56" s="656">
        <f t="shared" si="2"/>
        <v>1.0500084856027607</v>
      </c>
      <c r="I56" s="656">
        <f t="shared" si="3"/>
        <v>1.131583413475137</v>
      </c>
    </row>
    <row r="57" spans="1:9" s="234" customFormat="1" ht="15">
      <c r="A57" s="235" t="s">
        <v>939</v>
      </c>
      <c r="B57" s="236" t="s">
        <v>93</v>
      </c>
      <c r="C57" s="237">
        <f t="shared" si="0"/>
        <v>223.46</v>
      </c>
      <c r="E57" s="664">
        <v>245.73</v>
      </c>
      <c r="F57" s="663">
        <f t="shared" si="1"/>
        <v>0.90937207504171247</v>
      </c>
      <c r="G57" s="657">
        <v>212.82</v>
      </c>
      <c r="H57" s="656">
        <f t="shared" si="2"/>
        <v>1.0499953011934968</v>
      </c>
      <c r="I57" s="656">
        <f t="shared" si="3"/>
        <v>1.1546377220186073</v>
      </c>
    </row>
    <row r="58" spans="1:9" s="234" customFormat="1" ht="15">
      <c r="A58" s="235" t="s">
        <v>940</v>
      </c>
      <c r="B58" s="236" t="s">
        <v>1077</v>
      </c>
      <c r="C58" s="237">
        <f t="shared" si="0"/>
        <v>89.05</v>
      </c>
      <c r="E58" s="664">
        <v>95.7</v>
      </c>
      <c r="F58" s="663">
        <f t="shared" si="1"/>
        <v>0.93051201671891326</v>
      </c>
      <c r="G58" s="657">
        <v>84.81</v>
      </c>
      <c r="H58" s="656">
        <f t="shared" si="2"/>
        <v>1.0499941044688126</v>
      </c>
      <c r="I58" s="656">
        <f t="shared" si="3"/>
        <v>1.1284046692607004</v>
      </c>
    </row>
    <row r="59" spans="1:9" s="234" customFormat="1" ht="15">
      <c r="A59" s="235" t="s">
        <v>941</v>
      </c>
      <c r="B59" s="236" t="s">
        <v>635</v>
      </c>
      <c r="C59" s="237">
        <f t="shared" si="0"/>
        <v>53.61</v>
      </c>
      <c r="E59" s="664">
        <v>59.61</v>
      </c>
      <c r="F59" s="663">
        <f t="shared" si="1"/>
        <v>0.89934574735782591</v>
      </c>
      <c r="G59" s="657">
        <v>51.06</v>
      </c>
      <c r="H59" s="656">
        <f t="shared" si="2"/>
        <v>1.0499412455934194</v>
      </c>
      <c r="I59" s="656">
        <f t="shared" si="3"/>
        <v>1.1674500587544065</v>
      </c>
    </row>
    <row r="60" spans="1:9" s="234" customFormat="1" ht="15">
      <c r="A60" s="235" t="s">
        <v>943</v>
      </c>
      <c r="B60" s="236" t="s">
        <v>71</v>
      </c>
      <c r="C60" s="237">
        <f t="shared" si="0"/>
        <v>102.17</v>
      </c>
      <c r="E60" s="664">
        <v>111.66</v>
      </c>
      <c r="F60" s="663">
        <f t="shared" si="1"/>
        <v>0.91500985133440804</v>
      </c>
      <c r="G60" s="657">
        <v>97.3</v>
      </c>
      <c r="H60" s="656">
        <f t="shared" si="2"/>
        <v>1.0500513874614594</v>
      </c>
      <c r="I60" s="656">
        <f t="shared" si="3"/>
        <v>1.1475847893114079</v>
      </c>
    </row>
    <row r="61" spans="1:9" s="234" customFormat="1" ht="15">
      <c r="A61" s="235" t="s">
        <v>945</v>
      </c>
      <c r="B61" s="236" t="s">
        <v>554</v>
      </c>
      <c r="C61" s="237">
        <f t="shared" si="0"/>
        <v>186.97</v>
      </c>
      <c r="E61" s="664">
        <v>205.16</v>
      </c>
      <c r="F61" s="663">
        <f t="shared" si="1"/>
        <v>0.91133749268863329</v>
      </c>
      <c r="G61" s="657">
        <v>178.07</v>
      </c>
      <c r="H61" s="656">
        <f t="shared" si="2"/>
        <v>1.0499803448082214</v>
      </c>
      <c r="I61" s="656">
        <f t="shared" si="3"/>
        <v>1.1521311843656989</v>
      </c>
    </row>
    <row r="62" spans="1:9" s="234" customFormat="1" ht="25.5">
      <c r="A62" s="235" t="s">
        <v>947</v>
      </c>
      <c r="B62" s="236" t="s">
        <v>520</v>
      </c>
      <c r="C62" s="237">
        <f t="shared" si="0"/>
        <v>180.19</v>
      </c>
      <c r="E62" s="664">
        <v>190.65</v>
      </c>
      <c r="F62" s="663">
        <f t="shared" si="1"/>
        <v>0.94513506425386828</v>
      </c>
      <c r="G62" s="657">
        <v>171.61</v>
      </c>
      <c r="H62" s="656">
        <f t="shared" si="2"/>
        <v>1.0499970864168753</v>
      </c>
      <c r="I62" s="656">
        <f t="shared" si="3"/>
        <v>1.1109492453819707</v>
      </c>
    </row>
    <row r="63" spans="1:9" s="234" customFormat="1" ht="15">
      <c r="A63" s="235" t="s">
        <v>948</v>
      </c>
      <c r="B63" s="236" t="s">
        <v>478</v>
      </c>
      <c r="C63" s="237">
        <f t="shared" si="0"/>
        <v>123.97</v>
      </c>
      <c r="E63" s="664">
        <v>141.25</v>
      </c>
      <c r="F63" s="663">
        <f t="shared" si="1"/>
        <v>0.87766371681415933</v>
      </c>
      <c r="G63" s="657">
        <v>118.07</v>
      </c>
      <c r="H63" s="656">
        <f t="shared" si="2"/>
        <v>1.0499703565681375</v>
      </c>
      <c r="I63" s="656">
        <f t="shared" si="3"/>
        <v>1.1963242144490558</v>
      </c>
    </row>
    <row r="64" spans="1:9" s="234" customFormat="1" ht="15">
      <c r="A64" s="235" t="s">
        <v>949</v>
      </c>
      <c r="B64" s="236" t="s">
        <v>288</v>
      </c>
      <c r="C64" s="237">
        <f t="shared" si="0"/>
        <v>170.8</v>
      </c>
      <c r="E64" s="664">
        <v>177.15</v>
      </c>
      <c r="F64" s="663">
        <f t="shared" si="1"/>
        <v>0.96415467118261367</v>
      </c>
      <c r="G64" s="657">
        <v>162.66999999999999</v>
      </c>
      <c r="H64" s="656">
        <f t="shared" si="2"/>
        <v>1.0499784840474582</v>
      </c>
      <c r="I64" s="656">
        <f t="shared" si="3"/>
        <v>1.0890145693735784</v>
      </c>
    </row>
    <row r="65" spans="1:9" s="234" customFormat="1" ht="15">
      <c r="A65" s="235" t="s">
        <v>951</v>
      </c>
      <c r="B65" s="236" t="s">
        <v>644</v>
      </c>
      <c r="C65" s="237">
        <f t="shared" si="0"/>
        <v>165.91</v>
      </c>
      <c r="E65" s="664">
        <v>184.33</v>
      </c>
      <c r="F65" s="663">
        <f t="shared" si="1"/>
        <v>0.90007052568762536</v>
      </c>
      <c r="G65" s="657">
        <v>158.01</v>
      </c>
      <c r="H65" s="656">
        <f t="shared" si="2"/>
        <v>1.0499968356433138</v>
      </c>
      <c r="I65" s="656">
        <f t="shared" si="3"/>
        <v>1.1665717359660783</v>
      </c>
    </row>
    <row r="66" spans="1:9" s="234" customFormat="1" ht="15">
      <c r="A66" s="235" t="s">
        <v>953</v>
      </c>
      <c r="B66" s="236" t="s">
        <v>1082</v>
      </c>
      <c r="C66" s="237">
        <f t="shared" si="0"/>
        <v>38.15</v>
      </c>
      <c r="E66" s="664">
        <v>50.06</v>
      </c>
      <c r="F66" s="663">
        <f t="shared" si="1"/>
        <v>0.76208549740311615</v>
      </c>
      <c r="G66" s="657">
        <v>36.33</v>
      </c>
      <c r="H66" s="656">
        <f t="shared" si="2"/>
        <v>1.0500963391136802</v>
      </c>
      <c r="I66" s="656">
        <f t="shared" si="3"/>
        <v>1.377924580236719</v>
      </c>
    </row>
    <row r="67" spans="1:9" s="234" customFormat="1" ht="15">
      <c r="A67" s="235" t="s">
        <v>955</v>
      </c>
      <c r="B67" s="236" t="s">
        <v>200</v>
      </c>
      <c r="C67" s="237">
        <f t="shared" si="0"/>
        <v>21.84</v>
      </c>
      <c r="E67" s="664">
        <v>29.4</v>
      </c>
      <c r="F67" s="663">
        <f t="shared" si="1"/>
        <v>0.74285714285714288</v>
      </c>
      <c r="G67" s="657">
        <v>20.8</v>
      </c>
      <c r="H67" s="656">
        <f t="shared" si="2"/>
        <v>1.05</v>
      </c>
      <c r="I67" s="656">
        <f t="shared" si="3"/>
        <v>1.4134615384615383</v>
      </c>
    </row>
    <row r="68" spans="1:9" s="234" customFormat="1" ht="15">
      <c r="A68" s="235" t="s">
        <v>957</v>
      </c>
      <c r="B68" s="236" t="s">
        <v>1084</v>
      </c>
      <c r="C68" s="237">
        <f t="shared" si="0"/>
        <v>15.7</v>
      </c>
      <c r="E68" s="664">
        <v>21.81</v>
      </c>
      <c r="F68" s="663">
        <f t="shared" si="1"/>
        <v>0.71985327831270063</v>
      </c>
      <c r="G68" s="657">
        <v>14.95</v>
      </c>
      <c r="H68" s="656">
        <f t="shared" si="2"/>
        <v>1.0501672240802675</v>
      </c>
      <c r="I68" s="656">
        <f t="shared" si="3"/>
        <v>1.4588628762541807</v>
      </c>
    </row>
    <row r="69" spans="1:9" s="234" customFormat="1" ht="15">
      <c r="A69" s="235" t="s">
        <v>959</v>
      </c>
      <c r="B69" s="236" t="s">
        <v>1085</v>
      </c>
      <c r="C69" s="237">
        <f t="shared" si="0"/>
        <v>15.33</v>
      </c>
      <c r="E69" s="664">
        <v>21.46</v>
      </c>
      <c r="F69" s="663">
        <f t="shared" si="1"/>
        <v>0.71435228331780054</v>
      </c>
      <c r="G69" s="657">
        <v>14.6</v>
      </c>
      <c r="H69" s="656">
        <f t="shared" si="2"/>
        <v>1.05</v>
      </c>
      <c r="I69" s="656">
        <f t="shared" si="3"/>
        <v>1.4698630136986301</v>
      </c>
    </row>
    <row r="70" spans="1:9" s="234" customFormat="1" ht="15">
      <c r="A70" s="235" t="s">
        <v>961</v>
      </c>
      <c r="B70" s="236" t="s">
        <v>83</v>
      </c>
      <c r="C70" s="237">
        <f t="shared" si="0"/>
        <v>87.28</v>
      </c>
      <c r="E70" s="664">
        <v>107.49</v>
      </c>
      <c r="F70" s="663">
        <f t="shared" si="1"/>
        <v>0.81198251000093036</v>
      </c>
      <c r="G70" s="657">
        <v>83.12</v>
      </c>
      <c r="H70" s="656">
        <f t="shared" si="2"/>
        <v>1.0500481231953802</v>
      </c>
      <c r="I70" s="656">
        <f t="shared" si="3"/>
        <v>1.2931905678537055</v>
      </c>
    </row>
    <row r="71" spans="1:9" s="234" customFormat="1" ht="15">
      <c r="A71" s="235" t="s">
        <v>963</v>
      </c>
      <c r="B71" s="236" t="s">
        <v>85</v>
      </c>
      <c r="C71" s="237">
        <f t="shared" si="0"/>
        <v>411.98</v>
      </c>
      <c r="E71" s="664">
        <v>452.6</v>
      </c>
      <c r="F71" s="663">
        <f t="shared" si="1"/>
        <v>0.91025187803800267</v>
      </c>
      <c r="G71" s="657">
        <v>392.36</v>
      </c>
      <c r="H71" s="656">
        <f t="shared" si="2"/>
        <v>1.0500050973595678</v>
      </c>
      <c r="I71" s="656">
        <f t="shared" si="3"/>
        <v>1.1535324701804466</v>
      </c>
    </row>
    <row r="72" spans="1:9" s="234" customFormat="1" ht="15">
      <c r="A72" s="235" t="s">
        <v>966</v>
      </c>
      <c r="B72" s="236" t="s">
        <v>599</v>
      </c>
      <c r="C72" s="237">
        <f t="shared" si="0"/>
        <v>39.270000000000003</v>
      </c>
      <c r="E72" s="664">
        <v>44.71</v>
      </c>
      <c r="F72" s="663">
        <f t="shared" si="1"/>
        <v>0.8783269961977187</v>
      </c>
      <c r="G72" s="657">
        <v>37.4</v>
      </c>
      <c r="H72" s="656">
        <f t="shared" si="2"/>
        <v>1.05</v>
      </c>
      <c r="I72" s="656">
        <f t="shared" si="3"/>
        <v>1.1954545454545455</v>
      </c>
    </row>
    <row r="73" spans="1:9" s="234" customFormat="1" ht="15">
      <c r="A73" s="235" t="s">
        <v>967</v>
      </c>
      <c r="B73" s="236" t="s">
        <v>1089</v>
      </c>
      <c r="C73" s="237">
        <f t="shared" si="0"/>
        <v>232.95</v>
      </c>
      <c r="E73" s="664">
        <v>262.92</v>
      </c>
      <c r="F73" s="663">
        <f t="shared" si="1"/>
        <v>0.88601095390232765</v>
      </c>
      <c r="G73" s="657">
        <v>221.86</v>
      </c>
      <c r="H73" s="656">
        <f t="shared" si="2"/>
        <v>1.0499864779590731</v>
      </c>
      <c r="I73" s="656">
        <f t="shared" si="3"/>
        <v>1.1850716668169117</v>
      </c>
    </row>
    <row r="74" spans="1:9" s="234" customFormat="1" ht="15">
      <c r="A74" s="235" t="s">
        <v>969</v>
      </c>
      <c r="B74" s="236" t="s">
        <v>76</v>
      </c>
      <c r="C74" s="237">
        <f t="shared" ref="C74:C85" si="4">ROUND(G74*$D$8,2)</f>
        <v>276.89999999999998</v>
      </c>
      <c r="E74" s="664">
        <v>249.15</v>
      </c>
      <c r="F74" s="663">
        <f t="shared" ref="F74:F85" si="5">C74/E74</f>
        <v>1.1113786875376279</v>
      </c>
      <c r="G74" s="657">
        <v>263.70999999999998</v>
      </c>
      <c r="H74" s="656">
        <f t="shared" ref="H74:H85" si="6">C74/G74</f>
        <v>1.0500170641993098</v>
      </c>
      <c r="I74" s="656">
        <f t="shared" ref="I74:I85" si="7">E74/G74</f>
        <v>0.94478783512191433</v>
      </c>
    </row>
    <row r="75" spans="1:9" s="234" customFormat="1" ht="15">
      <c r="A75" s="235" t="s">
        <v>971</v>
      </c>
      <c r="B75" s="236" t="s">
        <v>210</v>
      </c>
      <c r="C75" s="237">
        <f t="shared" si="4"/>
        <v>336.28</v>
      </c>
      <c r="E75" s="664">
        <v>359.25</v>
      </c>
      <c r="F75" s="663">
        <f t="shared" si="5"/>
        <v>0.93606123869171876</v>
      </c>
      <c r="G75" s="657">
        <v>320.27</v>
      </c>
      <c r="H75" s="656">
        <f t="shared" si="6"/>
        <v>1.0499890717207356</v>
      </c>
      <c r="I75" s="656">
        <f t="shared" si="7"/>
        <v>1.1217098073500484</v>
      </c>
    </row>
    <row r="76" spans="1:9" s="234" customFormat="1" ht="15">
      <c r="A76" s="235" t="s">
        <v>973</v>
      </c>
      <c r="B76" s="236" t="s">
        <v>69</v>
      </c>
      <c r="C76" s="237">
        <f t="shared" si="4"/>
        <v>179.6</v>
      </c>
      <c r="E76" s="665">
        <v>213.85</v>
      </c>
      <c r="F76" s="663">
        <f t="shared" si="5"/>
        <v>0.83984101005377598</v>
      </c>
      <c r="G76" s="658">
        <v>171.05</v>
      </c>
      <c r="H76" s="656">
        <f t="shared" si="6"/>
        <v>1.0499853843905289</v>
      </c>
      <c r="I76" s="656">
        <f t="shared" si="7"/>
        <v>1.2502192341420637</v>
      </c>
    </row>
    <row r="77" spans="1:9" s="234" customFormat="1" ht="15">
      <c r="A77" s="235" t="s">
        <v>975</v>
      </c>
      <c r="B77" s="236" t="s">
        <v>567</v>
      </c>
      <c r="C77" s="681">
        <f>'Cijena sata rada'!BR53</f>
        <v>44.8</v>
      </c>
      <c r="D77" s="680"/>
      <c r="E77" s="664">
        <v>33.29</v>
      </c>
      <c r="F77" s="663">
        <f t="shared" si="5"/>
        <v>1.3457494743166116</v>
      </c>
      <c r="G77" s="657">
        <v>21.56</v>
      </c>
      <c r="H77" s="656">
        <f t="shared" si="6"/>
        <v>2.0779220779220777</v>
      </c>
      <c r="I77" s="656">
        <f t="shared" si="7"/>
        <v>1.5440630797773656</v>
      </c>
    </row>
    <row r="78" spans="1:9" s="234" customFormat="1" ht="15">
      <c r="A78" s="235" t="s">
        <v>977</v>
      </c>
      <c r="B78" s="236" t="s">
        <v>585</v>
      </c>
      <c r="C78" s="237">
        <f t="shared" si="4"/>
        <v>144.38</v>
      </c>
      <c r="E78" s="664">
        <v>164.38</v>
      </c>
      <c r="F78" s="663">
        <f t="shared" si="5"/>
        <v>0.87833069716510526</v>
      </c>
      <c r="G78" s="657">
        <v>137.5</v>
      </c>
      <c r="H78" s="656">
        <f t="shared" si="6"/>
        <v>1.0500363636363637</v>
      </c>
      <c r="I78" s="656">
        <f t="shared" si="7"/>
        <v>1.1954909090909092</v>
      </c>
    </row>
    <row r="79" spans="1:9" s="234" customFormat="1" ht="15">
      <c r="A79" s="235" t="s">
        <v>979</v>
      </c>
      <c r="B79" s="236" t="s">
        <v>586</v>
      </c>
      <c r="C79" s="237">
        <f t="shared" si="4"/>
        <v>144.38</v>
      </c>
      <c r="E79" s="664">
        <v>164.38</v>
      </c>
      <c r="F79" s="663">
        <f t="shared" si="5"/>
        <v>0.87833069716510526</v>
      </c>
      <c r="G79" s="657">
        <v>137.5</v>
      </c>
      <c r="H79" s="656">
        <f t="shared" si="6"/>
        <v>1.0500363636363637</v>
      </c>
      <c r="I79" s="656">
        <f t="shared" si="7"/>
        <v>1.1954909090909092</v>
      </c>
    </row>
    <row r="80" spans="1:9" s="234" customFormat="1" ht="21" customHeight="1">
      <c r="A80" s="235" t="s">
        <v>981</v>
      </c>
      <c r="B80" s="236" t="s">
        <v>587</v>
      </c>
      <c r="C80" s="237">
        <f t="shared" si="4"/>
        <v>80.849999999999994</v>
      </c>
      <c r="E80" s="664">
        <v>92.05</v>
      </c>
      <c r="F80" s="663">
        <f t="shared" si="5"/>
        <v>0.87832699619771859</v>
      </c>
      <c r="G80" s="657">
        <v>77</v>
      </c>
      <c r="H80" s="656">
        <f t="shared" si="6"/>
        <v>1.0499999999999998</v>
      </c>
      <c r="I80" s="656">
        <f t="shared" si="7"/>
        <v>1.1954545454545453</v>
      </c>
    </row>
    <row r="81" spans="1:9" s="234" customFormat="1" ht="15">
      <c r="A81" s="235" t="s">
        <v>983</v>
      </c>
      <c r="B81" s="236" t="s">
        <v>588</v>
      </c>
      <c r="C81" s="237">
        <f t="shared" si="4"/>
        <v>80.849999999999994</v>
      </c>
      <c r="E81" s="664">
        <v>92.05</v>
      </c>
      <c r="F81" s="663">
        <f t="shared" si="5"/>
        <v>0.87832699619771859</v>
      </c>
      <c r="G81" s="657">
        <v>77</v>
      </c>
      <c r="H81" s="656">
        <f t="shared" si="6"/>
        <v>1.0499999999999998</v>
      </c>
      <c r="I81" s="656">
        <f t="shared" si="7"/>
        <v>1.1954545454545453</v>
      </c>
    </row>
    <row r="82" spans="1:9" s="234" customFormat="1" ht="15">
      <c r="A82" s="235" t="s">
        <v>985</v>
      </c>
      <c r="B82" s="236" t="s">
        <v>477</v>
      </c>
      <c r="C82" s="237">
        <f t="shared" si="4"/>
        <v>290.85000000000002</v>
      </c>
      <c r="E82" s="664">
        <v>330.52</v>
      </c>
      <c r="F82" s="663">
        <f t="shared" si="5"/>
        <v>0.87997700593004968</v>
      </c>
      <c r="G82" s="657">
        <v>277</v>
      </c>
      <c r="H82" s="656">
        <f t="shared" si="6"/>
        <v>1.05</v>
      </c>
      <c r="I82" s="656">
        <f t="shared" si="7"/>
        <v>1.1932129963898916</v>
      </c>
    </row>
    <row r="83" spans="1:9" s="234" customFormat="1" ht="15">
      <c r="A83" s="235" t="s">
        <v>987</v>
      </c>
      <c r="B83" s="236" t="s">
        <v>1095</v>
      </c>
      <c r="C83" s="237">
        <f t="shared" si="4"/>
        <v>47.2</v>
      </c>
      <c r="E83" s="664">
        <v>49.44</v>
      </c>
      <c r="F83" s="663">
        <f t="shared" si="5"/>
        <v>0.9546925566343043</v>
      </c>
      <c r="G83" s="657">
        <v>44.95</v>
      </c>
      <c r="H83" s="656">
        <f t="shared" si="6"/>
        <v>1.0500556173526141</v>
      </c>
      <c r="I83" s="656">
        <f t="shared" si="7"/>
        <v>1.0998887652947718</v>
      </c>
    </row>
    <row r="84" spans="1:9" s="234" customFormat="1" ht="15">
      <c r="A84" s="235" t="s">
        <v>989</v>
      </c>
      <c r="B84" s="236" t="s">
        <v>77</v>
      </c>
      <c r="C84" s="237">
        <f t="shared" si="4"/>
        <v>48.33</v>
      </c>
      <c r="E84" s="664">
        <v>46.03</v>
      </c>
      <c r="F84" s="663">
        <f t="shared" si="5"/>
        <v>1.049967412557028</v>
      </c>
      <c r="G84" s="657">
        <v>46.03</v>
      </c>
      <c r="H84" s="656">
        <f t="shared" si="6"/>
        <v>1.049967412557028</v>
      </c>
      <c r="I84" s="656">
        <f t="shared" si="7"/>
        <v>1</v>
      </c>
    </row>
    <row r="85" spans="1:9" s="234" customFormat="1" ht="15">
      <c r="A85" s="235" t="s">
        <v>991</v>
      </c>
      <c r="B85" s="236" t="s">
        <v>78</v>
      </c>
      <c r="C85" s="237">
        <f t="shared" si="4"/>
        <v>52.19</v>
      </c>
      <c r="E85" s="664">
        <v>59.24</v>
      </c>
      <c r="F85" s="663">
        <f t="shared" si="5"/>
        <v>0.88099257258609043</v>
      </c>
      <c r="G85" s="657">
        <v>49.7</v>
      </c>
      <c r="H85" s="656">
        <f t="shared" si="6"/>
        <v>1.0501006036217302</v>
      </c>
      <c r="I85" s="656">
        <f t="shared" si="7"/>
        <v>1.1919517102615693</v>
      </c>
    </row>
    <row r="86" spans="1:9">
      <c r="A86" s="235">
        <v>78</v>
      </c>
      <c r="B86" s="221" t="s">
        <v>1097</v>
      </c>
      <c r="C86" s="687">
        <f>'Cijena sata rada'!CA53</f>
        <v>265.57</v>
      </c>
    </row>
    <row r="87" spans="1:9">
      <c r="A87" s="685">
        <v>79</v>
      </c>
      <c r="B87" s="684" t="s">
        <v>1146</v>
      </c>
      <c r="C87" s="687">
        <f>'Cijena sata rada'!CB53</f>
        <v>230.84</v>
      </c>
    </row>
    <row r="88" spans="1:9">
      <c r="A88" s="686">
        <v>80</v>
      </c>
    </row>
    <row r="89" spans="1:9">
      <c r="A89" s="686">
        <v>81</v>
      </c>
    </row>
    <row r="90" spans="1:9">
      <c r="A90" s="686">
        <v>82</v>
      </c>
    </row>
  </sheetData>
  <sheetProtection selectLockedCells="1"/>
  <mergeCells count="9">
    <mergeCell ref="I7:I8"/>
    <mergeCell ref="E7:E8"/>
    <mergeCell ref="F7:F8"/>
    <mergeCell ref="A3:C3"/>
    <mergeCell ref="C7:C8"/>
    <mergeCell ref="A7:A8"/>
    <mergeCell ref="B7:B8"/>
    <mergeCell ref="G7:G8"/>
    <mergeCell ref="H7:H8"/>
  </mergeCells>
  <phoneticPr fontId="1" type="noConversion"/>
  <conditionalFormatting sqref="C9:C14 F9:I85 D5:D8 C78:C85 C45:C76 C36:C43 C16:C34">
    <cfRule type="cellIs" dxfId="6" priority="9" stopIfTrue="1" operator="lessThan">
      <formula>#REF!</formula>
    </cfRule>
  </conditionalFormatting>
  <conditionalFormatting sqref="B9:B85">
    <cfRule type="cellIs" dxfId="5" priority="10" stopIfTrue="1" operator="notEqual">
      <formula>#REF!</formula>
    </cfRule>
  </conditionalFormatting>
  <conditionalFormatting sqref="E9:E85">
    <cfRule type="cellIs" dxfId="4" priority="7" stopIfTrue="1" operator="lessThan">
      <formula>#REF!</formula>
    </cfRule>
  </conditionalFormatting>
  <conditionalFormatting sqref="C44">
    <cfRule type="cellIs" dxfId="3" priority="5" stopIfTrue="1" operator="lessThan">
      <formula>#REF!</formula>
    </cfRule>
  </conditionalFormatting>
  <conditionalFormatting sqref="C77">
    <cfRule type="cellIs" dxfId="2" priority="4" stopIfTrue="1" operator="lessThan">
      <formula>#REF!</formula>
    </cfRule>
  </conditionalFormatting>
  <conditionalFormatting sqref="C35">
    <cfRule type="cellIs" dxfId="1" priority="3" stopIfTrue="1" operator="lessThan">
      <formula>#REF!</formula>
    </cfRule>
  </conditionalFormatting>
  <conditionalFormatting sqref="C15">
    <cfRule type="cellIs" dxfId="0" priority="1" stopIfTrue="1" operator="lessThan">
      <formula>#REF!</formula>
    </cfRule>
  </conditionalFormatting>
  <pageMargins left="0.39370078740157483" right="0.39370078740157483" top="0.39370078740157483" bottom="0.39370078740157483" header="0.19685039370078741" footer="0.19685039370078741"/>
  <pageSetup paperSize="9" scale="95" orientation="portrait" horizontalDpi="4294967292" verticalDpi="300" r:id="rId1"/>
  <headerFooter alignWithMargins="0">
    <oddHeader>&amp;L&amp;8HRVATSKE CESTE d.o.o.&amp;C&amp;8STANDARD REDOVNOG ODRŽAVANJA CESTA 2009.&amp;R&amp;8&amp;D</oddHeader>
    <oddFooter>&amp;L&amp;8&amp;F&amp;C&amp;8&amp;A&amp;R&amp;8&amp;P /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G109"/>
  <sheetViews>
    <sheetView view="pageBreakPreview" zoomScaleNormal="85" zoomScaleSheetLayoutView="115" workbookViewId="0">
      <pane xSplit="3" ySplit="7" topLeftCell="D89" activePane="bottomRight" state="frozen"/>
      <selection pane="topRight" activeCell="D16" sqref="D16"/>
      <selection pane="bottomLeft" activeCell="D16" sqref="D16"/>
      <selection pane="bottomRight" activeCell="B74" sqref="B74"/>
    </sheetView>
  </sheetViews>
  <sheetFormatPr defaultRowHeight="12.75"/>
  <cols>
    <col min="1" max="1" width="6.28515625" style="453" bestFit="1" customWidth="1"/>
    <col min="2" max="2" width="66.85546875" style="105" bestFit="1" customWidth="1"/>
    <col min="3" max="3" width="8.7109375" style="453" customWidth="1"/>
    <col min="4" max="4" width="13.5703125" style="652" bestFit="1" customWidth="1"/>
    <col min="5" max="5" width="11.42578125" style="106" bestFit="1" customWidth="1"/>
    <col min="6" max="7" width="13.5703125" style="106" bestFit="1" customWidth="1"/>
    <col min="8" max="16384" width="9.140625" style="454"/>
  </cols>
  <sheetData>
    <row r="1" spans="1:7" ht="4.9000000000000004" customHeight="1"/>
    <row r="2" spans="1:7" ht="4.9000000000000004" customHeight="1"/>
    <row r="3" spans="1:7" ht="20.100000000000001" customHeight="1">
      <c r="A3" s="908" t="s">
        <v>1147</v>
      </c>
      <c r="B3" s="908"/>
      <c r="C3" s="947"/>
    </row>
    <row r="4" spans="1:7" ht="24.95" customHeight="1" thickBot="1"/>
    <row r="5" spans="1:7" s="455" customFormat="1" ht="30" customHeight="1">
      <c r="A5" s="948" t="s">
        <v>855</v>
      </c>
      <c r="B5" s="951" t="s">
        <v>871</v>
      </c>
      <c r="C5" s="954" t="s">
        <v>1148</v>
      </c>
      <c r="D5" s="942" t="s">
        <v>1149</v>
      </c>
      <c r="E5" s="943"/>
      <c r="F5" s="943"/>
      <c r="G5" s="943"/>
    </row>
    <row r="6" spans="1:7" s="455" customFormat="1" ht="15.75" customHeight="1">
      <c r="A6" s="949"/>
      <c r="B6" s="952"/>
      <c r="C6" s="955"/>
      <c r="D6" s="944" t="s">
        <v>1150</v>
      </c>
      <c r="E6" s="945"/>
      <c r="F6" s="945"/>
      <c r="G6" s="946"/>
    </row>
    <row r="7" spans="1:7" s="455" customFormat="1" ht="39" customHeight="1" thickBot="1">
      <c r="A7" s="950"/>
      <c r="B7" s="953"/>
      <c r="C7" s="956"/>
      <c r="D7" s="456" t="s">
        <v>1151</v>
      </c>
      <c r="E7" s="457" t="s">
        <v>1025</v>
      </c>
      <c r="F7" s="458" t="s">
        <v>1152</v>
      </c>
      <c r="G7" s="459" t="s">
        <v>1153</v>
      </c>
    </row>
    <row r="8" spans="1:7" ht="15">
      <c r="A8" s="460" t="s">
        <v>8</v>
      </c>
      <c r="B8" s="673" t="str">
        <f>[2]Asfalti!B2</f>
        <v>AC 16 base BIT 50/70 AG6 M2</v>
      </c>
      <c r="C8" s="461" t="s">
        <v>118</v>
      </c>
      <c r="D8" s="653">
        <v>600</v>
      </c>
      <c r="E8" s="465">
        <v>45</v>
      </c>
      <c r="F8" s="467">
        <v>46.97</v>
      </c>
      <c r="G8" s="466">
        <f t="shared" ref="G8:G39" si="0">D8+F8</f>
        <v>646.97</v>
      </c>
    </row>
    <row r="9" spans="1:7" ht="15">
      <c r="A9" s="462" t="s">
        <v>17</v>
      </c>
      <c r="B9" s="673" t="str">
        <f>[2]Asfalti!B3</f>
        <v>AC 22 base BIT 50/70 AG6 M1</v>
      </c>
      <c r="C9" s="464" t="s">
        <v>118</v>
      </c>
      <c r="D9" s="653">
        <v>600</v>
      </c>
      <c r="E9" s="465">
        <v>45</v>
      </c>
      <c r="F9" s="467">
        <v>46.97</v>
      </c>
      <c r="G9" s="466">
        <f t="shared" si="0"/>
        <v>646.97</v>
      </c>
    </row>
    <row r="10" spans="1:7" ht="15">
      <c r="A10" s="462" t="s">
        <v>23</v>
      </c>
      <c r="B10" s="673" t="str">
        <f>[2]Asfalti!B4</f>
        <v>AC 22 base 50/70 AG6 M2</v>
      </c>
      <c r="C10" s="464" t="s">
        <v>118</v>
      </c>
      <c r="D10" s="653">
        <v>600</v>
      </c>
      <c r="E10" s="465">
        <v>45</v>
      </c>
      <c r="F10" s="467">
        <v>46.97</v>
      </c>
      <c r="G10" s="466">
        <f t="shared" si="0"/>
        <v>646.97</v>
      </c>
    </row>
    <row r="11" spans="1:7" ht="15">
      <c r="A11" s="462" t="s">
        <v>27</v>
      </c>
      <c r="B11" s="673" t="str">
        <f>[2]Asfalti!B5</f>
        <v>AC 32 base BIT 50/70 AG6 M1</v>
      </c>
      <c r="C11" s="464" t="s">
        <v>118</v>
      </c>
      <c r="D11" s="653">
        <v>600</v>
      </c>
      <c r="E11" s="465">
        <v>45</v>
      </c>
      <c r="F11" s="467">
        <v>46.97</v>
      </c>
      <c r="G11" s="466">
        <f t="shared" si="0"/>
        <v>646.97</v>
      </c>
    </row>
    <row r="12" spans="1:7" ht="15">
      <c r="A12" s="462" t="s">
        <v>31</v>
      </c>
      <c r="B12" s="673" t="str">
        <f>[2]Asfalti!B6</f>
        <v>AC 32 base 50/70 AG6 M2</v>
      </c>
      <c r="C12" s="464" t="s">
        <v>118</v>
      </c>
      <c r="D12" s="653">
        <v>600</v>
      </c>
      <c r="E12" s="465">
        <v>45</v>
      </c>
      <c r="F12" s="467">
        <v>46.97</v>
      </c>
      <c r="G12" s="466">
        <f t="shared" si="0"/>
        <v>646.97</v>
      </c>
    </row>
    <row r="13" spans="1:7" ht="15">
      <c r="A13" s="462" t="s">
        <v>39</v>
      </c>
      <c r="B13" s="673" t="str">
        <f>[2]Asfalti!B7</f>
        <v>AC 22 base Pmb 45/80-65 AG6 M1</v>
      </c>
      <c r="C13" s="464" t="s">
        <v>118</v>
      </c>
      <c r="D13" s="653">
        <v>600</v>
      </c>
      <c r="E13" s="465">
        <v>45</v>
      </c>
      <c r="F13" s="467">
        <v>46.97</v>
      </c>
      <c r="G13" s="466">
        <f t="shared" si="0"/>
        <v>646.97</v>
      </c>
    </row>
    <row r="14" spans="1:7" ht="15">
      <c r="A14" s="462" t="s">
        <v>561</v>
      </c>
      <c r="B14" s="673" t="str">
        <f>[2]Asfalti!B8</f>
        <v>AC 4 surf BIT 50/70 AG4 M4</v>
      </c>
      <c r="C14" s="464" t="s">
        <v>118</v>
      </c>
      <c r="D14" s="653">
        <v>600</v>
      </c>
      <c r="E14" s="465">
        <v>45</v>
      </c>
      <c r="F14" s="467">
        <v>46.97</v>
      </c>
      <c r="G14" s="466">
        <f t="shared" si="0"/>
        <v>646.97</v>
      </c>
    </row>
    <row r="15" spans="1:7" ht="15">
      <c r="A15" s="462" t="s">
        <v>615</v>
      </c>
      <c r="B15" s="673" t="str">
        <f>[2]Asfalti!B9</f>
        <v>AC 8 surf BIT 50/70 AG4 M4</v>
      </c>
      <c r="C15" s="464" t="s">
        <v>118</v>
      </c>
      <c r="D15" s="653">
        <v>600</v>
      </c>
      <c r="E15" s="465">
        <v>45</v>
      </c>
      <c r="F15" s="467">
        <v>46.97</v>
      </c>
      <c r="G15" s="466">
        <f t="shared" si="0"/>
        <v>646.97</v>
      </c>
    </row>
    <row r="16" spans="1:7" ht="15">
      <c r="A16" s="462" t="s">
        <v>728</v>
      </c>
      <c r="B16" s="673" t="str">
        <f>[2]Asfalti!B10</f>
        <v>AC 11 surf 50/70 AG4 M4</v>
      </c>
      <c r="C16" s="464" t="s">
        <v>118</v>
      </c>
      <c r="D16" s="653">
        <v>600</v>
      </c>
      <c r="E16" s="465">
        <v>45</v>
      </c>
      <c r="F16" s="467">
        <v>46.97</v>
      </c>
      <c r="G16" s="466">
        <f t="shared" si="0"/>
        <v>646.97</v>
      </c>
    </row>
    <row r="17" spans="1:7" ht="15">
      <c r="A17" s="462" t="s">
        <v>762</v>
      </c>
      <c r="B17" s="673" t="str">
        <f>[2]Asfalti!B11</f>
        <v>AC 11 surf BIT 50/70 AG4 M3</v>
      </c>
      <c r="C17" s="464" t="s">
        <v>118</v>
      </c>
      <c r="D17" s="653">
        <v>600</v>
      </c>
      <c r="E17" s="465">
        <v>45</v>
      </c>
      <c r="F17" s="467">
        <v>46.97</v>
      </c>
      <c r="G17" s="466">
        <f t="shared" si="0"/>
        <v>646.97</v>
      </c>
    </row>
    <row r="18" spans="1:7" ht="15">
      <c r="A18" s="462" t="s">
        <v>833</v>
      </c>
      <c r="B18" s="463" t="s">
        <v>874</v>
      </c>
      <c r="C18" s="464" t="s">
        <v>655</v>
      </c>
      <c r="D18" s="653">
        <v>5.0999999999999996</v>
      </c>
      <c r="E18" s="465">
        <v>0</v>
      </c>
      <c r="F18" s="467">
        <v>0</v>
      </c>
      <c r="G18" s="466">
        <f t="shared" si="0"/>
        <v>5.0999999999999996</v>
      </c>
    </row>
    <row r="19" spans="1:7" ht="15">
      <c r="A19" s="462" t="s">
        <v>866</v>
      </c>
      <c r="B19" s="463" t="s">
        <v>875</v>
      </c>
      <c r="C19" s="464" t="s">
        <v>655</v>
      </c>
      <c r="D19" s="653">
        <v>8</v>
      </c>
      <c r="E19" s="465">
        <v>0</v>
      </c>
      <c r="F19" s="467">
        <v>0</v>
      </c>
      <c r="G19" s="466">
        <f t="shared" si="0"/>
        <v>8</v>
      </c>
    </row>
    <row r="20" spans="1:7" ht="15">
      <c r="A20" s="462" t="s">
        <v>868</v>
      </c>
      <c r="B20" s="463" t="s">
        <v>876</v>
      </c>
      <c r="C20" s="464" t="s">
        <v>655</v>
      </c>
      <c r="D20" s="653">
        <v>68.680000000000007</v>
      </c>
      <c r="E20" s="465">
        <v>0</v>
      </c>
      <c r="F20" s="467">
        <v>0</v>
      </c>
      <c r="G20" s="466">
        <f t="shared" si="0"/>
        <v>68.680000000000007</v>
      </c>
    </row>
    <row r="21" spans="1:7" ht="15">
      <c r="A21" s="462" t="s">
        <v>870</v>
      </c>
      <c r="B21" s="463" t="s">
        <v>1154</v>
      </c>
      <c r="C21" s="464" t="s">
        <v>659</v>
      </c>
      <c r="D21" s="653">
        <v>86.46</v>
      </c>
      <c r="E21" s="465">
        <v>45</v>
      </c>
      <c r="F21" s="467">
        <v>72.8</v>
      </c>
      <c r="G21" s="466">
        <f t="shared" si="0"/>
        <v>159.26</v>
      </c>
    </row>
    <row r="22" spans="1:7" ht="15">
      <c r="A22" s="462" t="s">
        <v>877</v>
      </c>
      <c r="B22" s="463" t="s">
        <v>878</v>
      </c>
      <c r="C22" s="464" t="s">
        <v>118</v>
      </c>
      <c r="D22" s="653">
        <v>60</v>
      </c>
      <c r="E22" s="465">
        <v>40</v>
      </c>
      <c r="F22" s="467">
        <v>43.22</v>
      </c>
      <c r="G22" s="466">
        <f t="shared" si="0"/>
        <v>103.22</v>
      </c>
    </row>
    <row r="23" spans="1:7" ht="15">
      <c r="A23" s="462" t="s">
        <v>879</v>
      </c>
      <c r="B23" s="463" t="s">
        <v>1155</v>
      </c>
      <c r="C23" s="464" t="s">
        <v>659</v>
      </c>
      <c r="D23" s="653">
        <v>72.5</v>
      </c>
      <c r="E23" s="465">
        <v>40</v>
      </c>
      <c r="F23" s="467">
        <v>66.989999999999995</v>
      </c>
      <c r="G23" s="466">
        <f t="shared" si="0"/>
        <v>139.49</v>
      </c>
    </row>
    <row r="24" spans="1:7" ht="15">
      <c r="A24" s="462" t="s">
        <v>880</v>
      </c>
      <c r="B24" s="463" t="s">
        <v>1156</v>
      </c>
      <c r="C24" s="464" t="s">
        <v>659</v>
      </c>
      <c r="D24" s="653">
        <v>65</v>
      </c>
      <c r="E24" s="465">
        <v>40</v>
      </c>
      <c r="F24" s="467">
        <v>66.989999999999995</v>
      </c>
      <c r="G24" s="466">
        <f t="shared" si="0"/>
        <v>131.99</v>
      </c>
    </row>
    <row r="25" spans="1:7" ht="15">
      <c r="A25" s="462" t="s">
        <v>881</v>
      </c>
      <c r="B25" s="463" t="s">
        <v>1157</v>
      </c>
      <c r="C25" s="464" t="s">
        <v>659</v>
      </c>
      <c r="D25" s="653">
        <v>35.25</v>
      </c>
      <c r="E25" s="465">
        <v>40</v>
      </c>
      <c r="F25" s="467">
        <v>66.989999999999995</v>
      </c>
      <c r="G25" s="466">
        <f t="shared" si="0"/>
        <v>102.24</v>
      </c>
    </row>
    <row r="26" spans="1:7" ht="15">
      <c r="A26" s="462" t="s">
        <v>882</v>
      </c>
      <c r="B26" s="463" t="s">
        <v>1158</v>
      </c>
      <c r="C26" s="464" t="s">
        <v>659</v>
      </c>
      <c r="D26" s="653">
        <v>240.28</v>
      </c>
      <c r="E26" s="465">
        <v>40</v>
      </c>
      <c r="F26" s="467">
        <v>66.989999999999995</v>
      </c>
      <c r="G26" s="466">
        <f t="shared" si="0"/>
        <v>307.27</v>
      </c>
    </row>
    <row r="27" spans="1:7" ht="15">
      <c r="A27" s="462" t="s">
        <v>883</v>
      </c>
      <c r="B27" s="463" t="s">
        <v>1159</v>
      </c>
      <c r="C27" s="464" t="s">
        <v>659</v>
      </c>
      <c r="D27" s="653">
        <v>100</v>
      </c>
      <c r="E27" s="465">
        <v>40</v>
      </c>
      <c r="F27" s="467">
        <v>66.989999999999995</v>
      </c>
      <c r="G27" s="466">
        <f t="shared" si="0"/>
        <v>166.99</v>
      </c>
    </row>
    <row r="28" spans="1:7" ht="15">
      <c r="A28" s="462" t="s">
        <v>884</v>
      </c>
      <c r="B28" s="463" t="s">
        <v>885</v>
      </c>
      <c r="C28" s="464" t="s">
        <v>659</v>
      </c>
      <c r="D28" s="653">
        <v>1680.33</v>
      </c>
      <c r="E28" s="465">
        <v>0</v>
      </c>
      <c r="F28" s="467">
        <v>0</v>
      </c>
      <c r="G28" s="466">
        <f t="shared" si="0"/>
        <v>1680.33</v>
      </c>
    </row>
    <row r="29" spans="1:7" ht="15">
      <c r="A29" s="462" t="s">
        <v>886</v>
      </c>
      <c r="B29" s="463" t="s">
        <v>887</v>
      </c>
      <c r="C29" s="464" t="s">
        <v>659</v>
      </c>
      <c r="D29" s="653">
        <v>5534</v>
      </c>
      <c r="E29" s="465">
        <v>0</v>
      </c>
      <c r="F29" s="467">
        <v>0</v>
      </c>
      <c r="G29" s="466">
        <f t="shared" si="0"/>
        <v>5534</v>
      </c>
    </row>
    <row r="30" spans="1:7" ht="15">
      <c r="A30" s="462" t="s">
        <v>888</v>
      </c>
      <c r="B30" s="463" t="s">
        <v>1160</v>
      </c>
      <c r="C30" s="464" t="s">
        <v>659</v>
      </c>
      <c r="D30" s="653">
        <v>480</v>
      </c>
      <c r="E30" s="465">
        <v>45</v>
      </c>
      <c r="F30" s="467">
        <v>72.8</v>
      </c>
      <c r="G30" s="466">
        <f t="shared" si="0"/>
        <v>552.79999999999995</v>
      </c>
    </row>
    <row r="31" spans="1:7" ht="15">
      <c r="A31" s="462" t="s">
        <v>889</v>
      </c>
      <c r="B31" s="463" t="s">
        <v>1161</v>
      </c>
      <c r="C31" s="464" t="s">
        <v>659</v>
      </c>
      <c r="D31" s="653">
        <v>520</v>
      </c>
      <c r="E31" s="465">
        <v>45</v>
      </c>
      <c r="F31" s="467">
        <v>72.8</v>
      </c>
      <c r="G31" s="466">
        <f t="shared" si="0"/>
        <v>592.79999999999995</v>
      </c>
    </row>
    <row r="32" spans="1:7" ht="15">
      <c r="A32" s="462" t="s">
        <v>890</v>
      </c>
      <c r="B32" s="463" t="s">
        <v>1162</v>
      </c>
      <c r="C32" s="464" t="s">
        <v>659</v>
      </c>
      <c r="D32" s="653">
        <v>550</v>
      </c>
      <c r="E32" s="465">
        <v>45</v>
      </c>
      <c r="F32" s="467">
        <v>72.8</v>
      </c>
      <c r="G32" s="466">
        <f t="shared" si="0"/>
        <v>622.79999999999995</v>
      </c>
    </row>
    <row r="33" spans="1:7" ht="15">
      <c r="A33" s="462" t="s">
        <v>891</v>
      </c>
      <c r="B33" s="463" t="s">
        <v>892</v>
      </c>
      <c r="C33" s="464" t="s">
        <v>893</v>
      </c>
      <c r="D33" s="653">
        <v>43</v>
      </c>
      <c r="E33" s="465">
        <v>0</v>
      </c>
      <c r="F33" s="467">
        <v>0</v>
      </c>
      <c r="G33" s="466">
        <f t="shared" si="0"/>
        <v>43</v>
      </c>
    </row>
    <row r="34" spans="1:7" ht="15">
      <c r="A34" s="462" t="s">
        <v>894</v>
      </c>
      <c r="B34" s="463" t="s">
        <v>895</v>
      </c>
      <c r="C34" s="464" t="s">
        <v>893</v>
      </c>
      <c r="D34" s="653">
        <v>33</v>
      </c>
      <c r="E34" s="465">
        <v>0</v>
      </c>
      <c r="F34" s="467">
        <v>0</v>
      </c>
      <c r="G34" s="466">
        <f t="shared" si="0"/>
        <v>33</v>
      </c>
    </row>
    <row r="35" spans="1:7" ht="15">
      <c r="A35" s="462" t="s">
        <v>896</v>
      </c>
      <c r="B35" s="463" t="s">
        <v>897</v>
      </c>
      <c r="C35" s="464" t="s">
        <v>893</v>
      </c>
      <c r="D35" s="653">
        <v>52</v>
      </c>
      <c r="E35" s="465">
        <v>0</v>
      </c>
      <c r="F35" s="467">
        <v>0</v>
      </c>
      <c r="G35" s="466">
        <f t="shared" si="0"/>
        <v>52</v>
      </c>
    </row>
    <row r="36" spans="1:7" ht="15">
      <c r="A36" s="462" t="s">
        <v>898</v>
      </c>
      <c r="B36" s="463" t="s">
        <v>899</v>
      </c>
      <c r="C36" s="464" t="s">
        <v>893</v>
      </c>
      <c r="D36" s="653">
        <v>85</v>
      </c>
      <c r="E36" s="465">
        <v>0</v>
      </c>
      <c r="F36" s="467">
        <v>0</v>
      </c>
      <c r="G36" s="466">
        <f t="shared" si="0"/>
        <v>85</v>
      </c>
    </row>
    <row r="37" spans="1:7" ht="15">
      <c r="A37" s="462" t="s">
        <v>900</v>
      </c>
      <c r="B37" s="463" t="s">
        <v>901</v>
      </c>
      <c r="C37" s="464" t="s">
        <v>893</v>
      </c>
      <c r="D37" s="653">
        <v>140</v>
      </c>
      <c r="E37" s="465">
        <v>0</v>
      </c>
      <c r="F37" s="467">
        <v>0</v>
      </c>
      <c r="G37" s="466">
        <f t="shared" si="0"/>
        <v>140</v>
      </c>
    </row>
    <row r="38" spans="1:7" ht="15">
      <c r="A38" s="462" t="s">
        <v>902</v>
      </c>
      <c r="B38" s="463" t="s">
        <v>903</v>
      </c>
      <c r="C38" s="464" t="s">
        <v>893</v>
      </c>
      <c r="D38" s="653">
        <v>89</v>
      </c>
      <c r="E38" s="465">
        <v>0</v>
      </c>
      <c r="F38" s="467">
        <v>0</v>
      </c>
      <c r="G38" s="466">
        <f t="shared" si="0"/>
        <v>89</v>
      </c>
    </row>
    <row r="39" spans="1:7" ht="15">
      <c r="A39" s="462" t="s">
        <v>904</v>
      </c>
      <c r="B39" s="463" t="s">
        <v>905</v>
      </c>
      <c r="C39" s="464" t="s">
        <v>893</v>
      </c>
      <c r="D39" s="653">
        <v>119</v>
      </c>
      <c r="E39" s="465">
        <v>0</v>
      </c>
      <c r="F39" s="467">
        <v>0</v>
      </c>
      <c r="G39" s="466">
        <f t="shared" si="0"/>
        <v>119</v>
      </c>
    </row>
    <row r="40" spans="1:7" ht="15">
      <c r="A40" s="462" t="s">
        <v>906</v>
      </c>
      <c r="B40" s="463" t="s">
        <v>907</v>
      </c>
      <c r="C40" s="464" t="s">
        <v>893</v>
      </c>
      <c r="D40" s="653">
        <v>30</v>
      </c>
      <c r="E40" s="465">
        <v>0</v>
      </c>
      <c r="F40" s="467">
        <v>0</v>
      </c>
      <c r="G40" s="466">
        <f t="shared" ref="G40:G71" si="1">D40+F40</f>
        <v>30</v>
      </c>
    </row>
    <row r="41" spans="1:7" ht="15">
      <c r="A41" s="462" t="s">
        <v>908</v>
      </c>
      <c r="B41" s="463" t="s">
        <v>909</v>
      </c>
      <c r="C41" s="464" t="s">
        <v>441</v>
      </c>
      <c r="D41" s="653">
        <v>750</v>
      </c>
      <c r="E41" s="465">
        <v>0</v>
      </c>
      <c r="F41" s="467">
        <v>0</v>
      </c>
      <c r="G41" s="466">
        <f t="shared" si="1"/>
        <v>750</v>
      </c>
    </row>
    <row r="42" spans="1:7" ht="15">
      <c r="A42" s="462" t="s">
        <v>910</v>
      </c>
      <c r="B42" s="463" t="s">
        <v>911</v>
      </c>
      <c r="C42" s="464" t="s">
        <v>441</v>
      </c>
      <c r="D42" s="653">
        <v>2200</v>
      </c>
      <c r="E42" s="465">
        <v>0</v>
      </c>
      <c r="F42" s="467">
        <v>0</v>
      </c>
      <c r="G42" s="466">
        <f t="shared" si="1"/>
        <v>2200</v>
      </c>
    </row>
    <row r="43" spans="1:7" ht="15">
      <c r="A43" s="462" t="s">
        <v>912</v>
      </c>
      <c r="B43" s="463" t="s">
        <v>913</v>
      </c>
      <c r="C43" s="464" t="s">
        <v>441</v>
      </c>
      <c r="D43" s="653">
        <v>320</v>
      </c>
      <c r="E43" s="465">
        <v>0</v>
      </c>
      <c r="F43" s="467">
        <v>0</v>
      </c>
      <c r="G43" s="466">
        <f t="shared" si="1"/>
        <v>320</v>
      </c>
    </row>
    <row r="44" spans="1:7" ht="15">
      <c r="A44" s="462" t="s">
        <v>914</v>
      </c>
      <c r="B44" s="463" t="s">
        <v>915</v>
      </c>
      <c r="C44" s="464" t="s">
        <v>441</v>
      </c>
      <c r="D44" s="653">
        <v>405</v>
      </c>
      <c r="E44" s="465">
        <v>0</v>
      </c>
      <c r="F44" s="467">
        <v>0</v>
      </c>
      <c r="G44" s="466">
        <f t="shared" si="1"/>
        <v>405</v>
      </c>
    </row>
    <row r="45" spans="1:7" ht="15">
      <c r="A45" s="462" t="s">
        <v>916</v>
      </c>
      <c r="B45" s="463" t="s">
        <v>917</v>
      </c>
      <c r="C45" s="464" t="s">
        <v>441</v>
      </c>
      <c r="D45" s="653">
        <v>2200</v>
      </c>
      <c r="E45" s="465">
        <v>0</v>
      </c>
      <c r="F45" s="467">
        <v>0</v>
      </c>
      <c r="G45" s="466">
        <f t="shared" si="1"/>
        <v>2200</v>
      </c>
    </row>
    <row r="46" spans="1:7" ht="15">
      <c r="A46" s="462" t="s">
        <v>918</v>
      </c>
      <c r="B46" s="463" t="s">
        <v>919</v>
      </c>
      <c r="C46" s="464" t="s">
        <v>441</v>
      </c>
      <c r="D46" s="653">
        <v>5000</v>
      </c>
      <c r="E46" s="465">
        <v>0</v>
      </c>
      <c r="F46" s="467">
        <v>0</v>
      </c>
      <c r="G46" s="466">
        <f t="shared" si="1"/>
        <v>5000</v>
      </c>
    </row>
    <row r="47" spans="1:7" ht="15">
      <c r="A47" s="462" t="s">
        <v>920</v>
      </c>
      <c r="B47" s="463" t="s">
        <v>921</v>
      </c>
      <c r="C47" s="464" t="s">
        <v>441</v>
      </c>
      <c r="D47" s="653">
        <v>13200</v>
      </c>
      <c r="E47" s="465">
        <v>0</v>
      </c>
      <c r="F47" s="467">
        <v>0</v>
      </c>
      <c r="G47" s="466">
        <f t="shared" si="1"/>
        <v>13200</v>
      </c>
    </row>
    <row r="48" spans="1:7" ht="15">
      <c r="A48" s="462" t="s">
        <v>922</v>
      </c>
      <c r="B48" s="463" t="s">
        <v>923</v>
      </c>
      <c r="C48" s="464" t="s">
        <v>441</v>
      </c>
      <c r="D48" s="653">
        <v>4500</v>
      </c>
      <c r="E48" s="465">
        <v>0</v>
      </c>
      <c r="F48" s="467">
        <v>0</v>
      </c>
      <c r="G48" s="466">
        <f t="shared" si="1"/>
        <v>4500</v>
      </c>
    </row>
    <row r="49" spans="1:7" ht="15">
      <c r="A49" s="462" t="s">
        <v>924</v>
      </c>
      <c r="B49" s="463" t="s">
        <v>925</v>
      </c>
      <c r="C49" s="464" t="s">
        <v>893</v>
      </c>
      <c r="D49" s="653">
        <v>47.442999999999998</v>
      </c>
      <c r="E49" s="465">
        <v>0</v>
      </c>
      <c r="F49" s="467">
        <v>0</v>
      </c>
      <c r="G49" s="466">
        <f t="shared" si="1"/>
        <v>47.442999999999998</v>
      </c>
    </row>
    <row r="50" spans="1:7" ht="15">
      <c r="A50" s="462" t="s">
        <v>926</v>
      </c>
      <c r="B50" s="463" t="s">
        <v>927</v>
      </c>
      <c r="C50" s="464" t="s">
        <v>441</v>
      </c>
      <c r="D50" s="653">
        <v>35</v>
      </c>
      <c r="E50" s="465">
        <v>0</v>
      </c>
      <c r="F50" s="467">
        <v>0</v>
      </c>
      <c r="G50" s="466">
        <f t="shared" si="1"/>
        <v>35</v>
      </c>
    </row>
    <row r="51" spans="1:7" ht="15">
      <c r="A51" s="462" t="s">
        <v>928</v>
      </c>
      <c r="B51" s="463" t="s">
        <v>929</v>
      </c>
      <c r="C51" s="464" t="s">
        <v>441</v>
      </c>
      <c r="D51" s="653">
        <v>115</v>
      </c>
      <c r="E51" s="465">
        <v>0</v>
      </c>
      <c r="F51" s="467">
        <v>0</v>
      </c>
      <c r="G51" s="466">
        <f t="shared" si="1"/>
        <v>115</v>
      </c>
    </row>
    <row r="52" spans="1:7" ht="15">
      <c r="A52" s="462" t="s">
        <v>930</v>
      </c>
      <c r="B52" s="463" t="s">
        <v>931</v>
      </c>
      <c r="C52" s="464" t="s">
        <v>441</v>
      </c>
      <c r="D52" s="653">
        <v>25</v>
      </c>
      <c r="E52" s="465">
        <v>0</v>
      </c>
      <c r="F52" s="467">
        <v>0</v>
      </c>
      <c r="G52" s="466">
        <f t="shared" si="1"/>
        <v>25</v>
      </c>
    </row>
    <row r="53" spans="1:7" ht="15">
      <c r="A53" s="462" t="s">
        <v>932</v>
      </c>
      <c r="B53" s="463" t="s">
        <v>933</v>
      </c>
      <c r="C53" s="464" t="s">
        <v>441</v>
      </c>
      <c r="D53" s="653">
        <v>150</v>
      </c>
      <c r="E53" s="465">
        <v>0</v>
      </c>
      <c r="F53" s="467">
        <v>0</v>
      </c>
      <c r="G53" s="466">
        <f t="shared" si="1"/>
        <v>150</v>
      </c>
    </row>
    <row r="54" spans="1:7" ht="15">
      <c r="A54" s="462" t="s">
        <v>934</v>
      </c>
      <c r="B54" s="463" t="s">
        <v>935</v>
      </c>
      <c r="C54" s="464" t="s">
        <v>441</v>
      </c>
      <c r="D54" s="653">
        <v>28.36</v>
      </c>
      <c r="E54" s="465">
        <v>0</v>
      </c>
      <c r="F54" s="467">
        <v>0</v>
      </c>
      <c r="G54" s="466">
        <f t="shared" si="1"/>
        <v>28.36</v>
      </c>
    </row>
    <row r="55" spans="1:7" ht="15">
      <c r="A55" s="462" t="s">
        <v>936</v>
      </c>
      <c r="B55" s="463" t="s">
        <v>937</v>
      </c>
      <c r="C55" s="464" t="s">
        <v>938</v>
      </c>
      <c r="D55" s="653">
        <v>11.55</v>
      </c>
      <c r="E55" s="465">
        <v>0</v>
      </c>
      <c r="F55" s="467">
        <v>0</v>
      </c>
      <c r="G55" s="466">
        <f t="shared" si="1"/>
        <v>11.55</v>
      </c>
    </row>
    <row r="56" spans="1:7" ht="15">
      <c r="A56" s="462" t="s">
        <v>939</v>
      </c>
      <c r="B56" s="463" t="s">
        <v>1163</v>
      </c>
      <c r="C56" s="464" t="s">
        <v>893</v>
      </c>
      <c r="D56" s="653">
        <v>435</v>
      </c>
      <c r="E56" s="465">
        <v>40</v>
      </c>
      <c r="F56" s="467">
        <f>'Cjenik PM'!G49</f>
        <v>42.58</v>
      </c>
      <c r="G56" s="466">
        <f t="shared" si="1"/>
        <v>477.58</v>
      </c>
    </row>
    <row r="57" spans="1:7" ht="15">
      <c r="A57" s="462" t="s">
        <v>940</v>
      </c>
      <c r="B57" s="463" t="s">
        <v>1164</v>
      </c>
      <c r="C57" s="464" t="s">
        <v>893</v>
      </c>
      <c r="D57" s="653">
        <v>475</v>
      </c>
      <c r="E57" s="465">
        <v>40</v>
      </c>
      <c r="F57" s="467">
        <f>F56</f>
        <v>42.58</v>
      </c>
      <c r="G57" s="466">
        <f t="shared" si="1"/>
        <v>517.58000000000004</v>
      </c>
    </row>
    <row r="58" spans="1:7" ht="15">
      <c r="A58" s="462" t="s">
        <v>941</v>
      </c>
      <c r="B58" s="463" t="s">
        <v>942</v>
      </c>
      <c r="C58" s="464" t="s">
        <v>893</v>
      </c>
      <c r="D58" s="653">
        <v>200</v>
      </c>
      <c r="E58" s="465">
        <v>0</v>
      </c>
      <c r="F58" s="467">
        <v>0</v>
      </c>
      <c r="G58" s="466">
        <f t="shared" si="1"/>
        <v>200</v>
      </c>
    </row>
    <row r="59" spans="1:7" ht="15">
      <c r="A59" s="462" t="s">
        <v>943</v>
      </c>
      <c r="B59" s="463" t="s">
        <v>944</v>
      </c>
      <c r="C59" s="464" t="s">
        <v>893</v>
      </c>
      <c r="D59" s="653">
        <v>170</v>
      </c>
      <c r="E59" s="465">
        <v>0</v>
      </c>
      <c r="F59" s="467">
        <v>0</v>
      </c>
      <c r="G59" s="466">
        <f t="shared" si="1"/>
        <v>170</v>
      </c>
    </row>
    <row r="60" spans="1:7" ht="15">
      <c r="A60" s="462" t="s">
        <v>945</v>
      </c>
      <c r="B60" s="463" t="s">
        <v>946</v>
      </c>
      <c r="C60" s="464" t="s">
        <v>655</v>
      </c>
      <c r="D60" s="653">
        <v>9.5</v>
      </c>
      <c r="E60" s="465">
        <v>0</v>
      </c>
      <c r="F60" s="467">
        <v>0</v>
      </c>
      <c r="G60" s="466">
        <f t="shared" si="1"/>
        <v>9.5</v>
      </c>
    </row>
    <row r="61" spans="1:7" ht="15">
      <c r="A61" s="462" t="s">
        <v>947</v>
      </c>
      <c r="B61" s="463" t="s">
        <v>1165</v>
      </c>
      <c r="C61" s="464" t="s">
        <v>655</v>
      </c>
      <c r="D61" s="653">
        <v>34</v>
      </c>
      <c r="E61" s="465">
        <v>0</v>
      </c>
      <c r="F61" s="467">
        <v>0</v>
      </c>
      <c r="G61" s="466">
        <f t="shared" si="1"/>
        <v>34</v>
      </c>
    </row>
    <row r="62" spans="1:7" ht="15">
      <c r="A62" s="462" t="s">
        <v>948</v>
      </c>
      <c r="B62" s="463" t="s">
        <v>1166</v>
      </c>
      <c r="C62" s="464" t="s">
        <v>655</v>
      </c>
      <c r="D62" s="653">
        <v>9.5</v>
      </c>
      <c r="E62" s="465">
        <v>0</v>
      </c>
      <c r="F62" s="467">
        <v>0</v>
      </c>
      <c r="G62" s="466">
        <f t="shared" si="1"/>
        <v>9.5</v>
      </c>
    </row>
    <row r="63" spans="1:7" ht="15">
      <c r="A63" s="462" t="s">
        <v>949</v>
      </c>
      <c r="B63" s="463" t="s">
        <v>950</v>
      </c>
      <c r="C63" s="464" t="s">
        <v>655</v>
      </c>
      <c r="D63" s="653">
        <v>9.5</v>
      </c>
      <c r="E63" s="465">
        <v>0</v>
      </c>
      <c r="F63" s="467">
        <v>0</v>
      </c>
      <c r="G63" s="466">
        <f t="shared" si="1"/>
        <v>9.5</v>
      </c>
    </row>
    <row r="64" spans="1:7" ht="15">
      <c r="A64" s="462" t="s">
        <v>951</v>
      </c>
      <c r="B64" s="463" t="s">
        <v>952</v>
      </c>
      <c r="C64" s="464" t="s">
        <v>893</v>
      </c>
      <c r="D64" s="653">
        <v>10</v>
      </c>
      <c r="E64" s="465">
        <v>0</v>
      </c>
      <c r="F64" s="467">
        <v>0</v>
      </c>
      <c r="G64" s="466">
        <f t="shared" si="1"/>
        <v>10</v>
      </c>
    </row>
    <row r="65" spans="1:7" ht="15">
      <c r="A65" s="462" t="s">
        <v>953</v>
      </c>
      <c r="B65" s="463" t="s">
        <v>954</v>
      </c>
      <c r="C65" s="464" t="s">
        <v>655</v>
      </c>
      <c r="D65" s="653">
        <v>29</v>
      </c>
      <c r="E65" s="465">
        <v>0</v>
      </c>
      <c r="F65" s="467">
        <v>0</v>
      </c>
      <c r="G65" s="466">
        <f t="shared" si="1"/>
        <v>29</v>
      </c>
    </row>
    <row r="66" spans="1:7" ht="15">
      <c r="A66" s="462" t="s">
        <v>955</v>
      </c>
      <c r="B66" s="463" t="s">
        <v>956</v>
      </c>
      <c r="C66" s="464" t="s">
        <v>938</v>
      </c>
      <c r="D66" s="653">
        <v>40.5</v>
      </c>
      <c r="E66" s="465">
        <v>0</v>
      </c>
      <c r="F66" s="467">
        <v>0</v>
      </c>
      <c r="G66" s="466">
        <f t="shared" si="1"/>
        <v>40.5</v>
      </c>
    </row>
    <row r="67" spans="1:7" ht="15">
      <c r="A67" s="462" t="s">
        <v>957</v>
      </c>
      <c r="B67" s="463" t="s">
        <v>958</v>
      </c>
      <c r="C67" s="464" t="s">
        <v>655</v>
      </c>
      <c r="D67" s="653">
        <v>13</v>
      </c>
      <c r="E67" s="465">
        <v>0</v>
      </c>
      <c r="F67" s="467">
        <v>0</v>
      </c>
      <c r="G67" s="466">
        <f t="shared" si="1"/>
        <v>13</v>
      </c>
    </row>
    <row r="68" spans="1:7" ht="15">
      <c r="A68" s="462" t="s">
        <v>959</v>
      </c>
      <c r="B68" s="463" t="s">
        <v>960</v>
      </c>
      <c r="C68" s="464" t="s">
        <v>938</v>
      </c>
      <c r="D68" s="653">
        <v>40.5</v>
      </c>
      <c r="E68" s="465">
        <v>0</v>
      </c>
      <c r="F68" s="467">
        <v>0</v>
      </c>
      <c r="G68" s="466">
        <f t="shared" si="1"/>
        <v>40.5</v>
      </c>
    </row>
    <row r="69" spans="1:7" ht="15">
      <c r="A69" s="462" t="s">
        <v>961</v>
      </c>
      <c r="B69" s="463" t="s">
        <v>962</v>
      </c>
      <c r="C69" s="464" t="s">
        <v>655</v>
      </c>
      <c r="D69" s="653">
        <v>11</v>
      </c>
      <c r="E69" s="465">
        <v>0</v>
      </c>
      <c r="F69" s="467">
        <v>0</v>
      </c>
      <c r="G69" s="466">
        <f t="shared" si="1"/>
        <v>11</v>
      </c>
    </row>
    <row r="70" spans="1:7" ht="15">
      <c r="A70" s="462" t="s">
        <v>963</v>
      </c>
      <c r="B70" s="463" t="s">
        <v>1167</v>
      </c>
      <c r="C70" s="464" t="s">
        <v>655</v>
      </c>
      <c r="D70" s="653">
        <v>8.1999999999999993</v>
      </c>
      <c r="E70" s="465">
        <v>0</v>
      </c>
      <c r="F70" s="467">
        <v>0</v>
      </c>
      <c r="G70" s="466">
        <f t="shared" si="1"/>
        <v>8.1999999999999993</v>
      </c>
    </row>
    <row r="71" spans="1:7" ht="15">
      <c r="A71" s="462" t="s">
        <v>966</v>
      </c>
      <c r="B71" s="463" t="s">
        <v>964</v>
      </c>
      <c r="C71" s="464" t="s">
        <v>965</v>
      </c>
      <c r="D71" s="653">
        <v>9.75</v>
      </c>
      <c r="E71" s="465">
        <v>0</v>
      </c>
      <c r="F71" s="467">
        <v>0</v>
      </c>
      <c r="G71" s="466">
        <f t="shared" si="1"/>
        <v>9.75</v>
      </c>
    </row>
    <row r="72" spans="1:7" ht="15">
      <c r="A72" s="462" t="s">
        <v>967</v>
      </c>
      <c r="B72" s="463" t="s">
        <v>1168</v>
      </c>
      <c r="C72" s="464" t="s">
        <v>655</v>
      </c>
      <c r="D72" s="653">
        <v>60</v>
      </c>
      <c r="E72" s="465">
        <v>0</v>
      </c>
      <c r="F72" s="467">
        <v>0</v>
      </c>
      <c r="G72" s="466">
        <f t="shared" ref="G72:G103" si="2">D72+F72</f>
        <v>60</v>
      </c>
    </row>
    <row r="73" spans="1:7" ht="15">
      <c r="A73" s="462" t="s">
        <v>969</v>
      </c>
      <c r="B73" s="463" t="s">
        <v>1169</v>
      </c>
      <c r="C73" s="464" t="s">
        <v>655</v>
      </c>
      <c r="D73" s="653">
        <v>60</v>
      </c>
      <c r="E73" s="465">
        <v>0</v>
      </c>
      <c r="F73" s="467">
        <v>0</v>
      </c>
      <c r="G73" s="466">
        <f t="shared" si="2"/>
        <v>60</v>
      </c>
    </row>
    <row r="74" spans="1:7" ht="15">
      <c r="A74" s="462" t="s">
        <v>971</v>
      </c>
      <c r="B74" s="463" t="s">
        <v>968</v>
      </c>
      <c r="C74" s="464" t="s">
        <v>655</v>
      </c>
      <c r="D74" s="653">
        <v>25</v>
      </c>
      <c r="E74" s="465">
        <v>0</v>
      </c>
      <c r="F74" s="467">
        <v>0</v>
      </c>
      <c r="G74" s="466">
        <f t="shared" si="2"/>
        <v>25</v>
      </c>
    </row>
    <row r="75" spans="1:7" ht="15">
      <c r="A75" s="462" t="s">
        <v>973</v>
      </c>
      <c r="B75" s="463" t="s">
        <v>970</v>
      </c>
      <c r="C75" s="464" t="s">
        <v>655</v>
      </c>
      <c r="D75" s="653">
        <v>17</v>
      </c>
      <c r="E75" s="465">
        <v>0</v>
      </c>
      <c r="F75" s="467">
        <v>0</v>
      </c>
      <c r="G75" s="466">
        <f t="shared" si="2"/>
        <v>17</v>
      </c>
    </row>
    <row r="76" spans="1:7" ht="15">
      <c r="A76" s="462" t="s">
        <v>975</v>
      </c>
      <c r="B76" s="463" t="s">
        <v>972</v>
      </c>
      <c r="C76" s="464" t="s">
        <v>655</v>
      </c>
      <c r="D76" s="653">
        <v>9.5</v>
      </c>
      <c r="E76" s="465">
        <v>0</v>
      </c>
      <c r="F76" s="467">
        <v>0</v>
      </c>
      <c r="G76" s="466">
        <f t="shared" si="2"/>
        <v>9.5</v>
      </c>
    </row>
    <row r="77" spans="1:7" ht="15">
      <c r="A77" s="462" t="s">
        <v>977</v>
      </c>
      <c r="B77" s="463" t="s">
        <v>974</v>
      </c>
      <c r="C77" s="464" t="s">
        <v>655</v>
      </c>
      <c r="D77" s="653">
        <v>0.9</v>
      </c>
      <c r="E77" s="465">
        <v>0</v>
      </c>
      <c r="F77" s="467">
        <v>0</v>
      </c>
      <c r="G77" s="466">
        <f t="shared" si="2"/>
        <v>0.9</v>
      </c>
    </row>
    <row r="78" spans="1:7" ht="15">
      <c r="A78" s="462" t="s">
        <v>979</v>
      </c>
      <c r="B78" s="463" t="s">
        <v>976</v>
      </c>
      <c r="C78" s="464" t="s">
        <v>655</v>
      </c>
      <c r="D78" s="653">
        <v>7</v>
      </c>
      <c r="E78" s="465">
        <v>0</v>
      </c>
      <c r="F78" s="467">
        <v>0</v>
      </c>
      <c r="G78" s="466">
        <f t="shared" si="2"/>
        <v>7</v>
      </c>
    </row>
    <row r="79" spans="1:7" ht="15">
      <c r="A79" s="462" t="s">
        <v>981</v>
      </c>
      <c r="B79" s="463" t="s">
        <v>978</v>
      </c>
      <c r="C79" s="464" t="s">
        <v>659</v>
      </c>
      <c r="D79" s="653">
        <v>580</v>
      </c>
      <c r="E79" s="465">
        <v>0</v>
      </c>
      <c r="F79" s="467">
        <v>0</v>
      </c>
      <c r="G79" s="466">
        <f t="shared" si="2"/>
        <v>580</v>
      </c>
    </row>
    <row r="80" spans="1:7" ht="15">
      <c r="A80" s="462" t="s">
        <v>983</v>
      </c>
      <c r="B80" s="463" t="s">
        <v>980</v>
      </c>
      <c r="C80" s="464" t="s">
        <v>655</v>
      </c>
      <c r="D80" s="653">
        <v>140</v>
      </c>
      <c r="E80" s="465">
        <v>0</v>
      </c>
      <c r="F80" s="467">
        <v>0</v>
      </c>
      <c r="G80" s="466">
        <f t="shared" si="2"/>
        <v>140</v>
      </c>
    </row>
    <row r="81" spans="1:7" ht="15">
      <c r="A81" s="462" t="s">
        <v>985</v>
      </c>
      <c r="B81" s="463" t="s">
        <v>982</v>
      </c>
      <c r="C81" s="464" t="s">
        <v>655</v>
      </c>
      <c r="D81" s="653">
        <v>19.5</v>
      </c>
      <c r="E81" s="465">
        <v>0</v>
      </c>
      <c r="F81" s="467">
        <v>0</v>
      </c>
      <c r="G81" s="466">
        <f t="shared" si="2"/>
        <v>19.5</v>
      </c>
    </row>
    <row r="82" spans="1:7" ht="15">
      <c r="A82" s="462" t="s">
        <v>987</v>
      </c>
      <c r="B82" s="463" t="s">
        <v>984</v>
      </c>
      <c r="C82" s="464" t="s">
        <v>655</v>
      </c>
      <c r="D82" s="653">
        <v>14</v>
      </c>
      <c r="E82" s="465">
        <v>0</v>
      </c>
      <c r="F82" s="467">
        <v>0</v>
      </c>
      <c r="G82" s="466">
        <f t="shared" si="2"/>
        <v>14</v>
      </c>
    </row>
    <row r="83" spans="1:7" ht="15">
      <c r="A83" s="462" t="s">
        <v>989</v>
      </c>
      <c r="B83" s="463" t="s">
        <v>986</v>
      </c>
      <c r="C83" s="464" t="s">
        <v>655</v>
      </c>
      <c r="D83" s="653">
        <v>13</v>
      </c>
      <c r="E83" s="465">
        <v>0</v>
      </c>
      <c r="F83" s="467">
        <v>0</v>
      </c>
      <c r="G83" s="466">
        <f t="shared" si="2"/>
        <v>13</v>
      </c>
    </row>
    <row r="84" spans="1:7" ht="15">
      <c r="A84" s="462" t="s">
        <v>991</v>
      </c>
      <c r="B84" s="463" t="s">
        <v>988</v>
      </c>
      <c r="C84" s="464" t="s">
        <v>118</v>
      </c>
      <c r="D84" s="653">
        <v>1725</v>
      </c>
      <c r="E84" s="465">
        <v>0</v>
      </c>
      <c r="F84" s="467">
        <v>0</v>
      </c>
      <c r="G84" s="466">
        <f t="shared" si="2"/>
        <v>1725</v>
      </c>
    </row>
    <row r="85" spans="1:7" ht="15">
      <c r="A85" s="462" t="s">
        <v>992</v>
      </c>
      <c r="B85" s="463" t="s">
        <v>990</v>
      </c>
      <c r="C85" s="464" t="s">
        <v>118</v>
      </c>
      <c r="D85" s="653">
        <v>643</v>
      </c>
      <c r="E85" s="465">
        <v>0</v>
      </c>
      <c r="F85" s="467">
        <v>0</v>
      </c>
      <c r="G85" s="466">
        <f t="shared" si="2"/>
        <v>643</v>
      </c>
    </row>
    <row r="86" spans="1:7" ht="15">
      <c r="A86" s="462" t="s">
        <v>993</v>
      </c>
      <c r="B86" s="463" t="s">
        <v>830</v>
      </c>
      <c r="C86" s="464" t="s">
        <v>118</v>
      </c>
      <c r="D86" s="653">
        <v>3350</v>
      </c>
      <c r="E86" s="465">
        <v>0</v>
      </c>
      <c r="F86" s="467">
        <v>0</v>
      </c>
      <c r="G86" s="466">
        <f t="shared" si="2"/>
        <v>3350</v>
      </c>
    </row>
    <row r="87" spans="1:7" ht="15">
      <c r="A87" s="462" t="s">
        <v>995</v>
      </c>
      <c r="B87" s="463" t="s">
        <v>259</v>
      </c>
      <c r="C87" s="464" t="s">
        <v>655</v>
      </c>
      <c r="D87" s="653">
        <v>42</v>
      </c>
      <c r="E87" s="465">
        <v>0</v>
      </c>
      <c r="F87" s="467">
        <v>0</v>
      </c>
      <c r="G87" s="466">
        <f t="shared" si="2"/>
        <v>42</v>
      </c>
    </row>
    <row r="88" spans="1:7" ht="15">
      <c r="A88" s="462" t="s">
        <v>997</v>
      </c>
      <c r="B88" s="463" t="s">
        <v>994</v>
      </c>
      <c r="C88" s="464" t="s">
        <v>441</v>
      </c>
      <c r="D88" s="653">
        <v>75</v>
      </c>
      <c r="E88" s="465">
        <v>0</v>
      </c>
      <c r="F88" s="467">
        <v>0</v>
      </c>
      <c r="G88" s="466">
        <f t="shared" si="2"/>
        <v>75</v>
      </c>
    </row>
    <row r="89" spans="1:7" ht="15">
      <c r="A89" s="462" t="s">
        <v>999</v>
      </c>
      <c r="B89" s="463" t="s">
        <v>996</v>
      </c>
      <c r="C89" s="464" t="s">
        <v>655</v>
      </c>
      <c r="D89" s="653">
        <v>12</v>
      </c>
      <c r="E89" s="465">
        <v>0</v>
      </c>
      <c r="F89" s="467">
        <v>0</v>
      </c>
      <c r="G89" s="466">
        <f t="shared" si="2"/>
        <v>12</v>
      </c>
    </row>
    <row r="90" spans="1:7" ht="15">
      <c r="A90" s="462" t="s">
        <v>1001</v>
      </c>
      <c r="B90" s="463" t="s">
        <v>998</v>
      </c>
      <c r="C90" s="464" t="s">
        <v>655</v>
      </c>
      <c r="D90" s="653">
        <v>15</v>
      </c>
      <c r="E90" s="465">
        <v>0</v>
      </c>
      <c r="F90" s="467">
        <v>0</v>
      </c>
      <c r="G90" s="466">
        <f t="shared" si="2"/>
        <v>15</v>
      </c>
    </row>
    <row r="91" spans="1:7" ht="15">
      <c r="A91" s="462" t="s">
        <v>1003</v>
      </c>
      <c r="B91" s="463" t="s">
        <v>1000</v>
      </c>
      <c r="C91" s="464" t="s">
        <v>441</v>
      </c>
      <c r="D91" s="653">
        <v>75</v>
      </c>
      <c r="E91" s="465">
        <v>0</v>
      </c>
      <c r="F91" s="467">
        <v>0</v>
      </c>
      <c r="G91" s="466">
        <f t="shared" si="2"/>
        <v>75</v>
      </c>
    </row>
    <row r="92" spans="1:7" ht="15">
      <c r="A92" s="462" t="s">
        <v>1005</v>
      </c>
      <c r="B92" s="463" t="s">
        <v>1002</v>
      </c>
      <c r="C92" s="464" t="s">
        <v>659</v>
      </c>
      <c r="D92" s="653">
        <v>9</v>
      </c>
      <c r="E92" s="465">
        <v>0</v>
      </c>
      <c r="F92" s="467">
        <v>0</v>
      </c>
      <c r="G92" s="466">
        <f t="shared" si="2"/>
        <v>9</v>
      </c>
    </row>
    <row r="93" spans="1:7" ht="15">
      <c r="A93" s="462" t="s">
        <v>1007</v>
      </c>
      <c r="B93" s="463" t="s">
        <v>1004</v>
      </c>
      <c r="C93" s="464" t="s">
        <v>441</v>
      </c>
      <c r="D93" s="653">
        <v>250</v>
      </c>
      <c r="E93" s="465">
        <v>0</v>
      </c>
      <c r="F93" s="467">
        <v>0</v>
      </c>
      <c r="G93" s="466">
        <f t="shared" si="2"/>
        <v>250</v>
      </c>
    </row>
    <row r="94" spans="1:7" ht="15">
      <c r="A94" s="462" t="s">
        <v>1009</v>
      </c>
      <c r="B94" s="463" t="s">
        <v>1170</v>
      </c>
      <c r="C94" s="464" t="s">
        <v>659</v>
      </c>
      <c r="D94" s="653">
        <v>850</v>
      </c>
      <c r="E94" s="465">
        <v>0</v>
      </c>
      <c r="F94" s="467">
        <v>0</v>
      </c>
      <c r="G94" s="466">
        <f t="shared" si="2"/>
        <v>850</v>
      </c>
    </row>
    <row r="95" spans="1:7" ht="15">
      <c r="A95" s="462" t="s">
        <v>1010</v>
      </c>
      <c r="B95" s="463" t="s">
        <v>1006</v>
      </c>
      <c r="C95" s="464" t="s">
        <v>893</v>
      </c>
      <c r="D95" s="653">
        <v>200</v>
      </c>
      <c r="E95" s="465">
        <v>0</v>
      </c>
      <c r="F95" s="467">
        <v>0</v>
      </c>
      <c r="G95" s="466">
        <f t="shared" si="2"/>
        <v>200</v>
      </c>
    </row>
    <row r="96" spans="1:7" ht="15">
      <c r="A96" s="462" t="s">
        <v>1011</v>
      </c>
      <c r="B96" s="463" t="s">
        <v>1008</v>
      </c>
      <c r="C96" s="464" t="s">
        <v>118</v>
      </c>
      <c r="D96" s="653">
        <v>540</v>
      </c>
      <c r="E96" s="465">
        <v>0</v>
      </c>
      <c r="F96" s="467">
        <v>0</v>
      </c>
      <c r="G96" s="466">
        <f t="shared" si="2"/>
        <v>540</v>
      </c>
    </row>
    <row r="97" spans="1:7" ht="15">
      <c r="A97" s="462" t="s">
        <v>1012</v>
      </c>
      <c r="B97" s="463" t="s">
        <v>1171</v>
      </c>
      <c r="C97" s="464" t="s">
        <v>118</v>
      </c>
      <c r="D97" s="653">
        <v>390</v>
      </c>
      <c r="E97" s="465">
        <v>45</v>
      </c>
      <c r="F97" s="467">
        <v>46.97</v>
      </c>
      <c r="G97" s="466">
        <f t="shared" si="2"/>
        <v>436.97</v>
      </c>
    </row>
    <row r="98" spans="1:7" ht="15">
      <c r="A98" s="462" t="s">
        <v>1013</v>
      </c>
      <c r="B98" s="463" t="s">
        <v>1172</v>
      </c>
      <c r="C98" s="464" t="s">
        <v>655</v>
      </c>
      <c r="D98" s="653">
        <v>8.1999999999999993</v>
      </c>
      <c r="E98" s="465">
        <v>0</v>
      </c>
      <c r="F98" s="467">
        <v>0</v>
      </c>
      <c r="G98" s="466">
        <f t="shared" si="2"/>
        <v>8.1999999999999993</v>
      </c>
    </row>
    <row r="99" spans="1:7" ht="15">
      <c r="A99" s="462" t="s">
        <v>1014</v>
      </c>
      <c r="B99" s="463" t="s">
        <v>1173</v>
      </c>
      <c r="C99" s="464" t="s">
        <v>655</v>
      </c>
      <c r="D99" s="653">
        <v>8.1999999999999993</v>
      </c>
      <c r="E99" s="465">
        <v>0</v>
      </c>
      <c r="F99" s="467">
        <v>0</v>
      </c>
      <c r="G99" s="466">
        <f t="shared" si="2"/>
        <v>8.1999999999999993</v>
      </c>
    </row>
    <row r="100" spans="1:7" ht="15">
      <c r="A100" s="462" t="s">
        <v>1015</v>
      </c>
      <c r="B100" s="463" t="s">
        <v>1174</v>
      </c>
      <c r="C100" s="464" t="s">
        <v>655</v>
      </c>
      <c r="D100" s="653">
        <v>21.7</v>
      </c>
      <c r="E100" s="465">
        <v>0</v>
      </c>
      <c r="F100" s="467">
        <v>0</v>
      </c>
      <c r="G100" s="466">
        <f t="shared" si="2"/>
        <v>21.7</v>
      </c>
    </row>
    <row r="101" spans="1:7" ht="15">
      <c r="A101" s="462" t="s">
        <v>1016</v>
      </c>
      <c r="B101" s="463" t="s">
        <v>1175</v>
      </c>
      <c r="C101" s="464" t="s">
        <v>659</v>
      </c>
      <c r="D101" s="653">
        <v>115</v>
      </c>
      <c r="E101" s="465">
        <f>E21</f>
        <v>45</v>
      </c>
      <c r="F101" s="467">
        <v>66.989999999999995</v>
      </c>
      <c r="G101" s="466">
        <f t="shared" si="2"/>
        <v>181.99</v>
      </c>
    </row>
    <row r="102" spans="1:7" ht="15">
      <c r="A102" s="462" t="s">
        <v>1017</v>
      </c>
      <c r="B102" s="463" t="s">
        <v>1176</v>
      </c>
      <c r="C102" s="464" t="s">
        <v>659</v>
      </c>
      <c r="D102" s="653">
        <v>500</v>
      </c>
      <c r="E102" s="465">
        <f>E31</f>
        <v>45</v>
      </c>
      <c r="F102" s="467">
        <v>72.8</v>
      </c>
      <c r="G102" s="466">
        <f t="shared" si="2"/>
        <v>572.79999999999995</v>
      </c>
    </row>
    <row r="103" spans="1:7" ht="15">
      <c r="A103" s="462" t="s">
        <v>1019</v>
      </c>
      <c r="B103" s="463" t="s">
        <v>1177</v>
      </c>
      <c r="C103" s="464" t="s">
        <v>893</v>
      </c>
      <c r="D103" s="653">
        <v>90</v>
      </c>
      <c r="E103" s="465">
        <v>0</v>
      </c>
      <c r="F103" s="467">
        <v>0</v>
      </c>
      <c r="G103" s="466">
        <f t="shared" si="2"/>
        <v>90</v>
      </c>
    </row>
    <row r="104" spans="1:7" ht="15">
      <c r="A104" s="462" t="s">
        <v>1021</v>
      </c>
      <c r="B104" s="463" t="s">
        <v>1178</v>
      </c>
      <c r="C104" s="464" t="s">
        <v>893</v>
      </c>
      <c r="D104" s="653">
        <v>200</v>
      </c>
      <c r="E104" s="465">
        <v>0</v>
      </c>
      <c r="F104" s="467">
        <v>0</v>
      </c>
      <c r="G104" s="466">
        <f t="shared" ref="G104:G109" si="3">D104+F104</f>
        <v>200</v>
      </c>
    </row>
    <row r="105" spans="1:7" ht="15">
      <c r="A105" s="462" t="s">
        <v>1179</v>
      </c>
      <c r="B105" s="463" t="s">
        <v>1018</v>
      </c>
      <c r="C105" s="464" t="s">
        <v>893</v>
      </c>
      <c r="D105" s="653">
        <v>110</v>
      </c>
      <c r="E105" s="465">
        <v>0</v>
      </c>
      <c r="F105" s="467">
        <v>0</v>
      </c>
      <c r="G105" s="466">
        <f t="shared" si="3"/>
        <v>110</v>
      </c>
    </row>
    <row r="106" spans="1:7" ht="15">
      <c r="A106" s="462" t="s">
        <v>1180</v>
      </c>
      <c r="B106" s="463" t="s">
        <v>1181</v>
      </c>
      <c r="C106" s="464" t="s">
        <v>893</v>
      </c>
      <c r="D106" s="653">
        <v>280</v>
      </c>
      <c r="E106" s="465">
        <v>0</v>
      </c>
      <c r="F106" s="467">
        <v>0</v>
      </c>
      <c r="G106" s="466">
        <f t="shared" si="3"/>
        <v>280</v>
      </c>
    </row>
    <row r="107" spans="1:7" ht="15">
      <c r="A107" s="462" t="s">
        <v>1182</v>
      </c>
      <c r="B107" s="463" t="s">
        <v>1183</v>
      </c>
      <c r="C107" s="464" t="s">
        <v>118</v>
      </c>
      <c r="D107" s="653">
        <v>850</v>
      </c>
      <c r="E107" s="465">
        <v>0</v>
      </c>
      <c r="F107" s="467">
        <v>0</v>
      </c>
      <c r="G107" s="466">
        <f t="shared" si="3"/>
        <v>850</v>
      </c>
    </row>
    <row r="108" spans="1:7" ht="15">
      <c r="A108" s="462" t="s">
        <v>1184</v>
      </c>
      <c r="B108" s="463" t="s">
        <v>1020</v>
      </c>
      <c r="C108" s="464" t="s">
        <v>655</v>
      </c>
      <c r="D108" s="653">
        <v>68.680000000000007</v>
      </c>
      <c r="E108" s="465">
        <v>0</v>
      </c>
      <c r="F108" s="467">
        <v>0</v>
      </c>
      <c r="G108" s="466">
        <f t="shared" si="3"/>
        <v>68.680000000000007</v>
      </c>
    </row>
    <row r="109" spans="1:7" ht="15">
      <c r="A109" s="462" t="s">
        <v>1185</v>
      </c>
      <c r="B109" s="463" t="s">
        <v>1022</v>
      </c>
      <c r="C109" s="464" t="s">
        <v>441</v>
      </c>
      <c r="D109" s="653">
        <v>285</v>
      </c>
      <c r="E109" s="465">
        <v>0</v>
      </c>
      <c r="F109" s="467">
        <v>0</v>
      </c>
      <c r="G109" s="466">
        <f t="shared" si="3"/>
        <v>285</v>
      </c>
    </row>
  </sheetData>
  <sheetProtection selectLockedCells="1"/>
  <mergeCells count="6">
    <mergeCell ref="D5:G5"/>
    <mergeCell ref="D6:G6"/>
    <mergeCell ref="A3:C3"/>
    <mergeCell ref="A5:A7"/>
    <mergeCell ref="B5:B7"/>
    <mergeCell ref="C5:C7"/>
  </mergeCells>
  <phoneticPr fontId="44" type="noConversion"/>
  <pageMargins left="0.19685039370078741" right="0.19685039370078741" top="0.39370078740157483" bottom="0.78740157480314965" header="0.19685039370078741" footer="0.19685039370078741"/>
  <pageSetup paperSize="9" scale="75" orientation="portrait" cellComments="asDisplayed" horizontalDpi="4294967295" r:id="rId1"/>
  <headerFooter alignWithMargins="0">
    <oddHeader>&amp;L&amp;8HRVATSKE CESTE d.o.o.&amp;C&amp;8STANDARD REDOVNOG ODRŽAVANJA CESTA 2009.&amp;R&amp;8&amp;D</oddHeader>
    <oddFooter>&amp;L&amp;8&amp;F&amp;C&amp;8&amp;A&amp;R&amp;8&amp;P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J21"/>
  <sheetViews>
    <sheetView showZeros="0" view="pageLayout" zoomScaleNormal="100" zoomScaleSheetLayoutView="85" workbookViewId="0">
      <selection activeCell="G3" sqref="G3"/>
    </sheetView>
  </sheetViews>
  <sheetFormatPr defaultRowHeight="12.75"/>
  <cols>
    <col min="1" max="1" width="9.28515625" style="507" customWidth="1"/>
    <col min="2" max="2" width="57.7109375" style="509" customWidth="1"/>
    <col min="3" max="6" width="35.7109375" style="533" hidden="1" customWidth="1"/>
    <col min="7" max="7" width="35.5703125" style="533" customWidth="1"/>
    <col min="8" max="8" width="9.140625" style="508"/>
    <col min="9" max="9" width="13.7109375" style="508" bestFit="1" customWidth="1"/>
    <col min="10" max="16384" width="9.140625" style="508"/>
  </cols>
  <sheetData>
    <row r="1" spans="1:10" ht="19.899999999999999" customHeight="1">
      <c r="A1" s="827" t="str">
        <f>'situacija 12 2021'!A1</f>
        <v>ŽUPANIJA: LIČKO - SENJSKA</v>
      </c>
      <c r="B1" s="828"/>
      <c r="C1" s="507"/>
      <c r="D1" s="507"/>
      <c r="E1" s="507"/>
      <c r="F1" s="507"/>
      <c r="G1" s="717" t="s">
        <v>1197</v>
      </c>
      <c r="H1" s="718"/>
      <c r="I1" s="718"/>
      <c r="J1" s="718"/>
    </row>
    <row r="2" spans="1:10" ht="18.75" customHeight="1">
      <c r="A2" s="832" t="s">
        <v>1</v>
      </c>
      <c r="B2" s="833"/>
      <c r="C2" s="507"/>
      <c r="D2" s="507"/>
      <c r="E2" s="507"/>
      <c r="F2" s="507"/>
      <c r="G2" s="507"/>
    </row>
    <row r="3" spans="1:10" ht="30.2" customHeight="1">
      <c r="A3" s="829" t="str">
        <f>'situacija 12 2021'!A3:C3</f>
        <v>PRIVREMENA MJESEČNA SITUACIJA ZA RADOVE REDOVITOG ODRŽAVANJA GRAĐEVINA, UREĐAJA I PREDMETA JAVNE NAMJENE</v>
      </c>
      <c r="B3" s="829"/>
      <c r="C3" s="829"/>
      <c r="D3" s="510"/>
      <c r="E3" s="510"/>
      <c r="F3" s="510"/>
      <c r="G3" s="510"/>
    </row>
    <row r="4" spans="1:10" ht="4.9000000000000004" customHeight="1" thickBot="1">
      <c r="A4" s="511"/>
      <c r="B4" s="511"/>
      <c r="C4" s="512"/>
      <c r="D4" s="512"/>
      <c r="E4" s="512"/>
      <c r="F4" s="512"/>
      <c r="G4" s="512"/>
    </row>
    <row r="5" spans="1:10" ht="40.15" customHeight="1" thickBot="1">
      <c r="A5" s="830"/>
      <c r="B5" s="830"/>
      <c r="C5" s="513" t="e">
        <f>'situacija 12 2021'!#REF!</f>
        <v>#REF!</v>
      </c>
      <c r="D5" s="513" t="e">
        <f>'situacija 12 2021'!#REF!</f>
        <v>#REF!</v>
      </c>
      <c r="E5" s="513" t="e">
        <f>'situacija 12 2021'!#REF!</f>
        <v>#REF!</v>
      </c>
      <c r="F5" s="513" t="e">
        <f>'situacija 12 2021'!#REF!</f>
        <v>#REF!</v>
      </c>
      <c r="G5" s="513">
        <f>'situacija 12 2021'!D5</f>
        <v>0</v>
      </c>
    </row>
    <row r="6" spans="1:10" ht="44.1" customHeight="1" thickBot="1">
      <c r="A6" s="514" t="str">
        <f>'situacija 12 2021'!A6</f>
        <v>Pozicija</v>
      </c>
      <c r="B6" s="515" t="str">
        <f>'situacija 12 2021'!B6</f>
        <v>Opis rada</v>
      </c>
      <c r="C6" s="516" t="e">
        <f>'situacija 12 2021'!#REF!</f>
        <v>#REF!</v>
      </c>
      <c r="D6" s="516" t="e">
        <f>'situacija 12 2021'!#REF!</f>
        <v>#REF!</v>
      </c>
      <c r="E6" s="516" t="e">
        <f>'situacija 12 2021'!#REF!</f>
        <v>#REF!</v>
      </c>
      <c r="F6" s="516" t="e">
        <f>'situacija 12 2021'!#REF!</f>
        <v>#REF!</v>
      </c>
      <c r="G6" s="516" t="str">
        <f>'situacija 12 2021'!F6</f>
        <v>Vrijednost radova</v>
      </c>
    </row>
    <row r="7" spans="1:10" s="520" customFormat="1" ht="20.100000000000001" customHeight="1">
      <c r="A7" s="517" t="str">
        <f>'situacija 12 2021'!A8</f>
        <v>1.</v>
      </c>
      <c r="B7" s="518" t="str">
        <f>'situacija 12 2021'!B8</f>
        <v>STAJALIŠTA JAVNOG PROMETA</v>
      </c>
      <c r="C7" s="519" t="e">
        <f>'situacija 12 2021'!#REF!</f>
        <v>#REF!</v>
      </c>
      <c r="D7" s="519" t="e">
        <f>'situacija 12 2021'!#REF!</f>
        <v>#REF!</v>
      </c>
      <c r="E7" s="519" t="e">
        <f>'situacija 12 2021'!#REF!</f>
        <v>#REF!</v>
      </c>
      <c r="F7" s="519" t="e">
        <f>'situacija 12 2021'!#REF!</f>
        <v>#REF!</v>
      </c>
      <c r="G7" s="696">
        <f>'situacija 12 2021'!F8</f>
        <v>0</v>
      </c>
      <c r="I7" s="521"/>
      <c r="J7" s="521"/>
    </row>
    <row r="8" spans="1:10" s="520" customFormat="1" ht="20.100000000000001" customHeight="1">
      <c r="A8" s="522" t="str">
        <f>'situacija 12 2021'!A12</f>
        <v>2.</v>
      </c>
      <c r="B8" s="523" t="str">
        <f>'situacija 12 2021'!B12</f>
        <v>ODRŽAVANJE JAVNE FONTANE</v>
      </c>
      <c r="C8" s="524" t="e">
        <f>'situacija 12 2021'!#REF!</f>
        <v>#REF!</v>
      </c>
      <c r="D8" s="524" t="e">
        <f>'situacija 12 2021'!#REF!</f>
        <v>#REF!</v>
      </c>
      <c r="E8" s="524" t="e">
        <f>'situacija 12 2021'!#REF!</f>
        <v>#REF!</v>
      </c>
      <c r="F8" s="524" t="e">
        <f>'situacija 12 2021'!#REF!</f>
        <v>#REF!</v>
      </c>
      <c r="G8" s="697">
        <f>'situacija 12 2021'!F12</f>
        <v>0</v>
      </c>
      <c r="I8" s="521"/>
    </row>
    <row r="9" spans="1:10" ht="20.100000000000001" customHeight="1">
      <c r="A9" s="522" t="str">
        <f>'situacija 12 2021'!A15</f>
        <v>3.</v>
      </c>
      <c r="B9" s="523" t="str">
        <f>'situacija 12 2021'!B15</f>
        <v>JAVNI SAT</v>
      </c>
      <c r="C9" s="524" t="e">
        <f>'situacija 12 2021'!#REF!</f>
        <v>#REF!</v>
      </c>
      <c r="D9" s="524" t="e">
        <f>'situacija 12 2021'!#REF!</f>
        <v>#REF!</v>
      </c>
      <c r="E9" s="524" t="e">
        <f>'situacija 12 2021'!#REF!</f>
        <v>#REF!</v>
      </c>
      <c r="F9" s="524" t="e">
        <f>'situacija 12 2021'!#REF!</f>
        <v>#REF!</v>
      </c>
      <c r="G9" s="697">
        <f>'situacija 12 2021'!F15</f>
        <v>0</v>
      </c>
      <c r="I9" s="525"/>
    </row>
    <row r="10" spans="1:10" s="526" customFormat="1" ht="20.100000000000001" customHeight="1">
      <c r="A10" s="522" t="str">
        <f>'situacija 12 2021'!A17</f>
        <v>4.</v>
      </c>
      <c r="B10" s="523" t="str">
        <f>'situacija 12 2021'!B17</f>
        <v>PLOČE SA PLANOM NASELJA I OZNAKE KULTURNIH DOBARA</v>
      </c>
      <c r="C10" s="524" t="e">
        <f>'situacija 12 2021'!#REF!</f>
        <v>#REF!</v>
      </c>
      <c r="D10" s="524" t="e">
        <f>'situacija 12 2021'!#REF!</f>
        <v>#REF!</v>
      </c>
      <c r="E10" s="524" t="e">
        <f>'situacija 12 2021'!#REF!</f>
        <v>#REF!</v>
      </c>
      <c r="F10" s="524" t="e">
        <f>'situacija 12 2021'!#REF!</f>
        <v>#REF!</v>
      </c>
      <c r="G10" s="697">
        <f>'situacija 12 2021'!F17</f>
        <v>0</v>
      </c>
      <c r="I10" s="527"/>
    </row>
    <row r="11" spans="1:10" ht="20.100000000000001" customHeight="1">
      <c r="A11" s="522" t="str">
        <f>'situacija 12 2021'!A19</f>
        <v>5.</v>
      </c>
      <c r="B11" s="523" t="str">
        <f>'situacija 12 2021'!B19</f>
        <v>ODRŽAVANJE SPOMENIKA, PANOA I KLUPA</v>
      </c>
      <c r="C11" s="524" t="e">
        <f>'situacija 12 2021'!#REF!</f>
        <v>#REF!</v>
      </c>
      <c r="D11" s="524" t="e">
        <f>'situacija 12 2021'!#REF!</f>
        <v>#REF!</v>
      </c>
      <c r="E11" s="524" t="e">
        <f>'situacija 12 2021'!#REF!</f>
        <v>#REF!</v>
      </c>
      <c r="F11" s="524" t="e">
        <f>'situacija 12 2021'!#REF!</f>
        <v>#REF!</v>
      </c>
      <c r="G11" s="697">
        <f>'situacija 12 2021'!F19</f>
        <v>23987.95</v>
      </c>
      <c r="I11" s="525"/>
    </row>
    <row r="12" spans="1:10" ht="20.100000000000001" customHeight="1">
      <c r="A12" s="522" t="str">
        <f>'situacija 12 2021'!A23</f>
        <v>6.</v>
      </c>
      <c r="B12" s="523" t="str">
        <f>'situacija 12 2021'!B23</f>
        <v>ODRŽAVANJE OZNAKA ULICA, PARKOVA I TRGOVA</v>
      </c>
      <c r="C12" s="524" t="e">
        <f>'situacija 12 2021'!#REF!</f>
        <v>#REF!</v>
      </c>
      <c r="D12" s="524" t="e">
        <f>'situacija 12 2021'!#REF!</f>
        <v>#REF!</v>
      </c>
      <c r="E12" s="524" t="e">
        <f>'situacija 12 2021'!#REF!</f>
        <v>#REF!</v>
      </c>
      <c r="F12" s="524" t="e">
        <f>'situacija 12 2021'!#REF!</f>
        <v>#REF!</v>
      </c>
      <c r="G12" s="697">
        <f>'situacija 12 2021'!F23</f>
        <v>0</v>
      </c>
      <c r="I12" s="525"/>
    </row>
    <row r="13" spans="1:10" ht="13.15" customHeight="1">
      <c r="A13" s="528"/>
      <c r="B13" s="529"/>
      <c r="C13" s="530"/>
      <c r="D13" s="530"/>
      <c r="E13" s="530"/>
      <c r="F13" s="530"/>
      <c r="G13" s="531"/>
    </row>
    <row r="14" spans="1:10" ht="16.5" customHeight="1">
      <c r="A14" s="831" t="s">
        <v>48</v>
      </c>
      <c r="B14" s="831"/>
      <c r="C14" s="532" t="e">
        <f>ROUND(SUM(C7:C12),2)</f>
        <v>#REF!</v>
      </c>
      <c r="D14" s="532" t="e">
        <f>ROUND(SUM(D7:D12),2)</f>
        <v>#REF!</v>
      </c>
      <c r="E14" s="532" t="e">
        <f>ROUND(SUM(E7:E12),2)</f>
        <v>#REF!</v>
      </c>
      <c r="F14" s="532" t="e">
        <f>ROUND(SUM(F7:F12),2)</f>
        <v>#REF!</v>
      </c>
      <c r="G14" s="698">
        <f>ROUND(SUM(G7:G12),2)</f>
        <v>23987.95</v>
      </c>
    </row>
    <row r="15" spans="1:10" ht="19.5" customHeight="1">
      <c r="A15" s="693"/>
      <c r="B15" s="692" t="s">
        <v>49</v>
      </c>
      <c r="G15" s="694">
        <f>SUM(G14*25%)</f>
        <v>5996.9875000000002</v>
      </c>
    </row>
    <row r="16" spans="1:10" ht="19.5" customHeight="1">
      <c r="A16" s="693"/>
      <c r="B16" s="692" t="s">
        <v>50</v>
      </c>
      <c r="G16" s="694">
        <f>SUM(G14:G15)</f>
        <v>29984.9375</v>
      </c>
    </row>
    <row r="18" spans="2:7" ht="12.75" customHeight="1"/>
    <row r="19" spans="2:7">
      <c r="B19" s="509" t="s">
        <v>1189</v>
      </c>
      <c r="C19" s="533" t="s">
        <v>1190</v>
      </c>
      <c r="D19" s="509" t="s">
        <v>1189</v>
      </c>
      <c r="E19" s="533" t="s">
        <v>1190</v>
      </c>
      <c r="F19" s="509" t="s">
        <v>1189</v>
      </c>
      <c r="G19" s="533" t="s">
        <v>1190</v>
      </c>
    </row>
    <row r="20" spans="2:7">
      <c r="C20" s="533" t="s">
        <v>1192</v>
      </c>
      <c r="D20" s="509" t="s">
        <v>1191</v>
      </c>
      <c r="E20" s="533" t="s">
        <v>1192</v>
      </c>
      <c r="F20" s="509" t="s">
        <v>1191</v>
      </c>
      <c r="G20" s="787" t="s">
        <v>1191</v>
      </c>
    </row>
    <row r="21" spans="2:7">
      <c r="B21" s="509" t="s">
        <v>1193</v>
      </c>
      <c r="C21" s="533" t="s">
        <v>1194</v>
      </c>
      <c r="D21" s="509" t="s">
        <v>1193</v>
      </c>
      <c r="E21" s="533" t="s">
        <v>1194</v>
      </c>
      <c r="F21" s="509" t="s">
        <v>1193</v>
      </c>
      <c r="G21" s="533" t="s">
        <v>1194</v>
      </c>
    </row>
  </sheetData>
  <mergeCells count="5">
    <mergeCell ref="A1:B1"/>
    <mergeCell ref="A3:C3"/>
    <mergeCell ref="A5:B5"/>
    <mergeCell ref="A14:B14"/>
    <mergeCell ref="A2:B2"/>
  </mergeCells>
  <phoneticPr fontId="44" type="noConversion"/>
  <printOptions horizontalCentered="1"/>
  <pageMargins left="0.78740157480314965" right="0.39370078740157483" top="0.39370078740157483" bottom="0.39370078740157483" header="0.19685039370078741" footer="0.19685039370078741"/>
  <pageSetup paperSize="9" scale="65" orientation="portrait" horizontalDpi="300" verticalDpi="300" r:id="rId1"/>
  <headerFooter alignWithMargins="0">
    <oddHeader>&amp;CRADOVI REDOVITOG ODRŽAVANJA GRAĐEVINA, UREĐAJA I PREDMETA JAVNE NAMJENE</oddHeader>
    <oddFooter>&amp;L&amp;5&amp;F&amp;R&amp;5&amp;P/&amp;N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Y1029"/>
  <sheetViews>
    <sheetView showZeros="0" view="pageLayout" topLeftCell="A190" zoomScaleNormal="100" zoomScaleSheetLayoutView="100" workbookViewId="0">
      <selection activeCell="G203" sqref="G203"/>
    </sheetView>
  </sheetViews>
  <sheetFormatPr defaultRowHeight="12.75"/>
  <cols>
    <col min="1" max="1" width="3.7109375" style="1" customWidth="1"/>
    <col min="2" max="2" width="10.7109375" style="37" customWidth="1"/>
    <col min="3" max="3" width="25.7109375" style="2" customWidth="1"/>
    <col min="4" max="4" width="6.7109375" style="3" customWidth="1"/>
    <col min="5" max="5" width="11.7109375" style="4" customWidth="1"/>
    <col min="6" max="6" width="11.7109375" style="244" customWidth="1"/>
    <col min="7" max="7" width="11.7109375" style="5" customWidth="1"/>
    <col min="8" max="8" width="9.5703125" style="3" hidden="1" customWidth="1"/>
    <col min="9" max="9" width="25.7109375" style="2" customWidth="1"/>
    <col min="10" max="10" width="6.7109375" style="3" customWidth="1"/>
    <col min="11" max="11" width="11.7109375" style="4" customWidth="1"/>
    <col min="12" max="12" width="11.7109375" style="244" customWidth="1"/>
    <col min="13" max="13" width="11.7109375" style="5" customWidth="1"/>
    <col min="14" max="16384" width="9.140625" style="2"/>
  </cols>
  <sheetData>
    <row r="1" spans="1:13" ht="15" customHeight="1">
      <c r="A1" s="144"/>
      <c r="B1" s="145" t="s">
        <v>8</v>
      </c>
      <c r="C1" s="836" t="s">
        <v>9</v>
      </c>
      <c r="D1" s="836"/>
      <c r="E1" s="836"/>
      <c r="F1" s="836"/>
      <c r="G1" s="836"/>
      <c r="I1" s="836" t="s">
        <v>56</v>
      </c>
      <c r="J1" s="836"/>
      <c r="K1" s="836"/>
      <c r="L1" s="836"/>
      <c r="M1" s="836"/>
    </row>
    <row r="2" spans="1:13" ht="15" customHeight="1">
      <c r="A2" s="38"/>
      <c r="B2" s="39" t="s">
        <v>10</v>
      </c>
      <c r="C2" s="860" t="s">
        <v>11</v>
      </c>
      <c r="D2" s="860"/>
      <c r="E2" s="860"/>
      <c r="F2" s="860"/>
      <c r="G2" s="860"/>
      <c r="I2" s="860" t="s">
        <v>65</v>
      </c>
      <c r="J2" s="860"/>
      <c r="K2" s="860"/>
      <c r="L2" s="860"/>
      <c r="M2" s="860"/>
    </row>
    <row r="3" spans="1:13" ht="15" customHeight="1">
      <c r="A3" s="48"/>
      <c r="B3" s="49" t="s">
        <v>12</v>
      </c>
      <c r="C3" s="50" t="s">
        <v>67</v>
      </c>
      <c r="D3" s="50"/>
      <c r="E3" s="50"/>
      <c r="F3" s="250"/>
      <c r="G3" s="50"/>
      <c r="I3" s="50" t="s">
        <v>67</v>
      </c>
      <c r="J3" s="50"/>
      <c r="K3" s="50"/>
      <c r="L3" s="250"/>
      <c r="M3" s="50"/>
    </row>
    <row r="4" spans="1:13" ht="140.25" customHeight="1">
      <c r="A4" s="40"/>
      <c r="B4" s="556" t="s">
        <v>12</v>
      </c>
      <c r="C4" s="852" t="s">
        <v>13</v>
      </c>
      <c r="D4" s="852"/>
      <c r="E4" s="852"/>
      <c r="F4" s="852"/>
      <c r="G4" s="852"/>
      <c r="I4" s="869" t="s">
        <v>68</v>
      </c>
      <c r="J4" s="869"/>
      <c r="K4" s="869"/>
      <c r="L4" s="869"/>
      <c r="M4" s="869"/>
    </row>
    <row r="5" spans="1:13" ht="15" customHeight="1" thickBot="1"/>
    <row r="6" spans="1:13" ht="30" customHeight="1" thickTop="1" thickBot="1">
      <c r="A6" s="10"/>
      <c r="B6" s="835" t="str">
        <f>'Obrazac kalkulacije'!$B$6:$C$6</f>
        <v>Opis</v>
      </c>
      <c r="C6" s="835"/>
      <c r="D6" s="10" t="str">
        <f>'Obrazac kalkulacije'!$D$6</f>
        <v>Jed.
mjere</v>
      </c>
      <c r="E6" s="10" t="str">
        <f>'Obrazac kalkulacije'!$E$6</f>
        <v>Normativ</v>
      </c>
      <c r="F6" s="10" t="str">
        <f>'Obrazac kalkulacije'!$F$6</f>
        <v>Jed.
cijena</v>
      </c>
      <c r="G6" s="10" t="str">
        <f>'Obrazac kalkulacije'!$G$6</f>
        <v>Iznos</v>
      </c>
      <c r="I6" s="703"/>
      <c r="J6" s="10" t="str">
        <f>'Obrazac kalkulacije'!$D$6</f>
        <v>Jed.
mjere</v>
      </c>
      <c r="K6" s="10" t="str">
        <f>'Obrazac kalkulacije'!$E$6</f>
        <v>Normativ</v>
      </c>
      <c r="L6" s="10" t="str">
        <f>'Obrazac kalkulacije'!$F$6</f>
        <v>Jed.
cijena</v>
      </c>
      <c r="M6" s="10" t="str">
        <f>'Obrazac kalkulacije'!$G$6</f>
        <v>Iznos</v>
      </c>
    </row>
    <row r="7" spans="1:13" ht="4.9000000000000004" customHeight="1" thickTop="1">
      <c r="B7" s="42"/>
      <c r="C7" s="1"/>
      <c r="D7" s="11"/>
      <c r="E7" s="13"/>
      <c r="F7" s="245"/>
      <c r="G7" s="15"/>
      <c r="I7" s="1"/>
      <c r="J7" s="11"/>
      <c r="K7" s="13"/>
      <c r="L7" s="245"/>
      <c r="M7" s="15"/>
    </row>
    <row r="8" spans="1:13" ht="25.15" customHeight="1">
      <c r="A8" s="16"/>
      <c r="B8" s="837" t="str">
        <f>'Obrazac kalkulacije'!$B$8</f>
        <v>Radna snaga:</v>
      </c>
      <c r="C8" s="837"/>
      <c r="D8" s="16"/>
      <c r="E8" s="16"/>
      <c r="F8" s="246"/>
      <c r="G8" s="18">
        <f>SUM(G9:G9)</f>
        <v>0</v>
      </c>
      <c r="I8" s="702"/>
      <c r="J8" s="16"/>
      <c r="K8" s="16"/>
      <c r="L8" s="246"/>
      <c r="M8" s="18">
        <f>SUM(M9:M9)</f>
        <v>0</v>
      </c>
    </row>
    <row r="9" spans="1:13" s="728" customFormat="1" ht="34.5" customHeight="1">
      <c r="A9" s="722"/>
      <c r="B9" s="722"/>
      <c r="C9" s="723"/>
      <c r="D9" s="724" t="s">
        <v>51</v>
      </c>
      <c r="E9" s="725"/>
      <c r="F9" s="726"/>
      <c r="G9" s="727">
        <f>E9*F9</f>
        <v>0</v>
      </c>
    </row>
    <row r="10" spans="1:13" ht="25.15" customHeight="1">
      <c r="A10" s="16"/>
      <c r="B10" s="837" t="str">
        <f>'Obrazac kalkulacije'!$B$11</f>
        <v>Vozila, strojevi i oprema:</v>
      </c>
      <c r="C10" s="837"/>
      <c r="D10" s="16"/>
      <c r="E10" s="16"/>
      <c r="F10" s="243"/>
      <c r="G10" s="18">
        <f>SUM(G11:G13)</f>
        <v>0</v>
      </c>
      <c r="I10" s="702"/>
      <c r="J10" s="16"/>
      <c r="K10" s="16"/>
      <c r="L10" s="243"/>
      <c r="M10" s="18">
        <f>SUM(M11:M13)</f>
        <v>0</v>
      </c>
    </row>
    <row r="11" spans="1:13" s="728" customFormat="1" ht="38.25" customHeight="1">
      <c r="A11" s="722"/>
      <c r="B11" s="722"/>
      <c r="C11" s="723"/>
      <c r="D11" s="730" t="s">
        <v>51</v>
      </c>
      <c r="E11" s="731"/>
      <c r="F11" s="726"/>
      <c r="G11" s="727">
        <f>E11*F11</f>
        <v>0</v>
      </c>
    </row>
    <row r="12" spans="1:13" s="728" customFormat="1" ht="28.5" customHeight="1">
      <c r="A12" s="732"/>
      <c r="B12" s="732"/>
      <c r="C12" s="723"/>
      <c r="D12" s="733"/>
      <c r="E12" s="734"/>
      <c r="F12" s="726"/>
      <c r="G12" s="735">
        <v>0</v>
      </c>
    </row>
    <row r="13" spans="1:13" s="728" customFormat="1" ht="29.25" customHeight="1">
      <c r="A13" s="729"/>
      <c r="B13" s="729"/>
      <c r="C13" s="723"/>
      <c r="D13" s="736"/>
      <c r="E13" s="737"/>
      <c r="F13" s="726"/>
      <c r="G13" s="738">
        <v>0</v>
      </c>
    </row>
    <row r="14" spans="1:13" ht="25.15" customHeight="1">
      <c r="A14" s="16"/>
      <c r="B14" s="837" t="str">
        <f>'Obrazac kalkulacije'!$B$15</f>
        <v>Materijali:</v>
      </c>
      <c r="C14" s="837"/>
      <c r="D14" s="16"/>
      <c r="E14" s="16"/>
      <c r="F14" s="243"/>
      <c r="G14" s="18">
        <f>SUM(G15:G17)</f>
        <v>0</v>
      </c>
      <c r="I14" s="702"/>
      <c r="J14" s="16"/>
      <c r="K14" s="16"/>
      <c r="L14" s="243"/>
      <c r="M14" s="18">
        <f>SUM(M15:M17)</f>
        <v>499.5</v>
      </c>
    </row>
    <row r="15" spans="1:13" s="728" customFormat="1" ht="30.75" customHeight="1">
      <c r="A15" s="722"/>
      <c r="B15" s="722"/>
      <c r="C15" s="723"/>
      <c r="D15" s="730" t="s">
        <v>441</v>
      </c>
      <c r="E15" s="731"/>
      <c r="F15" s="726"/>
      <c r="G15" s="727">
        <f>E15*F15</f>
        <v>0</v>
      </c>
    </row>
    <row r="16" spans="1:13" s="728" customFormat="1" ht="27.75" customHeight="1" thickBot="1">
      <c r="A16" s="739"/>
      <c r="B16" s="739"/>
      <c r="C16" s="740"/>
      <c r="D16" s="741" t="s">
        <v>965</v>
      </c>
      <c r="E16" s="742"/>
      <c r="F16" s="743"/>
      <c r="G16" s="727">
        <f>E16*F16</f>
        <v>0</v>
      </c>
    </row>
    <row r="17" spans="1:13" ht="25.15" customHeight="1" thickTop="1" thickBot="1">
      <c r="A17" s="66"/>
      <c r="B17" s="859" t="str">
        <f>'Cjenik M'!$B$21</f>
        <v>Oznaka ulice</v>
      </c>
      <c r="C17" s="859"/>
      <c r="D17" s="67" t="str">
        <f>'Cjenik M'!$C$21</f>
        <v>kom</v>
      </c>
      <c r="E17" s="68"/>
      <c r="F17" s="249"/>
      <c r="G17" s="70">
        <f>E17*F17</f>
        <v>0</v>
      </c>
      <c r="I17" s="713"/>
      <c r="J17" s="67" t="str">
        <f>'Cjenik M'!$C$21</f>
        <v>kom</v>
      </c>
      <c r="K17" s="68">
        <v>3.33</v>
      </c>
      <c r="L17" s="249">
        <f>'Cjenik M'!$D$21</f>
        <v>150</v>
      </c>
      <c r="M17" s="70">
        <f>K17*L17</f>
        <v>499.5</v>
      </c>
    </row>
    <row r="18" spans="1:13" ht="25.15" customHeight="1" thickTop="1" thickBot="1">
      <c r="E18" s="868" t="str">
        <f>'Obrazac kalkulacije'!$E$18</f>
        <v>Ukupno (kn):</v>
      </c>
      <c r="F18" s="868"/>
      <c r="G18" s="71">
        <f>ROUND(SUM(G8+G10+G14),2)</f>
        <v>0</v>
      </c>
      <c r="H18" s="269"/>
      <c r="K18" s="868" t="str">
        <f>'Obrazac kalkulacije'!$E$18</f>
        <v>Ukupno (kn):</v>
      </c>
      <c r="L18" s="868"/>
      <c r="M18" s="71">
        <f>ROUND(SUM(M8+M10+M14),2)</f>
        <v>499.5</v>
      </c>
    </row>
    <row r="19" spans="1:13" ht="25.15" customHeight="1" thickTop="1" thickBot="1">
      <c r="E19" s="27" t="str">
        <f>'Obrazac kalkulacije'!$E$19</f>
        <v>PDV:</v>
      </c>
      <c r="F19" s="248">
        <f>'Obrazac kalkulacije'!$F$19</f>
        <v>0.25</v>
      </c>
      <c r="G19" s="29">
        <f>G18*F19</f>
        <v>0</v>
      </c>
      <c r="H19" s="561"/>
      <c r="K19" s="27" t="str">
        <f>'Obrazac kalkulacije'!$E$19</f>
        <v>PDV:</v>
      </c>
      <c r="L19" s="248">
        <f>'Obrazac kalkulacije'!$F$19</f>
        <v>0.25</v>
      </c>
      <c r="M19" s="29">
        <f>M18*L19</f>
        <v>124.875</v>
      </c>
    </row>
    <row r="20" spans="1:13" ht="25.15" customHeight="1" thickTop="1" thickBot="1">
      <c r="E20" s="840" t="str">
        <f>'Obrazac kalkulacije'!$E$20</f>
        <v>Sveukupno (kn):</v>
      </c>
      <c r="F20" s="840"/>
      <c r="G20" s="29">
        <f>ROUND(SUM(G18:G19),2)</f>
        <v>0</v>
      </c>
      <c r="H20" s="562"/>
      <c r="K20" s="840" t="str">
        <f>'Obrazac kalkulacije'!$E$20</f>
        <v>Sveukupno (kn):</v>
      </c>
      <c r="L20" s="840"/>
      <c r="M20" s="29">
        <f>ROUND(SUM(M18:M19),2)</f>
        <v>624.38</v>
      </c>
    </row>
    <row r="21" spans="1:13" ht="15" customHeight="1" thickTop="1"/>
    <row r="22" spans="1:13" ht="15" customHeight="1"/>
    <row r="23" spans="1:13" ht="15" customHeight="1"/>
    <row r="24" spans="1:13" ht="15" customHeight="1">
      <c r="C24" s="3" t="str">
        <f>'Obrazac kalkulacije'!$C$24</f>
        <v>IZVODITELJ:</v>
      </c>
      <c r="F24" s="841" t="str">
        <f>'Obrazac kalkulacije'!$F$24</f>
        <v>NARUČITELJ:</v>
      </c>
      <c r="G24" s="841"/>
      <c r="I24" s="3" t="str">
        <f>'Obrazac kalkulacije'!$C$24</f>
        <v>IZVODITELJ:</v>
      </c>
      <c r="L24" s="841" t="str">
        <f>'Obrazac kalkulacije'!$F$24</f>
        <v>NARUČITELJ:</v>
      </c>
      <c r="M24" s="841"/>
    </row>
    <row r="25" spans="1:13" ht="25.15" customHeight="1">
      <c r="C25" s="3" t="str">
        <f>'Obrazac kalkulacije'!$C$25</f>
        <v>__________________</v>
      </c>
      <c r="F25" s="841" t="str">
        <f>'Obrazac kalkulacije'!$F$25</f>
        <v>___________________</v>
      </c>
      <c r="G25" s="841"/>
      <c r="I25" s="3" t="str">
        <f>'Obrazac kalkulacije'!$C$25</f>
        <v>__________________</v>
      </c>
      <c r="L25" s="841" t="str">
        <f>'Obrazac kalkulacije'!$F$25</f>
        <v>___________________</v>
      </c>
      <c r="M25" s="841"/>
    </row>
    <row r="26" spans="1:13" ht="15" customHeight="1">
      <c r="F26" s="841"/>
      <c r="G26" s="841"/>
      <c r="L26" s="841"/>
      <c r="M26" s="841"/>
    </row>
    <row r="27" spans="1:13" ht="15" customHeight="1"/>
    <row r="28" spans="1:13" ht="15" customHeight="1">
      <c r="A28" s="144"/>
      <c r="B28" s="145" t="s">
        <v>8</v>
      </c>
      <c r="C28" s="836" t="s">
        <v>9</v>
      </c>
      <c r="D28" s="836"/>
      <c r="E28" s="836"/>
      <c r="F28" s="836"/>
      <c r="G28" s="836"/>
      <c r="I28" s="836" t="s">
        <v>56</v>
      </c>
      <c r="J28" s="836"/>
      <c r="K28" s="836"/>
      <c r="L28" s="836"/>
      <c r="M28" s="836"/>
    </row>
    <row r="29" spans="1:13" ht="15" customHeight="1">
      <c r="A29" s="38"/>
      <c r="B29" s="39" t="s">
        <v>10</v>
      </c>
      <c r="C29" s="860" t="s">
        <v>1207</v>
      </c>
      <c r="D29" s="860"/>
      <c r="E29" s="860"/>
      <c r="F29" s="860"/>
      <c r="G29" s="860"/>
      <c r="I29" s="860" t="s">
        <v>65</v>
      </c>
      <c r="J29" s="860"/>
      <c r="K29" s="860"/>
      <c r="L29" s="860"/>
      <c r="M29" s="860"/>
    </row>
    <row r="30" spans="1:13" ht="15" customHeight="1">
      <c r="A30" s="48"/>
      <c r="B30" s="49" t="s">
        <v>15</v>
      </c>
      <c r="C30" s="750" t="s">
        <v>1207</v>
      </c>
      <c r="D30" s="50"/>
      <c r="E30" s="50"/>
      <c r="F30" s="250"/>
      <c r="G30" s="50"/>
      <c r="I30" s="50" t="s">
        <v>67</v>
      </c>
      <c r="J30" s="50"/>
      <c r="K30" s="50"/>
      <c r="L30" s="250"/>
      <c r="M30" s="50"/>
    </row>
    <row r="31" spans="1:13" ht="162" customHeight="1">
      <c r="A31" s="40"/>
      <c r="B31" s="556" t="s">
        <v>15</v>
      </c>
      <c r="C31" s="852" t="s">
        <v>16</v>
      </c>
      <c r="D31" s="852"/>
      <c r="E31" s="852"/>
      <c r="F31" s="852"/>
      <c r="G31" s="852"/>
      <c r="I31" s="869" t="s">
        <v>72</v>
      </c>
      <c r="J31" s="869"/>
      <c r="K31" s="869"/>
      <c r="L31" s="869"/>
      <c r="M31" s="869"/>
    </row>
    <row r="32" spans="1:13" ht="15" customHeight="1" thickBot="1"/>
    <row r="33" spans="1:13" ht="30" customHeight="1" thickTop="1" thickBot="1">
      <c r="A33" s="10"/>
      <c r="B33" s="835" t="str">
        <f>'Obrazac kalkulacije'!$B$6:$C$6</f>
        <v>Opis</v>
      </c>
      <c r="C33" s="835"/>
      <c r="D33" s="10" t="str">
        <f>'Obrazac kalkulacije'!$D$6</f>
        <v>Jed.
mjere</v>
      </c>
      <c r="E33" s="10" t="str">
        <f>'Obrazac kalkulacije'!$E$6</f>
        <v>Normativ</v>
      </c>
      <c r="F33" s="10" t="str">
        <f>'Obrazac kalkulacije'!$F$6</f>
        <v>Jed.
cijena</v>
      </c>
      <c r="G33" s="10" t="str">
        <f>'Obrazac kalkulacije'!$G$6</f>
        <v>Iznos</v>
      </c>
      <c r="I33" s="703"/>
      <c r="J33" s="10" t="str">
        <f>'Obrazac kalkulacije'!$D$6</f>
        <v>Jed.
mjere</v>
      </c>
      <c r="K33" s="10" t="str">
        <f>'Obrazac kalkulacije'!$E$6</f>
        <v>Normativ</v>
      </c>
      <c r="L33" s="10" t="str">
        <f>'Obrazac kalkulacije'!$F$6</f>
        <v>Jed.
cijena</v>
      </c>
      <c r="M33" s="10" t="str">
        <f>'Obrazac kalkulacije'!$G$6</f>
        <v>Iznos</v>
      </c>
    </row>
    <row r="34" spans="1:13" ht="4.9000000000000004" customHeight="1" thickTop="1">
      <c r="B34" s="42"/>
      <c r="C34" s="1"/>
      <c r="D34" s="11"/>
      <c r="E34" s="13"/>
      <c r="F34" s="245"/>
      <c r="G34" s="15"/>
      <c r="I34" s="1"/>
      <c r="J34" s="11"/>
      <c r="K34" s="13"/>
      <c r="L34" s="245"/>
      <c r="M34" s="15"/>
    </row>
    <row r="35" spans="1:13" ht="25.15" customHeight="1">
      <c r="A35" s="16"/>
      <c r="B35" s="837" t="str">
        <f>'Obrazac kalkulacije'!$B$8</f>
        <v>Radna snaga:</v>
      </c>
      <c r="C35" s="837"/>
      <c r="D35" s="16"/>
      <c r="E35" s="16"/>
      <c r="F35" s="246"/>
      <c r="G35" s="18">
        <f>SUM(G36:G36)</f>
        <v>0</v>
      </c>
      <c r="I35" s="702"/>
      <c r="J35" s="16"/>
      <c r="K35" s="16"/>
      <c r="L35" s="246"/>
      <c r="M35" s="18">
        <f>SUM(M36:M36)</f>
        <v>0</v>
      </c>
    </row>
    <row r="36" spans="1:13" s="728" customFormat="1" ht="34.5" customHeight="1">
      <c r="A36" s="722"/>
      <c r="B36" s="722"/>
      <c r="C36" s="723"/>
      <c r="D36" s="724" t="s">
        <v>51</v>
      </c>
      <c r="E36" s="725"/>
      <c r="F36" s="726"/>
      <c r="G36" s="727">
        <f>E36*F36</f>
        <v>0</v>
      </c>
    </row>
    <row r="37" spans="1:13" ht="25.15" customHeight="1">
      <c r="A37" s="16"/>
      <c r="B37" s="837" t="str">
        <f>'Obrazac kalkulacije'!$B$11</f>
        <v>Vozila, strojevi i oprema:</v>
      </c>
      <c r="C37" s="837"/>
      <c r="D37" s="16"/>
      <c r="E37" s="16"/>
      <c r="F37" s="243"/>
      <c r="G37" s="18"/>
      <c r="I37" s="702"/>
      <c r="J37" s="16"/>
      <c r="K37" s="16"/>
      <c r="L37" s="243"/>
      <c r="M37" s="18">
        <f>SUM(M38:M47)</f>
        <v>0</v>
      </c>
    </row>
    <row r="38" spans="1:13" s="728" customFormat="1" ht="27.75" customHeight="1">
      <c r="A38" s="722"/>
      <c r="B38" s="866"/>
      <c r="C38" s="867"/>
      <c r="D38" s="730" t="s">
        <v>51</v>
      </c>
      <c r="E38" s="731"/>
      <c r="F38" s="726"/>
      <c r="G38" s="727"/>
    </row>
    <row r="39" spans="1:13" s="728" customFormat="1" ht="27.75" customHeight="1">
      <c r="A39" s="722"/>
      <c r="B39" s="866"/>
      <c r="C39" s="867"/>
      <c r="D39" s="730" t="s">
        <v>51</v>
      </c>
      <c r="E39" s="731"/>
      <c r="F39" s="726"/>
      <c r="G39" s="727"/>
    </row>
    <row r="40" spans="1:13" s="728" customFormat="1" ht="27.75" customHeight="1">
      <c r="A40" s="722"/>
      <c r="B40" s="866"/>
      <c r="C40" s="867"/>
      <c r="D40" s="730" t="s">
        <v>51</v>
      </c>
      <c r="E40" s="731"/>
      <c r="F40" s="726"/>
      <c r="G40" s="727"/>
    </row>
    <row r="41" spans="1:13" s="728" customFormat="1" ht="27.75" customHeight="1">
      <c r="A41" s="722"/>
      <c r="B41" s="866"/>
      <c r="C41" s="867"/>
      <c r="D41" s="730" t="s">
        <v>51</v>
      </c>
      <c r="E41" s="731"/>
      <c r="F41" s="726"/>
      <c r="G41" s="727"/>
    </row>
    <row r="42" spans="1:13" s="728" customFormat="1" ht="27.75" customHeight="1">
      <c r="A42" s="722"/>
      <c r="B42" s="866"/>
      <c r="C42" s="867"/>
      <c r="D42" s="730" t="s">
        <v>51</v>
      </c>
      <c r="E42" s="731"/>
      <c r="F42" s="726"/>
      <c r="G42" s="727"/>
    </row>
    <row r="43" spans="1:13" s="728" customFormat="1" ht="27.75" customHeight="1">
      <c r="A43" s="722"/>
      <c r="B43" s="866"/>
      <c r="C43" s="867"/>
      <c r="D43" s="730" t="s">
        <v>51</v>
      </c>
      <c r="E43" s="731"/>
      <c r="F43" s="726"/>
      <c r="G43" s="727"/>
    </row>
    <row r="44" spans="1:13" s="728" customFormat="1" ht="27.75" customHeight="1">
      <c r="A44" s="722"/>
      <c r="B44" s="866"/>
      <c r="C44" s="867"/>
      <c r="D44" s="730" t="s">
        <v>51</v>
      </c>
      <c r="E44" s="731"/>
      <c r="F44" s="726"/>
      <c r="G44" s="727"/>
    </row>
    <row r="45" spans="1:13" s="728" customFormat="1" ht="27.75" customHeight="1">
      <c r="A45" s="722"/>
      <c r="B45" s="866"/>
      <c r="C45" s="867"/>
      <c r="D45" s="730" t="s">
        <v>51</v>
      </c>
      <c r="E45" s="731"/>
      <c r="F45" s="726"/>
      <c r="G45" s="727"/>
    </row>
    <row r="46" spans="1:13" s="728" customFormat="1" ht="27.75" customHeight="1">
      <c r="A46" s="722"/>
      <c r="B46" s="866"/>
      <c r="C46" s="867"/>
      <c r="D46" s="730" t="s">
        <v>51</v>
      </c>
      <c r="E46" s="731"/>
      <c r="F46" s="726"/>
      <c r="G46" s="727"/>
    </row>
    <row r="47" spans="1:13" s="728" customFormat="1" ht="27.75" customHeight="1">
      <c r="A47" s="722"/>
      <c r="B47" s="866"/>
      <c r="C47" s="867"/>
      <c r="D47" s="730" t="s">
        <v>51</v>
      </c>
      <c r="E47" s="731"/>
      <c r="F47" s="726"/>
      <c r="G47" s="727"/>
    </row>
    <row r="48" spans="1:13" ht="25.15" customHeight="1">
      <c r="A48" s="16"/>
      <c r="B48" s="837" t="str">
        <f>'Obrazac kalkulacije'!$B$15</f>
        <v>Materijali:</v>
      </c>
      <c r="C48" s="837"/>
      <c r="D48" s="16"/>
      <c r="E48" s="16"/>
      <c r="F48" s="243"/>
      <c r="G48" s="18"/>
      <c r="I48" s="702"/>
      <c r="J48" s="16"/>
      <c r="K48" s="16"/>
      <c r="L48" s="243"/>
      <c r="M48" s="18">
        <f>SUM(M49:M51)</f>
        <v>3244.5</v>
      </c>
    </row>
    <row r="49" spans="1:13" ht="25.15" customHeight="1" thickBot="1">
      <c r="A49" s="51"/>
      <c r="B49" s="863" t="str">
        <f>'Cjenik M'!$B$12</f>
        <v>Prometni znak klasa II</v>
      </c>
      <c r="C49" s="863"/>
      <c r="D49" s="749" t="s">
        <v>441</v>
      </c>
      <c r="E49" s="53"/>
      <c r="F49" s="240"/>
      <c r="G49" s="55"/>
      <c r="I49" s="700"/>
      <c r="J49" s="52" t="str">
        <f>'Cjenik M'!$C$12</f>
        <v>kom</v>
      </c>
      <c r="K49" s="53">
        <v>0.5</v>
      </c>
      <c r="L49" s="240">
        <f>'Cjenik M'!$D$12</f>
        <v>490</v>
      </c>
      <c r="M49" s="55">
        <f>K49*L49</f>
        <v>245</v>
      </c>
    </row>
    <row r="50" spans="1:13" ht="25.15" customHeight="1" thickTop="1">
      <c r="A50" s="56"/>
      <c r="B50" s="834" t="str">
        <f>'Cjenik M'!$B$14</f>
        <v>Prometna ploča površine od 2,00 do 8,00 m2</v>
      </c>
      <c r="C50" s="834"/>
      <c r="D50" s="747" t="s">
        <v>655</v>
      </c>
      <c r="E50" s="58"/>
      <c r="F50" s="241"/>
      <c r="G50" s="60">
        <f>E50*F50</f>
        <v>0</v>
      </c>
      <c r="I50" s="715"/>
      <c r="J50" s="57" t="str">
        <f>'Cjenik M'!$C$14</f>
        <v>kom</v>
      </c>
      <c r="K50" s="58">
        <v>0.5</v>
      </c>
      <c r="L50" s="241">
        <f>'Cjenik M'!$D$14</f>
        <v>5000</v>
      </c>
      <c r="M50" s="60">
        <f>K50*L50</f>
        <v>2500</v>
      </c>
    </row>
    <row r="51" spans="1:13" ht="25.15" customHeight="1" thickBot="1">
      <c r="A51" s="66"/>
      <c r="B51" s="859" t="str">
        <f>'Cjenik M'!$B$21</f>
        <v>Oznaka ulice</v>
      </c>
      <c r="C51" s="859"/>
      <c r="D51" s="749" t="s">
        <v>965</v>
      </c>
      <c r="E51" s="68"/>
      <c r="F51" s="249"/>
      <c r="G51" s="70">
        <f>E51*F51</f>
        <v>0</v>
      </c>
      <c r="I51" s="713"/>
      <c r="J51" s="67" t="str">
        <f>'Cjenik M'!$C$21</f>
        <v>kom</v>
      </c>
      <c r="K51" s="68">
        <v>3.33</v>
      </c>
      <c r="L51" s="249">
        <f>'Cjenik M'!$D$21</f>
        <v>150</v>
      </c>
      <c r="M51" s="70">
        <f>K51*L51</f>
        <v>499.5</v>
      </c>
    </row>
    <row r="52" spans="1:13" ht="25.15" customHeight="1" thickTop="1" thickBot="1">
      <c r="B52" s="47"/>
      <c r="C52" s="24"/>
      <c r="D52" s="25"/>
      <c r="E52" s="850" t="str">
        <f>'Obrazac kalkulacije'!$E$18</f>
        <v>Ukupno (kn):</v>
      </c>
      <c r="F52" s="850"/>
      <c r="G52" s="26">
        <f>ROUND(SUM(G35+G37+G48),2)</f>
        <v>0</v>
      </c>
      <c r="H52" s="269"/>
      <c r="I52" s="24"/>
      <c r="J52" s="25"/>
      <c r="K52" s="850" t="str">
        <f>'Obrazac kalkulacije'!$E$18</f>
        <v>Ukupno (kn):</v>
      </c>
      <c r="L52" s="850"/>
      <c r="M52" s="26">
        <f>ROUND(SUM(M35+M37+M48),2)</f>
        <v>3244.5</v>
      </c>
    </row>
    <row r="53" spans="1:13" ht="25.15" customHeight="1" thickTop="1" thickBot="1">
      <c r="E53" s="27" t="str">
        <f>'Obrazac kalkulacije'!$E$19</f>
        <v>PDV:</v>
      </c>
      <c r="F53" s="248">
        <f>'Obrazac kalkulacije'!$F$19</f>
        <v>0.25</v>
      </c>
      <c r="G53" s="29">
        <f>G52*F53</f>
        <v>0</v>
      </c>
      <c r="H53" s="561"/>
      <c r="K53" s="27" t="str">
        <f>'Obrazac kalkulacije'!$E$19</f>
        <v>PDV:</v>
      </c>
      <c r="L53" s="248">
        <f>'Obrazac kalkulacije'!$F$19</f>
        <v>0.25</v>
      </c>
      <c r="M53" s="29">
        <f>M52*L53</f>
        <v>811.125</v>
      </c>
    </row>
    <row r="54" spans="1:13" ht="25.15" customHeight="1" thickTop="1" thickBot="1">
      <c r="E54" s="840" t="str">
        <f>'Obrazac kalkulacije'!$E$20</f>
        <v>Sveukupno (kn):</v>
      </c>
      <c r="F54" s="840"/>
      <c r="G54" s="29">
        <f>ROUND(SUM(G52:G53),2)</f>
        <v>0</v>
      </c>
      <c r="H54" s="562"/>
      <c r="K54" s="840" t="str">
        <f>'Obrazac kalkulacije'!$E$20</f>
        <v>Sveukupno (kn):</v>
      </c>
      <c r="L54" s="840"/>
      <c r="M54" s="29">
        <f>ROUND(SUM(M52:M53),2)</f>
        <v>4055.63</v>
      </c>
    </row>
    <row r="55" spans="1:13" ht="15" customHeight="1" thickTop="1"/>
    <row r="56" spans="1:13" ht="3" customHeight="1"/>
    <row r="57" spans="1:13" ht="15" hidden="1" customHeight="1"/>
    <row r="58" spans="1:13" ht="15" customHeight="1">
      <c r="C58" s="3" t="str">
        <f>'Obrazac kalkulacije'!$C$24</f>
        <v>IZVODITELJ:</v>
      </c>
      <c r="F58" s="841" t="str">
        <f>'Obrazac kalkulacije'!$F$24</f>
        <v>NARUČITELJ:</v>
      </c>
      <c r="G58" s="841"/>
      <c r="I58" s="3" t="str">
        <f>'Obrazac kalkulacije'!$C$24</f>
        <v>IZVODITELJ:</v>
      </c>
      <c r="L58" s="841" t="str">
        <f>'Obrazac kalkulacije'!$F$24</f>
        <v>NARUČITELJ:</v>
      </c>
      <c r="M58" s="841"/>
    </row>
    <row r="59" spans="1:13" ht="25.15" customHeight="1">
      <c r="C59" s="3" t="str">
        <f>'Obrazac kalkulacije'!$C$25</f>
        <v>__________________</v>
      </c>
      <c r="F59" s="841" t="str">
        <f>'Obrazac kalkulacije'!$F$25</f>
        <v>___________________</v>
      </c>
      <c r="G59" s="841"/>
      <c r="I59" s="3" t="str">
        <f>'Obrazac kalkulacije'!$C$25</f>
        <v>__________________</v>
      </c>
      <c r="L59" s="841" t="str">
        <f>'Obrazac kalkulacije'!$F$25</f>
        <v>___________________</v>
      </c>
      <c r="M59" s="841"/>
    </row>
    <row r="60" spans="1:13" ht="15" customHeight="1">
      <c r="F60" s="841"/>
      <c r="G60" s="841"/>
      <c r="L60" s="841"/>
      <c r="M60" s="841"/>
    </row>
    <row r="61" spans="1:13" ht="15" customHeight="1"/>
    <row r="62" spans="1:13" ht="15" customHeight="1">
      <c r="A62" s="144"/>
      <c r="B62" s="145" t="s">
        <v>17</v>
      </c>
      <c r="C62" s="836" t="s">
        <v>18</v>
      </c>
      <c r="D62" s="836"/>
      <c r="E62" s="836"/>
      <c r="F62" s="836"/>
      <c r="G62" s="836"/>
      <c r="I62" s="836" t="s">
        <v>56</v>
      </c>
      <c r="J62" s="836"/>
      <c r="K62" s="836"/>
      <c r="L62" s="836"/>
      <c r="M62" s="836"/>
    </row>
    <row r="63" spans="1:13" ht="15" customHeight="1">
      <c r="A63" s="38"/>
      <c r="B63" s="39" t="s">
        <v>19</v>
      </c>
      <c r="C63" s="860" t="s">
        <v>1202</v>
      </c>
      <c r="D63" s="860"/>
      <c r="E63" s="860"/>
      <c r="F63" s="860"/>
      <c r="G63" s="860"/>
      <c r="I63" s="860" t="s">
        <v>65</v>
      </c>
      <c r="J63" s="860"/>
      <c r="K63" s="860"/>
      <c r="L63" s="860"/>
      <c r="M63" s="860"/>
    </row>
    <row r="64" spans="1:13" ht="15" customHeight="1">
      <c r="A64" s="48"/>
      <c r="B64" s="49" t="s">
        <v>21</v>
      </c>
      <c r="C64" s="50" t="s">
        <v>67</v>
      </c>
      <c r="D64" s="50"/>
      <c r="E64" s="50"/>
      <c r="F64" s="250"/>
      <c r="G64" s="50"/>
      <c r="I64" s="50" t="s">
        <v>67</v>
      </c>
      <c r="J64" s="50"/>
      <c r="K64" s="50"/>
      <c r="L64" s="250"/>
      <c r="M64" s="50"/>
    </row>
    <row r="65" spans="1:13" ht="174" customHeight="1">
      <c r="A65" s="40"/>
      <c r="B65" s="556" t="s">
        <v>21</v>
      </c>
      <c r="C65" s="852" t="s">
        <v>1208</v>
      </c>
      <c r="D65" s="852"/>
      <c r="E65" s="852"/>
      <c r="F65" s="852"/>
      <c r="G65" s="852"/>
      <c r="I65" s="869" t="s">
        <v>82</v>
      </c>
      <c r="J65" s="869"/>
      <c r="K65" s="869"/>
      <c r="L65" s="869"/>
      <c r="M65" s="869"/>
    </row>
    <row r="66" spans="1:13" ht="8.25" customHeight="1" thickBot="1"/>
    <row r="67" spans="1:13" ht="30" customHeight="1" thickTop="1" thickBot="1">
      <c r="A67" s="10"/>
      <c r="B67" s="835" t="str">
        <f>'Obrazac kalkulacije'!$B$6:$C$6</f>
        <v>Opis</v>
      </c>
      <c r="C67" s="835"/>
      <c r="D67" s="10" t="str">
        <f>'Obrazac kalkulacije'!$D$6</f>
        <v>Jed.
mjere</v>
      </c>
      <c r="E67" s="10" t="str">
        <f>'Obrazac kalkulacije'!$E$6</f>
        <v>Normativ</v>
      </c>
      <c r="F67" s="10" t="str">
        <f>'Obrazac kalkulacije'!$F$6</f>
        <v>Jed.
cijena</v>
      </c>
      <c r="G67" s="10" t="str">
        <f>'Obrazac kalkulacije'!$G$6</f>
        <v>Iznos</v>
      </c>
      <c r="I67" s="703"/>
      <c r="J67" s="10" t="str">
        <f>'Obrazac kalkulacije'!$D$6</f>
        <v>Jed.
mjere</v>
      </c>
      <c r="K67" s="10" t="str">
        <f>'Obrazac kalkulacije'!$E$6</f>
        <v>Normativ</v>
      </c>
      <c r="L67" s="10" t="str">
        <f>'Obrazac kalkulacije'!$F$6</f>
        <v>Jed.
cijena</v>
      </c>
      <c r="M67" s="10" t="str">
        <f>'Obrazac kalkulacije'!$G$6</f>
        <v>Iznos</v>
      </c>
    </row>
    <row r="68" spans="1:13" ht="4.5" customHeight="1" thickTop="1">
      <c r="B68" s="42"/>
      <c r="C68" s="1"/>
      <c r="D68" s="11"/>
      <c r="E68" s="13"/>
      <c r="F68" s="245"/>
      <c r="G68" s="15"/>
      <c r="I68" s="1"/>
      <c r="J68" s="11"/>
      <c r="K68" s="13"/>
      <c r="L68" s="245"/>
      <c r="M68" s="15"/>
    </row>
    <row r="69" spans="1:13" ht="25.15" customHeight="1">
      <c r="A69" s="16"/>
      <c r="B69" s="837" t="str">
        <f>'Obrazac kalkulacije'!$B$8</f>
        <v>Radna snaga:</v>
      </c>
      <c r="C69" s="837"/>
      <c r="D69" s="16"/>
      <c r="E69" s="16"/>
      <c r="F69" s="246"/>
      <c r="G69" s="18">
        <f>SUM(G71:G71)</f>
        <v>0</v>
      </c>
      <c r="I69" s="702"/>
      <c r="J69" s="16"/>
      <c r="K69" s="16"/>
      <c r="L69" s="246"/>
      <c r="M69" s="18">
        <f>SUM(M71:M71)</f>
        <v>0</v>
      </c>
    </row>
    <row r="70" spans="1:13" ht="25.15" customHeight="1">
      <c r="A70" s="16"/>
      <c r="B70" s="837"/>
      <c r="C70" s="837"/>
      <c r="D70" s="93" t="s">
        <v>51</v>
      </c>
      <c r="E70" s="34"/>
      <c r="F70" s="246"/>
      <c r="G70" s="83"/>
      <c r="I70" s="745"/>
      <c r="J70" s="93"/>
      <c r="K70" s="93"/>
      <c r="L70" s="246"/>
      <c r="M70" s="83"/>
    </row>
    <row r="71" spans="1:13" ht="25.15" customHeight="1">
      <c r="A71" s="32"/>
      <c r="B71" s="854"/>
      <c r="C71" s="854"/>
      <c r="D71" s="33" t="s">
        <v>51</v>
      </c>
      <c r="E71" s="34"/>
      <c r="F71" s="243">
        <f>SUMIF('Cjenik RS'!$C$11:$C$26,$B71,'Cjenik RS'!$D$11:$D$90)</f>
        <v>0</v>
      </c>
      <c r="G71" s="35">
        <f>+F71*E71</f>
        <v>0</v>
      </c>
      <c r="I71" s="701"/>
      <c r="J71" s="33" t="s">
        <v>51</v>
      </c>
      <c r="K71" s="34">
        <v>1.3423620000000001</v>
      </c>
      <c r="L71" s="243">
        <f>SUMIF('Cjenik RS'!$C$11:$C$26,$B71,'Cjenik RS'!$D$11:$D$90)</f>
        <v>0</v>
      </c>
      <c r="M71" s="35">
        <f>+L71*K71</f>
        <v>0</v>
      </c>
    </row>
    <row r="72" spans="1:13" ht="25.15" customHeight="1">
      <c r="A72" s="16"/>
      <c r="B72" s="837" t="str">
        <f>'Obrazac kalkulacije'!$B$11</f>
        <v>Vozila, strojevi i oprema:</v>
      </c>
      <c r="C72" s="837"/>
      <c r="D72" s="16"/>
      <c r="E72" s="16"/>
      <c r="F72" s="243"/>
      <c r="G72" s="18">
        <f>SUM(G73:G83)</f>
        <v>0</v>
      </c>
      <c r="I72" s="702"/>
      <c r="J72" s="16"/>
      <c r="K72" s="16"/>
      <c r="L72" s="243"/>
      <c r="M72" s="18">
        <f>SUM(M73:M83)</f>
        <v>0</v>
      </c>
    </row>
    <row r="73" spans="1:13" ht="25.15" customHeight="1">
      <c r="A73" s="51"/>
      <c r="B73" s="863"/>
      <c r="C73" s="863"/>
      <c r="D73" s="748" t="s">
        <v>51</v>
      </c>
      <c r="E73" s="53"/>
      <c r="F73" s="240"/>
      <c r="G73" s="55"/>
      <c r="I73" s="700"/>
      <c r="J73" s="52" t="s">
        <v>51</v>
      </c>
      <c r="K73" s="53">
        <v>9.3517000000000003E-2</v>
      </c>
      <c r="L73" s="240">
        <f>SUMIF('Cjenik VSO'!$B$9:$B$85,$B73,'Cjenik VSO'!$C$9:$C$85)</f>
        <v>0</v>
      </c>
      <c r="M73" s="55">
        <f>K73*L73</f>
        <v>0</v>
      </c>
    </row>
    <row r="74" spans="1:13" ht="25.15" customHeight="1">
      <c r="A74" s="56"/>
      <c r="B74" s="834"/>
      <c r="C74" s="834"/>
      <c r="D74" s="747" t="s">
        <v>51</v>
      </c>
      <c r="E74" s="58"/>
      <c r="F74" s="241"/>
      <c r="G74" s="60"/>
      <c r="I74" s="715"/>
      <c r="J74" s="57" t="s">
        <v>51</v>
      </c>
      <c r="K74" s="58">
        <v>0.32790200000000003</v>
      </c>
      <c r="L74" s="241">
        <f>SUMIF('Cjenik VSO'!$B$9:$B$85,$B74,'Cjenik VSO'!$C$9:$C$85)</f>
        <v>0</v>
      </c>
      <c r="M74" s="60">
        <f>K74*L74</f>
        <v>0</v>
      </c>
    </row>
    <row r="75" spans="1:13" ht="25.15" customHeight="1">
      <c r="A75" s="56"/>
      <c r="B75" s="834"/>
      <c r="C75" s="834"/>
      <c r="D75" s="747"/>
      <c r="E75" s="58"/>
      <c r="F75" s="241"/>
      <c r="G75" s="60"/>
      <c r="I75" s="715"/>
      <c r="J75" s="57" t="s">
        <v>51</v>
      </c>
      <c r="K75" s="58">
        <v>9.1035000000000005E-2</v>
      </c>
      <c r="L75" s="241">
        <f>SUMIF('Cjenik VSO'!$B$9:$B$85,$B75,'Cjenik VSO'!$C$9:$C$85)</f>
        <v>0</v>
      </c>
      <c r="M75" s="60">
        <f>K75*L75</f>
        <v>0</v>
      </c>
    </row>
    <row r="76" spans="1:13" ht="25.15" customHeight="1">
      <c r="A76" s="56"/>
      <c r="B76" s="834"/>
      <c r="C76" s="834"/>
      <c r="D76" s="747"/>
      <c r="E76" s="58"/>
      <c r="F76" s="241"/>
      <c r="G76" s="60"/>
      <c r="I76" s="715"/>
      <c r="J76" s="57" t="s">
        <v>51</v>
      </c>
      <c r="K76" s="58">
        <v>0.12885099999999999</v>
      </c>
      <c r="L76" s="241">
        <f>SUMIF('Cjenik VSO'!$B$9:$B$85,$B76,'Cjenik VSO'!$C$9:$C$85)</f>
        <v>0</v>
      </c>
      <c r="M76" s="60">
        <f t="shared" ref="M76:M83" si="0">K76*L76</f>
        <v>0</v>
      </c>
    </row>
    <row r="77" spans="1:13" ht="25.15" customHeight="1">
      <c r="A77" s="56"/>
      <c r="B77" s="834"/>
      <c r="C77" s="834"/>
      <c r="D77" s="747"/>
      <c r="E77" s="58"/>
      <c r="F77" s="241"/>
      <c r="G77" s="60"/>
      <c r="I77" s="715"/>
      <c r="J77" s="57" t="s">
        <v>51</v>
      </c>
      <c r="K77" s="58">
        <v>5.3655000000000001E-2</v>
      </c>
      <c r="L77" s="241">
        <f>SUMIF('Cjenik VSO'!$B$9:$B$85,$B77,'Cjenik VSO'!$C$9:$C$85)</f>
        <v>0</v>
      </c>
      <c r="M77" s="60">
        <f t="shared" si="0"/>
        <v>0</v>
      </c>
    </row>
    <row r="78" spans="1:13" ht="25.15" customHeight="1">
      <c r="A78" s="56"/>
      <c r="B78" s="834"/>
      <c r="C78" s="834"/>
      <c r="D78" s="747"/>
      <c r="E78" s="58"/>
      <c r="F78" s="241"/>
      <c r="G78" s="60"/>
      <c r="I78" s="715"/>
      <c r="J78" s="57" t="s">
        <v>51</v>
      </c>
      <c r="K78" s="58">
        <v>5.3655000000000001E-2</v>
      </c>
      <c r="L78" s="241">
        <f>SUMIF('Cjenik VSO'!$B$9:$B$85,$B78,'Cjenik VSO'!$C$9:$C$85)</f>
        <v>0</v>
      </c>
      <c r="M78" s="60">
        <f t="shared" si="0"/>
        <v>0</v>
      </c>
    </row>
    <row r="79" spans="1:13" ht="25.15" customHeight="1">
      <c r="A79" s="56"/>
      <c r="B79" s="834"/>
      <c r="C79" s="834"/>
      <c r="D79" s="747"/>
      <c r="E79" s="58"/>
      <c r="F79" s="241"/>
      <c r="G79" s="60"/>
      <c r="I79" s="715"/>
      <c r="J79" s="57" t="s">
        <v>51</v>
      </c>
      <c r="K79" s="58">
        <v>5.3655000000000001E-2</v>
      </c>
      <c r="L79" s="241">
        <f>SUMIF('Cjenik VSO'!$B$9:$B$85,$B79,'Cjenik VSO'!$C$9:$C$85)</f>
        <v>0</v>
      </c>
      <c r="M79" s="60">
        <f t="shared" si="0"/>
        <v>0</v>
      </c>
    </row>
    <row r="80" spans="1:13" ht="25.15" customHeight="1">
      <c r="A80" s="56"/>
      <c r="B80" s="834"/>
      <c r="C80" s="834"/>
      <c r="D80" s="57"/>
      <c r="E80" s="58"/>
      <c r="F80" s="241"/>
      <c r="G80" s="60"/>
      <c r="I80" s="715"/>
      <c r="J80" s="57" t="s">
        <v>51</v>
      </c>
      <c r="K80" s="58">
        <v>0.32</v>
      </c>
      <c r="L80" s="241">
        <f>SUMIF('Cjenik VSO'!$B$9:$B$85,$B80,'Cjenik VSO'!$C$9:$C$85)</f>
        <v>0</v>
      </c>
      <c r="M80" s="60">
        <f t="shared" si="0"/>
        <v>0</v>
      </c>
    </row>
    <row r="81" spans="1:13" ht="25.15" customHeight="1">
      <c r="A81" s="56"/>
      <c r="B81" s="834"/>
      <c r="C81" s="834"/>
      <c r="D81" s="57"/>
      <c r="E81" s="58"/>
      <c r="F81" s="241"/>
      <c r="G81" s="60"/>
      <c r="I81" s="715"/>
      <c r="J81" s="57" t="s">
        <v>51</v>
      </c>
      <c r="K81" s="58">
        <v>0.10945299999999999</v>
      </c>
      <c r="L81" s="241">
        <f>SUMIF('Cjenik VSO'!$B$9:$B$85,$B81,'Cjenik VSO'!$C$9:$C$85)</f>
        <v>0</v>
      </c>
      <c r="M81" s="60">
        <f t="shared" si="0"/>
        <v>0</v>
      </c>
    </row>
    <row r="82" spans="1:13" ht="25.15" customHeight="1">
      <c r="A82" s="56"/>
      <c r="B82" s="834"/>
      <c r="C82" s="834"/>
      <c r="D82" s="57"/>
      <c r="E82" s="58"/>
      <c r="F82" s="241"/>
      <c r="G82" s="60"/>
      <c r="I82" s="715"/>
      <c r="J82" s="57" t="s">
        <v>51</v>
      </c>
      <c r="K82" s="58">
        <v>9.1035000000000005E-2</v>
      </c>
      <c r="L82" s="241">
        <f>SUMIF('Cjenik VSO'!$B$9:$B$85,$B82,'Cjenik VSO'!$C$9:$C$85)</f>
        <v>0</v>
      </c>
      <c r="M82" s="60">
        <f t="shared" si="0"/>
        <v>0</v>
      </c>
    </row>
    <row r="83" spans="1:13" ht="25.15" customHeight="1">
      <c r="A83" s="61"/>
      <c r="B83" s="864"/>
      <c r="C83" s="864"/>
      <c r="D83" s="62"/>
      <c r="E83" s="63"/>
      <c r="F83" s="242"/>
      <c r="G83" s="65"/>
      <c r="I83" s="714"/>
      <c r="J83" s="62" t="s">
        <v>51</v>
      </c>
      <c r="K83" s="63">
        <v>9.1035000000000005E-2</v>
      </c>
      <c r="L83" s="242">
        <f>SUMIF('Cjenik VSO'!$B$9:$B$85,$B83,'Cjenik VSO'!$C$9:$C$85)</f>
        <v>0</v>
      </c>
      <c r="M83" s="65">
        <f t="shared" si="0"/>
        <v>0</v>
      </c>
    </row>
    <row r="84" spans="1:13" ht="25.15" customHeight="1">
      <c r="A84" s="16"/>
      <c r="B84" s="837" t="str">
        <f>'Obrazac kalkulacije'!$B$15</f>
        <v>Materijali:</v>
      </c>
      <c r="C84" s="837"/>
      <c r="D84" s="16"/>
      <c r="E84" s="16"/>
      <c r="F84" s="243"/>
      <c r="G84" s="18">
        <f>SUM(G85:G86)</f>
        <v>0</v>
      </c>
      <c r="I84" s="702"/>
      <c r="J84" s="16"/>
      <c r="K84" s="16"/>
      <c r="L84" s="243"/>
      <c r="M84" s="18">
        <f>SUM(M85:M86)</f>
        <v>2745</v>
      </c>
    </row>
    <row r="85" spans="1:13" ht="25.15" customHeight="1">
      <c r="A85" s="51"/>
      <c r="B85" s="863"/>
      <c r="C85" s="863"/>
      <c r="D85" s="748" t="s">
        <v>655</v>
      </c>
      <c r="E85" s="53"/>
      <c r="F85" s="240"/>
      <c r="G85" s="55"/>
      <c r="I85" s="700"/>
      <c r="J85" s="52" t="str">
        <f>'Cjenik M'!$C$12</f>
        <v>kom</v>
      </c>
      <c r="K85" s="53">
        <v>0.5</v>
      </c>
      <c r="L85" s="240">
        <f>'Cjenik M'!$D$12</f>
        <v>490</v>
      </c>
      <c r="M85" s="55">
        <f>K85*L85</f>
        <v>245</v>
      </c>
    </row>
    <row r="86" spans="1:13" ht="25.15" customHeight="1" thickBot="1">
      <c r="A86" s="56"/>
      <c r="B86" s="834"/>
      <c r="C86" s="834"/>
      <c r="D86" s="747" t="s">
        <v>965</v>
      </c>
      <c r="E86" s="58"/>
      <c r="F86" s="241"/>
      <c r="G86" s="60"/>
      <c r="I86" s="715"/>
      <c r="J86" s="57" t="str">
        <f>'Cjenik M'!$C$14</f>
        <v>kom</v>
      </c>
      <c r="K86" s="58">
        <v>0.5</v>
      </c>
      <c r="L86" s="241">
        <f>'Cjenik M'!$D$14</f>
        <v>5000</v>
      </c>
      <c r="M86" s="60">
        <f>K86*L86</f>
        <v>2500</v>
      </c>
    </row>
    <row r="87" spans="1:13" ht="25.15" customHeight="1" thickTop="1" thickBot="1">
      <c r="B87" s="47"/>
      <c r="C87" s="24"/>
      <c r="D87" s="25"/>
      <c r="E87" s="850" t="str">
        <f>'Obrazac kalkulacije'!$E$18</f>
        <v>Ukupno (kn):</v>
      </c>
      <c r="F87" s="850"/>
      <c r="G87" s="26">
        <f>ROUND(SUM(G69+G72+G84),2)</f>
        <v>0</v>
      </c>
      <c r="H87" s="269"/>
      <c r="I87" s="24"/>
      <c r="J87" s="25"/>
      <c r="K87" s="850" t="str">
        <f>'Obrazac kalkulacije'!$E$18</f>
        <v>Ukupno (kn):</v>
      </c>
      <c r="L87" s="850"/>
      <c r="M87" s="26">
        <f>ROUND(SUM(M69+M72+M84),2)</f>
        <v>2745</v>
      </c>
    </row>
    <row r="88" spans="1:13" ht="25.15" customHeight="1" thickTop="1" thickBot="1">
      <c r="E88" s="27" t="str">
        <f>'Obrazac kalkulacije'!$E$19</f>
        <v>PDV:</v>
      </c>
      <c r="F88" s="248">
        <f>'Obrazac kalkulacije'!$F$19</f>
        <v>0.25</v>
      </c>
      <c r="G88" s="29">
        <f>G87*F88</f>
        <v>0</v>
      </c>
      <c r="H88" s="561"/>
      <c r="K88" s="27" t="str">
        <f>'Obrazac kalkulacije'!$E$19</f>
        <v>PDV:</v>
      </c>
      <c r="L88" s="248">
        <f>'Obrazac kalkulacije'!$F$19</f>
        <v>0.25</v>
      </c>
      <c r="M88" s="29">
        <f>M87*L88</f>
        <v>686.25</v>
      </c>
    </row>
    <row r="89" spans="1:13" ht="25.15" customHeight="1" thickTop="1" thickBot="1">
      <c r="E89" s="840" t="str">
        <f>'Obrazac kalkulacije'!$E$20</f>
        <v>Sveukupno (kn):</v>
      </c>
      <c r="F89" s="840"/>
      <c r="G89" s="29">
        <f>ROUND(SUM(G87:G88),2)</f>
        <v>0</v>
      </c>
      <c r="H89" s="562"/>
      <c r="K89" s="840" t="str">
        <f>'Obrazac kalkulacije'!$E$20</f>
        <v>Sveukupno (kn):</v>
      </c>
      <c r="L89" s="840"/>
      <c r="M89" s="29">
        <f>ROUND(SUM(M87:M88),2)</f>
        <v>3431.25</v>
      </c>
    </row>
    <row r="90" spans="1:13" ht="9" customHeight="1" thickTop="1"/>
    <row r="91" spans="1:13" ht="9" customHeight="1"/>
    <row r="92" spans="1:13" ht="15" customHeight="1">
      <c r="C92" s="3" t="str">
        <f>'Obrazac kalkulacije'!$C$24</f>
        <v>IZVODITELJ:</v>
      </c>
      <c r="F92" s="841" t="str">
        <f>'Obrazac kalkulacije'!$F$24</f>
        <v>NARUČITELJ:</v>
      </c>
      <c r="G92" s="841"/>
      <c r="I92" s="3" t="str">
        <f>'Obrazac kalkulacije'!$C$24</f>
        <v>IZVODITELJ:</v>
      </c>
      <c r="L92" s="841" t="str">
        <f>'Obrazac kalkulacije'!$F$24</f>
        <v>NARUČITELJ:</v>
      </c>
      <c r="M92" s="841"/>
    </row>
    <row r="93" spans="1:13" ht="25.15" customHeight="1">
      <c r="C93" s="3" t="str">
        <f>'Obrazac kalkulacije'!$C$25</f>
        <v>__________________</v>
      </c>
      <c r="F93" s="841" t="str">
        <f>'Obrazac kalkulacije'!$F$25</f>
        <v>___________________</v>
      </c>
      <c r="G93" s="841"/>
      <c r="I93" s="3" t="str">
        <f>'Obrazac kalkulacije'!$C$25</f>
        <v>__________________</v>
      </c>
      <c r="L93" s="841" t="str">
        <f>'Obrazac kalkulacije'!$F$25</f>
        <v>___________________</v>
      </c>
      <c r="M93" s="841"/>
    </row>
    <row r="94" spans="1:13" ht="15" customHeight="1">
      <c r="F94" s="841"/>
      <c r="G94" s="841"/>
      <c r="L94" s="841"/>
      <c r="M94" s="841"/>
    </row>
    <row r="95" spans="1:13" ht="15" customHeight="1"/>
    <row r="96" spans="1:13" ht="15" customHeight="1">
      <c r="A96" s="144"/>
      <c r="B96" s="145" t="s">
        <v>23</v>
      </c>
      <c r="C96" s="836" t="s">
        <v>24</v>
      </c>
      <c r="D96" s="836"/>
      <c r="E96" s="836"/>
      <c r="F96" s="836"/>
      <c r="G96" s="836"/>
      <c r="I96" s="836" t="s">
        <v>56</v>
      </c>
      <c r="J96" s="836"/>
      <c r="K96" s="836"/>
      <c r="L96" s="836"/>
      <c r="M96" s="836"/>
    </row>
    <row r="97" spans="1:19" ht="15" customHeight="1">
      <c r="A97" s="38"/>
      <c r="B97" s="39" t="s">
        <v>25</v>
      </c>
      <c r="C97" s="860" t="s">
        <v>24</v>
      </c>
      <c r="D97" s="860"/>
      <c r="E97" s="860"/>
      <c r="F97" s="860"/>
      <c r="G97" s="860"/>
      <c r="I97" s="860" t="s">
        <v>65</v>
      </c>
      <c r="J97" s="860"/>
      <c r="K97" s="860"/>
      <c r="L97" s="860"/>
      <c r="M97" s="860"/>
    </row>
    <row r="98" spans="1:19" ht="15" customHeight="1">
      <c r="A98" s="48"/>
      <c r="B98" s="49" t="s">
        <v>25</v>
      </c>
      <c r="C98" s="746" t="s">
        <v>1204</v>
      </c>
      <c r="D98" s="50"/>
      <c r="E98" s="50"/>
      <c r="F98" s="250"/>
      <c r="G98" s="50"/>
      <c r="I98" s="50" t="s">
        <v>67</v>
      </c>
      <c r="J98" s="50"/>
      <c r="K98" s="50"/>
      <c r="L98" s="250"/>
      <c r="M98" s="50"/>
    </row>
    <row r="99" spans="1:19" ht="150" customHeight="1">
      <c r="A99" s="40"/>
      <c r="B99" s="556" t="s">
        <v>25</v>
      </c>
      <c r="C99" s="852" t="s">
        <v>26</v>
      </c>
      <c r="D99" s="852"/>
      <c r="E99" s="852"/>
      <c r="F99" s="852"/>
      <c r="G99" s="852"/>
      <c r="I99" s="869" t="s">
        <v>84</v>
      </c>
      <c r="J99" s="869"/>
      <c r="K99" s="869"/>
      <c r="L99" s="869"/>
      <c r="M99" s="869"/>
    </row>
    <row r="100" spans="1:19" ht="15" customHeight="1" thickBot="1"/>
    <row r="101" spans="1:19" ht="30" customHeight="1" thickTop="1" thickBot="1">
      <c r="A101" s="10"/>
      <c r="B101" s="835" t="str">
        <f>'Obrazac kalkulacije'!$B$6:$C$6</f>
        <v>Opis</v>
      </c>
      <c r="C101" s="835"/>
      <c r="D101" s="10" t="str">
        <f>'Obrazac kalkulacije'!$D$6</f>
        <v>Jed.
mjere</v>
      </c>
      <c r="E101" s="10" t="str">
        <f>'Obrazac kalkulacije'!$E$6</f>
        <v>Normativ</v>
      </c>
      <c r="F101" s="10" t="str">
        <f>'Obrazac kalkulacije'!$F$6</f>
        <v>Jed.
cijena</v>
      </c>
      <c r="G101" s="10" t="str">
        <f>'Obrazac kalkulacije'!$G$6</f>
        <v>Iznos</v>
      </c>
      <c r="H101" s="3">
        <v>40</v>
      </c>
      <c r="I101" s="703"/>
      <c r="J101" s="10" t="str">
        <f>'Obrazac kalkulacije'!$D$6</f>
        <v>Jed.
mjere</v>
      </c>
      <c r="K101" s="10" t="str">
        <f>'Obrazac kalkulacije'!$E$6</f>
        <v>Normativ</v>
      </c>
      <c r="L101" s="10" t="str">
        <f>'Obrazac kalkulacije'!$F$6</f>
        <v>Jed.
cijena</v>
      </c>
      <c r="M101" s="10" t="str">
        <f>'Obrazac kalkulacije'!$G$6</f>
        <v>Iznos</v>
      </c>
    </row>
    <row r="102" spans="1:19" ht="4.5" customHeight="1" thickTop="1">
      <c r="B102" s="42"/>
      <c r="C102" s="1"/>
      <c r="D102" s="11"/>
      <c r="E102" s="13"/>
      <c r="F102" s="245"/>
      <c r="G102" s="15"/>
      <c r="I102" s="1"/>
      <c r="J102" s="11"/>
      <c r="K102" s="13"/>
      <c r="L102" s="245"/>
      <c r="M102" s="15"/>
    </row>
    <row r="103" spans="1:19" ht="25.15" customHeight="1">
      <c r="A103" s="16"/>
      <c r="B103" s="837" t="str">
        <f>'Obrazac kalkulacije'!$B$8</f>
        <v>Radna snaga:</v>
      </c>
      <c r="C103" s="837"/>
      <c r="D103" s="16"/>
      <c r="E103" s="16"/>
      <c r="F103" s="246"/>
      <c r="G103" s="18">
        <f>SUM(G104:G104)</f>
        <v>0</v>
      </c>
      <c r="I103" s="702"/>
      <c r="J103" s="16"/>
      <c r="K103" s="16"/>
      <c r="L103" s="246"/>
      <c r="M103" s="18">
        <f>SUM(M104:M104)</f>
        <v>0</v>
      </c>
    </row>
    <row r="104" spans="1:19" ht="25.15" customHeight="1">
      <c r="A104" s="32"/>
      <c r="B104" s="854"/>
      <c r="C104" s="854"/>
      <c r="D104" s="33" t="s">
        <v>51</v>
      </c>
      <c r="E104" s="34"/>
      <c r="F104" s="243">
        <f>SUMIF('Cjenik RS'!$C$11:$C$26,$B104,'Cjenik RS'!$D$11:$D$90)</f>
        <v>0</v>
      </c>
      <c r="G104" s="35">
        <f>+F104*E104</f>
        <v>0</v>
      </c>
      <c r="H104" s="557">
        <v>48</v>
      </c>
      <c r="I104" s="701"/>
      <c r="J104" s="33" t="s">
        <v>51</v>
      </c>
      <c r="K104" s="34">
        <v>1.0872409999999999</v>
      </c>
      <c r="L104" s="243">
        <f>SUMIF('Cjenik RS'!$C$11:$C$26,$B104,'Cjenik RS'!$D$11:$D$90)</f>
        <v>0</v>
      </c>
      <c r="M104" s="35">
        <f>+L104*K104</f>
        <v>0</v>
      </c>
    </row>
    <row r="105" spans="1:19" ht="25.15" customHeight="1">
      <c r="A105" s="16"/>
      <c r="B105" s="837" t="str">
        <f>'Obrazac kalkulacije'!$B$11</f>
        <v>Vozila, strojevi i oprema:</v>
      </c>
      <c r="C105" s="837"/>
      <c r="D105" s="16"/>
      <c r="E105" s="16"/>
      <c r="F105" s="243"/>
      <c r="G105" s="18">
        <f>SUM(G106:G116)</f>
        <v>0</v>
      </c>
      <c r="H105" s="44"/>
      <c r="I105" s="702"/>
      <c r="J105" s="16"/>
      <c r="K105" s="16"/>
      <c r="L105" s="243"/>
      <c r="M105" s="18">
        <f>SUM(M106:M116)</f>
        <v>0</v>
      </c>
    </row>
    <row r="106" spans="1:19" ht="25.15" customHeight="1">
      <c r="A106" s="51"/>
      <c r="B106" s="863"/>
      <c r="C106" s="863"/>
      <c r="D106" s="52" t="s">
        <v>51</v>
      </c>
      <c r="E106" s="34"/>
      <c r="F106" s="240">
        <f>SUMIF('Cjenik VSO'!$B$9:$B$85,$B106,'Cjenik VSO'!$C$9:$C$85)</f>
        <v>0</v>
      </c>
      <c r="G106" s="55">
        <f>E106*F106</f>
        <v>0</v>
      </c>
      <c r="H106" s="557">
        <v>1.5</v>
      </c>
      <c r="I106" s="700"/>
      <c r="J106" s="52" t="s">
        <v>51</v>
      </c>
      <c r="K106" s="53">
        <v>1.7069000000000001E-2</v>
      </c>
      <c r="L106" s="240">
        <f>SUMIF('Cjenik VSO'!$B$9:$B$85,$B106,'Cjenik VSO'!$C$9:$C$85)</f>
        <v>0</v>
      </c>
      <c r="M106" s="55">
        <f>K106*L106</f>
        <v>0</v>
      </c>
      <c r="O106" s="2">
        <v>3.5035829400000007</v>
      </c>
      <c r="P106" s="271">
        <f t="shared" ref="P106:P116" si="1">O106-G106</f>
        <v>3.5035829400000007</v>
      </c>
    </row>
    <row r="107" spans="1:19" ht="25.15" customHeight="1">
      <c r="A107" s="56"/>
      <c r="B107" s="834"/>
      <c r="C107" s="834"/>
      <c r="D107" s="57" t="s">
        <v>51</v>
      </c>
      <c r="E107" s="34"/>
      <c r="F107" s="241">
        <f>SUMIF('Cjenik VSO'!$B$9:$B$85,$B107,'Cjenik VSO'!$C$9:$C$85)</f>
        <v>0</v>
      </c>
      <c r="G107" s="60">
        <f>E107*F107</f>
        <v>0</v>
      </c>
      <c r="H107" s="557">
        <v>7.8</v>
      </c>
      <c r="I107" s="715"/>
      <c r="J107" s="57" t="s">
        <v>51</v>
      </c>
      <c r="K107" s="58">
        <v>0.19755800000000001</v>
      </c>
      <c r="L107" s="241">
        <f>SUMIF('Cjenik VSO'!$B$9:$B$85,$B107,'Cjenik VSO'!$C$9:$C$85)</f>
        <v>0</v>
      </c>
      <c r="M107" s="60">
        <f>K107*L107</f>
        <v>0</v>
      </c>
      <c r="O107" s="2">
        <v>65.865046968000001</v>
      </c>
      <c r="P107" s="271">
        <f t="shared" si="1"/>
        <v>65.865046968000001</v>
      </c>
      <c r="S107" s="2">
        <v>44.099178428199991</v>
      </c>
    </row>
    <row r="108" spans="1:19" ht="25.15" customHeight="1">
      <c r="A108" s="56"/>
      <c r="B108" s="834"/>
      <c r="C108" s="834"/>
      <c r="D108" s="57" t="s">
        <v>51</v>
      </c>
      <c r="E108" s="34"/>
      <c r="F108" s="241">
        <f>SUMIF('Cjenik VSO'!$B$9:$B$85,$B108,'Cjenik VSO'!$C$9:$C$85)</f>
        <v>0</v>
      </c>
      <c r="G108" s="60">
        <f>E108*F108</f>
        <v>0</v>
      </c>
      <c r="H108" s="557">
        <v>3.5</v>
      </c>
      <c r="I108" s="715"/>
      <c r="J108" s="57" t="s">
        <v>51</v>
      </c>
      <c r="K108" s="58">
        <v>3.8793000000000001E-2</v>
      </c>
      <c r="L108" s="241">
        <f>SUMIF('Cjenik VSO'!$B$9:$B$85,$B108,'Cjenik VSO'!$C$9:$C$85)</f>
        <v>0</v>
      </c>
      <c r="M108" s="60">
        <f>K108*L108</f>
        <v>0</v>
      </c>
      <c r="O108" s="2">
        <v>15.767026919999999</v>
      </c>
      <c r="P108" s="271">
        <f t="shared" si="1"/>
        <v>15.767026919999999</v>
      </c>
    </row>
    <row r="109" spans="1:19" ht="25.15" customHeight="1">
      <c r="A109" s="56"/>
      <c r="B109" s="834"/>
      <c r="C109" s="834"/>
      <c r="D109" s="57" t="s">
        <v>51</v>
      </c>
      <c r="E109" s="34"/>
      <c r="F109" s="241">
        <f>SUMIF('Cjenik VSO'!$B$9:$B$85,$B109,'Cjenik VSO'!$C$9:$C$85)</f>
        <v>0</v>
      </c>
      <c r="G109" s="60">
        <f t="shared" ref="G109:G116" si="2">E109*F109</f>
        <v>0</v>
      </c>
      <c r="H109" s="557">
        <v>7.8</v>
      </c>
      <c r="I109" s="715"/>
      <c r="J109" s="57" t="s">
        <v>51</v>
      </c>
      <c r="K109" s="58">
        <v>8.7212999999999999E-2</v>
      </c>
      <c r="L109" s="241">
        <f>SUMIF('Cjenik VSO'!$B$9:$B$85,$B109,'Cjenik VSO'!$C$9:$C$85)</f>
        <v>0</v>
      </c>
      <c r="M109" s="60">
        <f t="shared" ref="M109:M116" si="3">K109*L109</f>
        <v>0</v>
      </c>
      <c r="O109" s="2">
        <v>71.660828987999992</v>
      </c>
      <c r="P109" s="271">
        <f t="shared" si="1"/>
        <v>71.660828987999992</v>
      </c>
    </row>
    <row r="110" spans="1:19" ht="25.15" customHeight="1">
      <c r="A110" s="56"/>
      <c r="B110" s="839"/>
      <c r="C110" s="839"/>
      <c r="D110" s="57" t="s">
        <v>51</v>
      </c>
      <c r="E110" s="34"/>
      <c r="F110" s="241">
        <f>SUMIF('Cjenik VSO'!$B$9:$B$85,$B110,'Cjenik VSO'!$C$9:$C$85)</f>
        <v>0</v>
      </c>
      <c r="G110" s="60">
        <f t="shared" si="2"/>
        <v>0</v>
      </c>
      <c r="H110" s="557">
        <v>2</v>
      </c>
      <c r="I110" s="715"/>
      <c r="J110" s="57" t="s">
        <v>51</v>
      </c>
      <c r="K110" s="58">
        <v>4.3879000000000001E-2</v>
      </c>
      <c r="L110" s="241">
        <f>SUMIF('Cjenik VSO'!$B$9:$B$85,$B110,'Cjenik VSO'!$C$9:$C$85)</f>
        <v>0</v>
      </c>
      <c r="M110" s="60">
        <f t="shared" si="3"/>
        <v>0</v>
      </c>
      <c r="O110" s="2">
        <v>13.885597307999999</v>
      </c>
      <c r="P110" s="271">
        <f t="shared" si="1"/>
        <v>13.885597307999999</v>
      </c>
    </row>
    <row r="111" spans="1:19" ht="25.15" customHeight="1">
      <c r="A111" s="56"/>
      <c r="B111" s="839"/>
      <c r="C111" s="839"/>
      <c r="D111" s="57" t="s">
        <v>51</v>
      </c>
      <c r="E111" s="34"/>
      <c r="F111" s="241">
        <f>SUMIF('Cjenik VSO'!$B$9:$B$85,$B111,'Cjenik VSO'!$C$9:$C$85)</f>
        <v>0</v>
      </c>
      <c r="G111" s="60">
        <f t="shared" si="2"/>
        <v>0</v>
      </c>
      <c r="H111" s="557">
        <v>2</v>
      </c>
      <c r="I111" s="715"/>
      <c r="J111" s="57" t="s">
        <v>51</v>
      </c>
      <c r="K111" s="58">
        <v>4.3879000000000001E-2</v>
      </c>
      <c r="L111" s="241">
        <f>SUMIF('Cjenik VSO'!$B$9:$B$85,$B111,'Cjenik VSO'!$C$9:$C$85)</f>
        <v>0</v>
      </c>
      <c r="M111" s="60">
        <f t="shared" si="3"/>
        <v>0</v>
      </c>
      <c r="O111" s="2">
        <v>2.4237004440000001</v>
      </c>
      <c r="P111" s="271">
        <f t="shared" si="1"/>
        <v>2.4237004440000001</v>
      </c>
    </row>
    <row r="112" spans="1:19" ht="25.15" customHeight="1">
      <c r="A112" s="56"/>
      <c r="B112" s="834"/>
      <c r="C112" s="834"/>
      <c r="D112" s="57" t="s">
        <v>51</v>
      </c>
      <c r="E112" s="34"/>
      <c r="F112" s="241">
        <f>SUMIF('Cjenik VSO'!$B$9:$B$85,$B112,'Cjenik VSO'!$C$9:$C$85)</f>
        <v>0</v>
      </c>
      <c r="G112" s="60">
        <f t="shared" si="2"/>
        <v>0</v>
      </c>
      <c r="H112" s="557">
        <v>4</v>
      </c>
      <c r="I112" s="715"/>
      <c r="J112" s="57" t="s">
        <v>51</v>
      </c>
      <c r="K112" s="58">
        <v>4.3879000000000001E-2</v>
      </c>
      <c r="L112" s="241">
        <f>SUMIF('Cjenik VSO'!$B$9:$B$85,$B112,'Cjenik VSO'!$C$9:$C$85)</f>
        <v>0</v>
      </c>
      <c r="M112" s="60">
        <f t="shared" si="3"/>
        <v>0</v>
      </c>
      <c r="O112" s="2">
        <v>2.6169435600000002</v>
      </c>
      <c r="P112" s="271">
        <f t="shared" si="1"/>
        <v>2.6169435600000002</v>
      </c>
    </row>
    <row r="113" spans="1:16" ht="25.15" customHeight="1">
      <c r="A113" s="56"/>
      <c r="B113" s="834"/>
      <c r="C113" s="834"/>
      <c r="D113" s="57" t="s">
        <v>51</v>
      </c>
      <c r="E113" s="34"/>
      <c r="F113" s="241">
        <f>SUMIF('Cjenik VSO'!$B$9:$B$85,$B113,'Cjenik VSO'!$C$9:$C$85)</f>
        <v>0</v>
      </c>
      <c r="G113" s="60">
        <f t="shared" si="2"/>
        <v>0</v>
      </c>
      <c r="H113" s="557">
        <v>8</v>
      </c>
      <c r="I113" s="715"/>
      <c r="J113" s="57" t="s">
        <v>51</v>
      </c>
      <c r="K113" s="58">
        <v>0.12887899999999999</v>
      </c>
      <c r="L113" s="241">
        <f>SUMIF('Cjenik VSO'!$B$9:$B$85,$B113,'Cjenik VSO'!$C$9:$C$85)</f>
        <v>0</v>
      </c>
      <c r="M113" s="60">
        <f t="shared" si="3"/>
        <v>0</v>
      </c>
      <c r="O113" s="2">
        <v>60.680357327999999</v>
      </c>
      <c r="P113" s="271">
        <f t="shared" si="1"/>
        <v>60.680357327999999</v>
      </c>
    </row>
    <row r="114" spans="1:16" ht="25.15" customHeight="1">
      <c r="A114" s="56"/>
      <c r="B114" s="834"/>
      <c r="C114" s="834"/>
      <c r="D114" s="57" t="s">
        <v>51</v>
      </c>
      <c r="E114" s="34"/>
      <c r="F114" s="241">
        <f>SUMIF('Cjenik VSO'!$B$9:$B$85,$B114,'Cjenik VSO'!$C$9:$C$85)</f>
        <v>0</v>
      </c>
      <c r="G114" s="60">
        <f t="shared" si="2"/>
        <v>0</v>
      </c>
      <c r="H114" s="557">
        <v>8</v>
      </c>
      <c r="I114" s="715"/>
      <c r="J114" s="57" t="s">
        <v>51</v>
      </c>
      <c r="K114" s="58">
        <v>9.3879299999999999E-2</v>
      </c>
      <c r="L114" s="241">
        <f>SUMIF('Cjenik VSO'!$B$9:$B$85,$B114,'Cjenik VSO'!$C$9:$C$85)</f>
        <v>0</v>
      </c>
      <c r="M114" s="60">
        <f t="shared" si="3"/>
        <v>0</v>
      </c>
      <c r="O114" s="2">
        <v>21.412366261199995</v>
      </c>
      <c r="P114" s="271">
        <f t="shared" si="1"/>
        <v>21.412366261199995</v>
      </c>
    </row>
    <row r="115" spans="1:16" ht="25.15" customHeight="1">
      <c r="A115" s="56"/>
      <c r="B115" s="834"/>
      <c r="C115" s="834"/>
      <c r="D115" s="57" t="s">
        <v>51</v>
      </c>
      <c r="E115" s="34"/>
      <c r="F115" s="241">
        <f>SUMIF('Cjenik VSO'!$B$9:$B$85,$B115,'Cjenik VSO'!$C$9:$C$85)</f>
        <v>0</v>
      </c>
      <c r="G115" s="60">
        <f t="shared" si="2"/>
        <v>0</v>
      </c>
      <c r="H115" s="557">
        <v>1.5</v>
      </c>
      <c r="I115" s="715"/>
      <c r="J115" s="57" t="s">
        <v>51</v>
      </c>
      <c r="K115" s="58">
        <v>2.5862E-2</v>
      </c>
      <c r="L115" s="241">
        <f>SUMIF('Cjenik VSO'!$B$9:$B$85,$B115,'Cjenik VSO'!$C$9:$C$85)</f>
        <v>0</v>
      </c>
      <c r="M115" s="60">
        <f t="shared" si="3"/>
        <v>0</v>
      </c>
      <c r="O115" s="2">
        <v>2.0308911359999997</v>
      </c>
      <c r="P115" s="271">
        <f t="shared" si="1"/>
        <v>2.0308911359999997</v>
      </c>
    </row>
    <row r="116" spans="1:16" ht="25.15" customHeight="1">
      <c r="A116" s="61"/>
      <c r="B116" s="864"/>
      <c r="C116" s="864"/>
      <c r="D116" s="62" t="s">
        <v>51</v>
      </c>
      <c r="E116" s="34"/>
      <c r="F116" s="242">
        <f>SUMIF('Cjenik VSO'!$B$9:$B$85,$B116,'Cjenik VSO'!$C$9:$C$85)</f>
        <v>0</v>
      </c>
      <c r="G116" s="65">
        <f t="shared" si="2"/>
        <v>0</v>
      </c>
      <c r="H116" s="557">
        <v>3.5</v>
      </c>
      <c r="I116" s="714"/>
      <c r="J116" s="62" t="s">
        <v>51</v>
      </c>
      <c r="K116" s="63">
        <v>3.8793000000000001E-2</v>
      </c>
      <c r="L116" s="242">
        <f>SUMIF('Cjenik VSO'!$B$9:$B$85,$B116,'Cjenik VSO'!$C$9:$C$85)</f>
        <v>0</v>
      </c>
      <c r="M116" s="65">
        <f t="shared" si="3"/>
        <v>0</v>
      </c>
      <c r="O116" s="2">
        <v>4.7487287160000005</v>
      </c>
      <c r="P116" s="271">
        <f t="shared" si="1"/>
        <v>4.7487287160000005</v>
      </c>
    </row>
    <row r="117" spans="1:16" ht="25.15" customHeight="1">
      <c r="A117" s="16"/>
      <c r="B117" s="837" t="str">
        <f>'Obrazac kalkulacije'!$B$15</f>
        <v>Materijali:</v>
      </c>
      <c r="C117" s="837"/>
      <c r="D117" s="16"/>
      <c r="E117" s="16"/>
      <c r="F117" s="243"/>
      <c r="G117" s="18">
        <f>SUM(G118:G120)</f>
        <v>0</v>
      </c>
      <c r="I117" s="702"/>
      <c r="J117" s="16"/>
      <c r="K117" s="16"/>
      <c r="L117" s="243"/>
      <c r="M117" s="18">
        <f>SUM(M118:M120)</f>
        <v>3244.5</v>
      </c>
      <c r="P117" s="271">
        <f>SUM(P106:P116)</f>
        <v>264.5950705692</v>
      </c>
    </row>
    <row r="118" spans="1:16" ht="25.15" customHeight="1">
      <c r="A118" s="51"/>
      <c r="B118" s="863"/>
      <c r="C118" s="863"/>
      <c r="D118" s="748" t="s">
        <v>893</v>
      </c>
      <c r="E118" s="53"/>
      <c r="F118" s="240"/>
      <c r="G118" s="55">
        <f>E118*F118</f>
        <v>0</v>
      </c>
      <c r="I118" s="700"/>
      <c r="J118" s="52" t="str">
        <f>'Cjenik M'!$C$12</f>
        <v>kom</v>
      </c>
      <c r="K118" s="53">
        <v>0.5</v>
      </c>
      <c r="L118" s="240">
        <f>'Cjenik M'!$D$12</f>
        <v>490</v>
      </c>
      <c r="M118" s="55">
        <f>K118*L118</f>
        <v>245</v>
      </c>
    </row>
    <row r="119" spans="1:16" ht="25.15" customHeight="1">
      <c r="A119" s="56"/>
      <c r="B119" s="834"/>
      <c r="C119" s="834"/>
      <c r="D119" s="747" t="s">
        <v>441</v>
      </c>
      <c r="E119" s="58"/>
      <c r="F119" s="241"/>
      <c r="G119" s="60">
        <f>E119*F119</f>
        <v>0</v>
      </c>
      <c r="I119" s="715"/>
      <c r="J119" s="57" t="str">
        <f>'Cjenik M'!$C$14</f>
        <v>kom</v>
      </c>
      <c r="K119" s="58">
        <v>0.5</v>
      </c>
      <c r="L119" s="241">
        <f>'Cjenik M'!$D$14</f>
        <v>5000</v>
      </c>
      <c r="M119" s="60">
        <f>K119*L119</f>
        <v>2500</v>
      </c>
      <c r="O119" s="2">
        <f>767.09*1.06</f>
        <v>813.11540000000002</v>
      </c>
    </row>
    <row r="120" spans="1:16" ht="25.15" customHeight="1" thickBot="1">
      <c r="A120" s="66"/>
      <c r="B120" s="859"/>
      <c r="C120" s="859"/>
      <c r="D120" s="749"/>
      <c r="E120" s="68"/>
      <c r="F120" s="249"/>
      <c r="G120" s="70">
        <f>E120*F120</f>
        <v>0</v>
      </c>
      <c r="I120" s="713"/>
      <c r="J120" s="67" t="str">
        <f>'Cjenik M'!$C$21</f>
        <v>kom</v>
      </c>
      <c r="K120" s="68">
        <v>3.33</v>
      </c>
      <c r="L120" s="249">
        <f>'Cjenik M'!$D$21</f>
        <v>150</v>
      </c>
      <c r="M120" s="70">
        <f>K120*L120</f>
        <v>499.5</v>
      </c>
    </row>
    <row r="121" spans="1:16" ht="18.75" customHeight="1" thickTop="1" thickBot="1">
      <c r="B121" s="47"/>
      <c r="C121" s="24"/>
      <c r="D121" s="25"/>
      <c r="E121" s="850" t="str">
        <f>'Obrazac kalkulacije'!$E$18</f>
        <v>Ukupno (kn):</v>
      </c>
      <c r="F121" s="850"/>
      <c r="G121" s="26">
        <f>ROUND(SUM(G103+G105+G117),2)</f>
        <v>0</v>
      </c>
      <c r="H121" s="269"/>
      <c r="I121" s="24"/>
      <c r="J121" s="25"/>
      <c r="K121" s="850" t="str">
        <f>'Obrazac kalkulacije'!$E$18</f>
        <v>Ukupno (kn):</v>
      </c>
      <c r="L121" s="850"/>
      <c r="M121" s="26">
        <f>ROUND(SUM(M103+M105+M117),2)</f>
        <v>3244.5</v>
      </c>
    </row>
    <row r="122" spans="1:16" ht="18.75" customHeight="1" thickTop="1" thickBot="1">
      <c r="E122" s="27" t="str">
        <f>'Obrazac kalkulacije'!$E$19</f>
        <v>PDV:</v>
      </c>
      <c r="F122" s="248">
        <f>'Obrazac kalkulacije'!$F$19</f>
        <v>0.25</v>
      </c>
      <c r="G122" s="29">
        <f>G121*F122</f>
        <v>0</v>
      </c>
      <c r="H122" s="561"/>
      <c r="K122" s="27" t="str">
        <f>'Obrazac kalkulacije'!$E$19</f>
        <v>PDV:</v>
      </c>
      <c r="L122" s="248">
        <f>'Obrazac kalkulacije'!$F$19</f>
        <v>0.25</v>
      </c>
      <c r="M122" s="29">
        <f>M121*L122</f>
        <v>811.125</v>
      </c>
    </row>
    <row r="123" spans="1:16" ht="18.75" customHeight="1" thickTop="1" thickBot="1">
      <c r="E123" s="840" t="str">
        <f>'Obrazac kalkulacije'!$E$20</f>
        <v>Sveukupno (kn):</v>
      </c>
      <c r="F123" s="840"/>
      <c r="G123" s="29">
        <f>ROUND(SUM(G121:G122),2)</f>
        <v>0</v>
      </c>
      <c r="H123" s="562"/>
      <c r="K123" s="840" t="str">
        <f>'Obrazac kalkulacije'!$E$20</f>
        <v>Sveukupno (kn):</v>
      </c>
      <c r="L123" s="840"/>
      <c r="M123" s="29">
        <f>ROUND(SUM(M121:M122),2)</f>
        <v>4055.63</v>
      </c>
    </row>
    <row r="124" spans="1:16" ht="15" customHeight="1" thickTop="1"/>
    <row r="125" spans="1:16" ht="9.75" customHeight="1"/>
    <row r="126" spans="1:16" ht="9" customHeight="1"/>
    <row r="127" spans="1:16" ht="15" customHeight="1">
      <c r="C127" s="3" t="str">
        <f>'Obrazac kalkulacije'!$C$24</f>
        <v>IZVODITELJ:</v>
      </c>
      <c r="F127" s="841" t="str">
        <f>'Obrazac kalkulacije'!$F$24</f>
        <v>NARUČITELJ:</v>
      </c>
      <c r="G127" s="841"/>
      <c r="I127" s="3" t="str">
        <f>'Obrazac kalkulacije'!$C$24</f>
        <v>IZVODITELJ:</v>
      </c>
      <c r="L127" s="841" t="str">
        <f>'Obrazac kalkulacije'!$F$24</f>
        <v>NARUČITELJ:</v>
      </c>
      <c r="M127" s="841"/>
    </row>
    <row r="128" spans="1:16" ht="25.15" customHeight="1">
      <c r="C128" s="3" t="str">
        <f>'Obrazac kalkulacije'!$C$25</f>
        <v>__________________</v>
      </c>
      <c r="F128" s="841" t="str">
        <f>'Obrazac kalkulacije'!$F$25</f>
        <v>___________________</v>
      </c>
      <c r="G128" s="841"/>
      <c r="I128" s="3" t="str">
        <f>'Obrazac kalkulacije'!$C$25</f>
        <v>__________________</v>
      </c>
      <c r="L128" s="841" t="str">
        <f>'Obrazac kalkulacije'!$F$25</f>
        <v>___________________</v>
      </c>
      <c r="M128" s="841"/>
    </row>
    <row r="129" spans="1:16" ht="15" customHeight="1">
      <c r="F129" s="841"/>
      <c r="G129" s="841"/>
      <c r="L129" s="841"/>
      <c r="M129" s="841"/>
    </row>
    <row r="130" spans="1:16" ht="15" customHeight="1"/>
    <row r="131" spans="1:16" ht="15" customHeight="1">
      <c r="A131" s="144"/>
      <c r="B131" s="145" t="s">
        <v>27</v>
      </c>
      <c r="C131" s="836" t="s">
        <v>28</v>
      </c>
      <c r="D131" s="836"/>
      <c r="E131" s="836"/>
      <c r="F131" s="836"/>
      <c r="G131" s="836"/>
      <c r="I131" s="836" t="s">
        <v>56</v>
      </c>
      <c r="J131" s="836"/>
      <c r="K131" s="836"/>
      <c r="L131" s="836"/>
      <c r="M131" s="836"/>
    </row>
    <row r="132" spans="1:16" ht="15" customHeight="1">
      <c r="A132" s="38"/>
      <c r="B132" s="39" t="s">
        <v>29</v>
      </c>
      <c r="C132" s="860" t="s">
        <v>28</v>
      </c>
      <c r="D132" s="860"/>
      <c r="E132" s="860"/>
      <c r="F132" s="860"/>
      <c r="G132" s="860"/>
      <c r="I132" s="860" t="s">
        <v>65</v>
      </c>
      <c r="J132" s="860"/>
      <c r="K132" s="860"/>
      <c r="L132" s="860"/>
      <c r="M132" s="860"/>
    </row>
    <row r="133" spans="1:16" ht="15" customHeight="1">
      <c r="A133" s="48"/>
      <c r="B133" s="49" t="s">
        <v>29</v>
      </c>
      <c r="C133" s="746" t="s">
        <v>1203</v>
      </c>
      <c r="D133" s="50"/>
      <c r="E133" s="50"/>
      <c r="F133" s="250"/>
      <c r="G133" s="50"/>
      <c r="I133" s="50" t="s">
        <v>67</v>
      </c>
      <c r="J133" s="50"/>
      <c r="K133" s="50"/>
      <c r="L133" s="250"/>
      <c r="M133" s="50"/>
    </row>
    <row r="134" spans="1:16" ht="126" customHeight="1">
      <c r="A134" s="40"/>
      <c r="B134" s="556" t="s">
        <v>29</v>
      </c>
      <c r="C134" s="852" t="s">
        <v>1187</v>
      </c>
      <c r="D134" s="852"/>
      <c r="E134" s="852"/>
      <c r="F134" s="852"/>
      <c r="G134" s="852"/>
      <c r="I134" s="869" t="s">
        <v>86</v>
      </c>
      <c r="J134" s="869"/>
      <c r="K134" s="869"/>
      <c r="L134" s="869"/>
      <c r="M134" s="869"/>
    </row>
    <row r="135" spans="1:16" ht="15" customHeight="1" thickBot="1"/>
    <row r="136" spans="1:16" ht="30" customHeight="1" thickTop="1" thickBot="1">
      <c r="A136" s="10"/>
      <c r="B136" s="835" t="str">
        <f>'Obrazac kalkulacije'!$B$6:$C$6</f>
        <v>Opis</v>
      </c>
      <c r="C136" s="835"/>
      <c r="D136" s="10" t="str">
        <f>'Obrazac kalkulacije'!$D$6</f>
        <v>Jed.
mjere</v>
      </c>
      <c r="E136" s="10" t="str">
        <f>'Obrazac kalkulacije'!$E$6</f>
        <v>Normativ</v>
      </c>
      <c r="F136" s="10" t="str">
        <f>'Obrazac kalkulacije'!$F$6</f>
        <v>Jed.
cijena</v>
      </c>
      <c r="G136" s="10" t="str">
        <f>'Obrazac kalkulacije'!$G$6</f>
        <v>Iznos</v>
      </c>
      <c r="H136" s="622">
        <v>85</v>
      </c>
      <c r="I136" s="703"/>
      <c r="J136" s="10" t="str">
        <f>'Obrazac kalkulacije'!$D$6</f>
        <v>Jed.
mjere</v>
      </c>
      <c r="K136" s="10" t="str">
        <f>'Obrazac kalkulacije'!$E$6</f>
        <v>Normativ</v>
      </c>
      <c r="L136" s="10" t="str">
        <f>'Obrazac kalkulacije'!$F$6</f>
        <v>Jed.
cijena</v>
      </c>
      <c r="M136" s="10" t="str">
        <f>'Obrazac kalkulacije'!$G$6</f>
        <v>Iznos</v>
      </c>
    </row>
    <row r="137" spans="1:16" ht="4.5" customHeight="1" thickTop="1">
      <c r="B137" s="42"/>
      <c r="C137" s="1"/>
      <c r="D137" s="11"/>
      <c r="E137" s="13"/>
      <c r="F137" s="245"/>
      <c r="G137" s="15"/>
      <c r="I137" s="1"/>
      <c r="J137" s="11"/>
      <c r="K137" s="13"/>
      <c r="L137" s="245"/>
      <c r="M137" s="15"/>
    </row>
    <row r="138" spans="1:16" ht="25.15" customHeight="1">
      <c r="A138" s="16"/>
      <c r="B138" s="837" t="str">
        <f>'Obrazac kalkulacije'!$B$8</f>
        <v>Radna snaga:</v>
      </c>
      <c r="C138" s="837"/>
      <c r="D138" s="16"/>
      <c r="E138" s="16"/>
      <c r="F138" s="246"/>
      <c r="G138" s="18">
        <f>SUM(G139:G139)</f>
        <v>0</v>
      </c>
      <c r="I138" s="702"/>
      <c r="J138" s="16"/>
      <c r="K138" s="16"/>
      <c r="L138" s="246"/>
      <c r="M138" s="18">
        <f>SUM(M139:M139)</f>
        <v>0</v>
      </c>
    </row>
    <row r="139" spans="1:16" ht="25.15" customHeight="1">
      <c r="A139" s="32"/>
      <c r="B139" s="854"/>
      <c r="C139" s="854"/>
      <c r="D139" s="33" t="s">
        <v>51</v>
      </c>
      <c r="E139" s="34"/>
      <c r="F139" s="243">
        <f>SUMIF('Cjenik RS'!$C$11:$C$26,$B139,'Cjenik RS'!$D$11:$D$90)</f>
        <v>0</v>
      </c>
      <c r="G139" s="35">
        <f>+F139*E139</f>
        <v>0</v>
      </c>
      <c r="H139" s="557">
        <v>48</v>
      </c>
      <c r="I139" s="701"/>
      <c r="J139" s="33" t="s">
        <v>51</v>
      </c>
      <c r="K139" s="34">
        <v>0.66778300000000002</v>
      </c>
      <c r="L139" s="243">
        <f>SUMIF('Cjenik RS'!$C$11:$C$26,$B139,'Cjenik RS'!$D$11:$D$90)</f>
        <v>0</v>
      </c>
      <c r="M139" s="35">
        <f>+L139*K139</f>
        <v>0</v>
      </c>
    </row>
    <row r="140" spans="1:16" ht="25.15" customHeight="1">
      <c r="A140" s="16"/>
      <c r="B140" s="837" t="str">
        <f>'Obrazac kalkulacije'!$B$11</f>
        <v>Vozila, strojevi i oprema:</v>
      </c>
      <c r="C140" s="837"/>
      <c r="D140" s="16"/>
      <c r="E140" s="16"/>
      <c r="F140" s="243"/>
      <c r="G140" s="18">
        <f>SUM(G141:G152)</f>
        <v>0</v>
      </c>
      <c r="H140" s="44"/>
      <c r="I140" s="702"/>
      <c r="J140" s="16"/>
      <c r="K140" s="16"/>
      <c r="L140" s="243"/>
      <c r="M140" s="18">
        <f>SUM(M141:M152)</f>
        <v>0</v>
      </c>
    </row>
    <row r="141" spans="1:16" ht="25.15" customHeight="1">
      <c r="A141" s="51"/>
      <c r="B141" s="863"/>
      <c r="C141" s="863"/>
      <c r="D141" s="52" t="s">
        <v>51</v>
      </c>
      <c r="E141" s="34"/>
      <c r="F141" s="240">
        <f>SUMIF('Cjenik VSO'!$B$9:$B$85,$B141,'Cjenik VSO'!$C$9:$C$85)</f>
        <v>0</v>
      </c>
      <c r="G141" s="55">
        <f>E141*F141</f>
        <v>0</v>
      </c>
      <c r="H141" s="557">
        <v>1.5346389944460683</v>
      </c>
      <c r="I141" s="700"/>
      <c r="J141" s="52" t="s">
        <v>51</v>
      </c>
      <c r="K141" s="53">
        <v>1.7069000000000001E-2</v>
      </c>
      <c r="L141" s="240">
        <f>SUMIF('Cjenik VSO'!$B$9:$B$85,$B141,'Cjenik VSO'!$C$9:$C$85)</f>
        <v>0</v>
      </c>
      <c r="M141" s="55">
        <f>K141*L141</f>
        <v>0</v>
      </c>
      <c r="O141" s="2">
        <f>SUM(G141*1.2)</f>
        <v>0</v>
      </c>
      <c r="P141" s="271">
        <f t="shared" ref="P141:P152" si="4">O141-G141</f>
        <v>0</v>
      </c>
    </row>
    <row r="142" spans="1:16" ht="25.15" customHeight="1">
      <c r="A142" s="56"/>
      <c r="B142" s="834"/>
      <c r="C142" s="834"/>
      <c r="D142" s="57" t="s">
        <v>51</v>
      </c>
      <c r="E142" s="34"/>
      <c r="F142" s="241">
        <f>SUMIF('Cjenik VSO'!$B$9:$B$85,$B142,'Cjenik VSO'!$C$9:$C$85)</f>
        <v>0</v>
      </c>
      <c r="G142" s="60">
        <f>E142*F142</f>
        <v>0</v>
      </c>
      <c r="H142" s="557">
        <v>15.69815839820075</v>
      </c>
      <c r="I142" s="715"/>
      <c r="J142" s="57" t="s">
        <v>51</v>
      </c>
      <c r="K142" s="58">
        <v>0.20386299999999999</v>
      </c>
      <c r="L142" s="241">
        <f>SUMIF('Cjenik VSO'!$B$9:$B$85,$B142,'Cjenik VSO'!$C$9:$C$85)</f>
        <v>0</v>
      </c>
      <c r="M142" s="60">
        <f>K142*L142</f>
        <v>0</v>
      </c>
      <c r="O142" s="2">
        <v>65.865046968000001</v>
      </c>
      <c r="P142" s="271">
        <f t="shared" si="4"/>
        <v>65.865046968000001</v>
      </c>
    </row>
    <row r="143" spans="1:16" ht="25.15" customHeight="1">
      <c r="A143" s="56"/>
      <c r="B143" s="834"/>
      <c r="C143" s="834"/>
      <c r="D143" s="57" t="s">
        <v>51</v>
      </c>
      <c r="E143" s="34"/>
      <c r="F143" s="241">
        <f>SUMIF('Cjenik VSO'!$B$9:$B$85,$B143,'Cjenik VSO'!$C$9:$C$85)</f>
        <v>0</v>
      </c>
      <c r="G143" s="60">
        <f>E143*F143</f>
        <v>0</v>
      </c>
      <c r="H143" s="557">
        <v>3.4555435741593965</v>
      </c>
      <c r="I143" s="715"/>
      <c r="J143" s="57" t="s">
        <v>51</v>
      </c>
      <c r="K143" s="58">
        <v>3.8793000000000001E-2</v>
      </c>
      <c r="L143" s="241">
        <f>SUMIF('Cjenik VSO'!$B$9:$B$85,$B143,'Cjenik VSO'!$C$9:$C$85)</f>
        <v>0</v>
      </c>
      <c r="M143" s="60">
        <f>K143*L143</f>
        <v>0</v>
      </c>
      <c r="O143" s="2">
        <v>15.767026919999999</v>
      </c>
      <c r="P143" s="271">
        <f t="shared" si="4"/>
        <v>15.767026919999999</v>
      </c>
    </row>
    <row r="144" spans="1:16" ht="25.15" customHeight="1">
      <c r="A144" s="56"/>
      <c r="B144" s="834"/>
      <c r="C144" s="834"/>
      <c r="D144" s="57" t="s">
        <v>51</v>
      </c>
      <c r="E144" s="34"/>
      <c r="F144" s="241">
        <f>SUMIF('Cjenik VSO'!$B$9:$B$85,$B144,'Cjenik VSO'!$C$9:$C$85)</f>
        <v>0</v>
      </c>
      <c r="G144" s="60">
        <f t="shared" ref="G144:G152" si="5">E144*F144</f>
        <v>0</v>
      </c>
      <c r="H144" s="557">
        <v>7.849079199100375</v>
      </c>
      <c r="I144" s="715"/>
      <c r="J144" s="57" t="s">
        <v>51</v>
      </c>
      <c r="K144" s="58">
        <v>8.7212999999999999E-2</v>
      </c>
      <c r="L144" s="241">
        <f>SUMIF('Cjenik VSO'!$B$9:$B$85,$B144,'Cjenik VSO'!$C$9:$C$85)</f>
        <v>0</v>
      </c>
      <c r="M144" s="60">
        <f t="shared" ref="M144:M152" si="6">K144*L144</f>
        <v>0</v>
      </c>
      <c r="O144" s="2">
        <v>71.660828987999992</v>
      </c>
      <c r="P144" s="271">
        <f t="shared" si="4"/>
        <v>71.660828987999992</v>
      </c>
    </row>
    <row r="145" spans="1:16" ht="25.15" customHeight="1">
      <c r="A145" s="56"/>
      <c r="B145" s="839"/>
      <c r="C145" s="839"/>
      <c r="D145" s="57" t="s">
        <v>51</v>
      </c>
      <c r="E145" s="34"/>
      <c r="F145" s="241">
        <f>SUMIF('Cjenik VSO'!$B$9:$B$85,$B145,'Cjenik VSO'!$C$9:$C$85)</f>
        <v>0</v>
      </c>
      <c r="G145" s="60">
        <f t="shared" si="5"/>
        <v>0</v>
      </c>
      <c r="H145" s="557">
        <v>3.9532061734481063</v>
      </c>
      <c r="I145" s="715"/>
      <c r="J145" s="57" t="s">
        <v>51</v>
      </c>
      <c r="K145" s="58">
        <v>4.3879000000000001E-2</v>
      </c>
      <c r="L145" s="241">
        <f>SUMIF('Cjenik VSO'!$B$9:$B$85,$B145,'Cjenik VSO'!$C$9:$C$85)</f>
        <v>0</v>
      </c>
      <c r="M145" s="60">
        <f t="shared" si="6"/>
        <v>0</v>
      </c>
      <c r="O145" s="2">
        <v>13.885597307999999</v>
      </c>
      <c r="P145" s="271">
        <f t="shared" si="4"/>
        <v>13.885597307999999</v>
      </c>
    </row>
    <row r="146" spans="1:16" ht="25.15" customHeight="1">
      <c r="A146" s="56"/>
      <c r="B146" s="839"/>
      <c r="C146" s="839"/>
      <c r="D146" s="57" t="s">
        <v>51</v>
      </c>
      <c r="E146" s="34"/>
      <c r="F146" s="241">
        <f>SUMIF('Cjenik VSO'!$B$9:$B$85,$B146,'Cjenik VSO'!$C$9:$C$85)</f>
        <v>0</v>
      </c>
      <c r="G146" s="60">
        <f t="shared" si="5"/>
        <v>0</v>
      </c>
      <c r="H146" s="557">
        <v>3.9532061734481063</v>
      </c>
      <c r="I146" s="715"/>
      <c r="J146" s="57" t="s">
        <v>51</v>
      </c>
      <c r="K146" s="58">
        <v>4.3879000000000001E-2</v>
      </c>
      <c r="L146" s="241">
        <f>SUMIF('Cjenik VSO'!$B$9:$B$85,$B146,'Cjenik VSO'!$C$9:$C$85)</f>
        <v>0</v>
      </c>
      <c r="M146" s="60">
        <f t="shared" si="6"/>
        <v>0</v>
      </c>
      <c r="O146" s="2">
        <v>2.4237004440000001</v>
      </c>
      <c r="P146" s="271">
        <f t="shared" si="4"/>
        <v>2.4237004440000001</v>
      </c>
    </row>
    <row r="147" spans="1:16" ht="25.15" customHeight="1">
      <c r="A147" s="56"/>
      <c r="B147" s="839"/>
      <c r="C147" s="839"/>
      <c r="D147" s="57" t="s">
        <v>51</v>
      </c>
      <c r="E147" s="34"/>
      <c r="F147" s="241">
        <f>SUMIF('Cjenik VSO'!$B$9:$B$85,$B147,'Cjenik VSO'!$C$9:$C$85)</f>
        <v>0</v>
      </c>
      <c r="G147" s="60">
        <f t="shared" si="5"/>
        <v>0</v>
      </c>
      <c r="H147" s="557">
        <v>3.9532061734481063</v>
      </c>
      <c r="I147" s="715"/>
      <c r="J147" s="57" t="s">
        <v>51</v>
      </c>
      <c r="K147" s="58">
        <v>4.3879000000000001E-2</v>
      </c>
      <c r="L147" s="241">
        <f>SUMIF('Cjenik VSO'!$B$9:$B$85,$B147,'Cjenik VSO'!$C$9:$C$85)</f>
        <v>0</v>
      </c>
      <c r="M147" s="60">
        <f t="shared" si="6"/>
        <v>0</v>
      </c>
      <c r="O147" s="2">
        <v>2.6169435600000002</v>
      </c>
      <c r="P147" s="271">
        <f t="shared" si="4"/>
        <v>2.6169435600000002</v>
      </c>
    </row>
    <row r="148" spans="1:16" ht="25.15" customHeight="1">
      <c r="A148" s="56"/>
      <c r="B148" s="834"/>
      <c r="C148" s="834"/>
      <c r="D148" s="57" t="s">
        <v>51</v>
      </c>
      <c r="E148" s="34"/>
      <c r="F148" s="241">
        <f>SUMIF('Cjenik VSO'!$B$9:$B$85,$B148,'Cjenik VSO'!$C$9:$C$85)</f>
        <v>0</v>
      </c>
      <c r="G148" s="60">
        <f t="shared" si="5"/>
        <v>0</v>
      </c>
      <c r="H148" s="557">
        <v>8.0000249999999991</v>
      </c>
      <c r="I148" s="715"/>
      <c r="J148" s="57" t="s">
        <v>51</v>
      </c>
      <c r="K148" s="58">
        <v>0.12887899999999999</v>
      </c>
      <c r="L148" s="241">
        <f>SUMIF('Cjenik VSO'!$B$9:$B$85,$B148,'Cjenik VSO'!$C$9:$C$85)</f>
        <v>0</v>
      </c>
      <c r="M148" s="60">
        <f t="shared" si="6"/>
        <v>0</v>
      </c>
      <c r="O148" s="2">
        <v>60.680357327999999</v>
      </c>
      <c r="P148" s="271">
        <f t="shared" si="4"/>
        <v>60.680357327999999</v>
      </c>
    </row>
    <row r="149" spans="1:16" ht="25.15" customHeight="1">
      <c r="A149" s="56"/>
      <c r="B149" s="834"/>
      <c r="C149" s="834"/>
      <c r="D149" s="57" t="s">
        <v>51</v>
      </c>
      <c r="E149" s="34"/>
      <c r="F149" s="241">
        <f>SUMIF('Cjenik VSO'!$B$9:$B$85,$B149,'Cjenik VSO'!$C$9:$C$85)</f>
        <v>0</v>
      </c>
      <c r="G149" s="60">
        <f t="shared" si="5"/>
        <v>0</v>
      </c>
      <c r="H149" s="557">
        <v>6</v>
      </c>
      <c r="I149" s="715"/>
      <c r="J149" s="57" t="s">
        <v>51</v>
      </c>
      <c r="K149" s="58">
        <v>9.3879299999999999E-2</v>
      </c>
      <c r="L149" s="241">
        <f>SUMIF('Cjenik VSO'!$B$9:$B$85,$B149,'Cjenik VSO'!$C$9:$C$85)</f>
        <v>0</v>
      </c>
      <c r="M149" s="60">
        <f t="shared" si="6"/>
        <v>0</v>
      </c>
      <c r="O149" s="2">
        <v>21.412366261199995</v>
      </c>
      <c r="P149" s="271">
        <f t="shared" si="4"/>
        <v>21.412366261199995</v>
      </c>
    </row>
    <row r="150" spans="1:16" ht="25.15" customHeight="1">
      <c r="A150" s="56"/>
      <c r="B150" s="834"/>
      <c r="C150" s="834"/>
      <c r="D150" s="57" t="s">
        <v>51</v>
      </c>
      <c r="E150" s="34"/>
      <c r="F150" s="241">
        <f>SUMIF('Cjenik VSO'!$B$9:$B$85,$B150,'Cjenik VSO'!$C$9:$C$85)</f>
        <v>0</v>
      </c>
      <c r="G150" s="60">
        <f t="shared" si="5"/>
        <v>0</v>
      </c>
      <c r="H150" s="557">
        <v>6</v>
      </c>
      <c r="I150" s="715"/>
      <c r="J150" s="57" t="s">
        <v>51</v>
      </c>
      <c r="K150" s="58">
        <v>9.3879299999999999E-2</v>
      </c>
      <c r="L150" s="241">
        <f>SUMIF('Cjenik VSO'!$B$9:$B$85,$B150,'Cjenik VSO'!$C$9:$C$85)</f>
        <v>0</v>
      </c>
      <c r="M150" s="60">
        <f t="shared" si="6"/>
        <v>0</v>
      </c>
      <c r="O150" s="2">
        <v>21.412366261199995</v>
      </c>
      <c r="P150" s="271">
        <f t="shared" si="4"/>
        <v>21.412366261199995</v>
      </c>
    </row>
    <row r="151" spans="1:16" ht="25.15" customHeight="1">
      <c r="A151" s="56"/>
      <c r="B151" s="834"/>
      <c r="C151" s="834"/>
      <c r="D151" s="57" t="s">
        <v>51</v>
      </c>
      <c r="E151" s="34"/>
      <c r="F151" s="241">
        <f>SUMIF('Cjenik VSO'!$B$9:$B$85,$B151,'Cjenik VSO'!$C$9:$C$85)</f>
        <v>0</v>
      </c>
      <c r="G151" s="60">
        <f t="shared" si="5"/>
        <v>0</v>
      </c>
      <c r="H151" s="557">
        <v>1.5346389944460683</v>
      </c>
      <c r="I151" s="715"/>
      <c r="J151" s="57" t="s">
        <v>51</v>
      </c>
      <c r="K151" s="58">
        <v>2.9557E-2</v>
      </c>
      <c r="L151" s="241">
        <f>SUMIF('Cjenik VSO'!$B$9:$B$85,$B151,'Cjenik VSO'!$C$9:$C$85)</f>
        <v>0</v>
      </c>
      <c r="M151" s="60">
        <f t="shared" si="6"/>
        <v>0</v>
      </c>
      <c r="O151" s="2">
        <v>2.0308911359999997</v>
      </c>
      <c r="P151" s="271">
        <f t="shared" si="4"/>
        <v>2.0308911359999997</v>
      </c>
    </row>
    <row r="152" spans="1:16" ht="25.15" customHeight="1">
      <c r="A152" s="61"/>
      <c r="B152" s="864"/>
      <c r="C152" s="864"/>
      <c r="D152" s="62" t="s">
        <v>51</v>
      </c>
      <c r="E152" s="34"/>
      <c r="F152" s="242">
        <f>SUMIF('Cjenik VSO'!$B$9:$B$85,$B152,'Cjenik VSO'!$C$9:$C$85)</f>
        <v>0</v>
      </c>
      <c r="G152" s="65">
        <f t="shared" si="5"/>
        <v>0</v>
      </c>
      <c r="H152" s="557">
        <v>3.4555435741593965</v>
      </c>
      <c r="I152" s="714"/>
      <c r="J152" s="62" t="s">
        <v>51</v>
      </c>
      <c r="K152" s="63">
        <v>3.8793000000000001E-2</v>
      </c>
      <c r="L152" s="242">
        <f>SUMIF('Cjenik VSO'!$B$9:$B$85,$B152,'Cjenik VSO'!$C$9:$C$85)</f>
        <v>0</v>
      </c>
      <c r="M152" s="65">
        <f t="shared" si="6"/>
        <v>0</v>
      </c>
      <c r="O152" s="2">
        <v>4.7487287160000005</v>
      </c>
      <c r="P152" s="271">
        <f t="shared" si="4"/>
        <v>4.7487287160000005</v>
      </c>
    </row>
    <row r="153" spans="1:16" ht="25.15" customHeight="1">
      <c r="A153" s="16"/>
      <c r="B153" s="837" t="str">
        <f>'Obrazac kalkulacije'!$B$15</f>
        <v>Materijali:</v>
      </c>
      <c r="C153" s="837"/>
      <c r="D153" s="16"/>
      <c r="E153" s="16"/>
      <c r="F153" s="243"/>
      <c r="G153" s="18">
        <f>SUM(G154:G156)</f>
        <v>0</v>
      </c>
      <c r="I153" s="702"/>
      <c r="J153" s="16"/>
      <c r="K153" s="16"/>
      <c r="L153" s="243"/>
      <c r="M153" s="18">
        <f>SUM(M154:M156)</f>
        <v>3244.5</v>
      </c>
      <c r="P153" s="271">
        <f>SUM(P141:P152)</f>
        <v>282.50385389039997</v>
      </c>
    </row>
    <row r="154" spans="1:16" ht="25.15" customHeight="1">
      <c r="A154" s="51"/>
      <c r="B154" s="863"/>
      <c r="C154" s="863"/>
      <c r="D154" s="52"/>
      <c r="E154" s="53"/>
      <c r="F154" s="240"/>
      <c r="G154" s="55"/>
      <c r="I154" s="700"/>
      <c r="J154" s="52" t="str">
        <f>'Cjenik M'!$C$12</f>
        <v>kom</v>
      </c>
      <c r="K154" s="53">
        <v>0.5</v>
      </c>
      <c r="L154" s="240">
        <f>'Cjenik M'!$D$12</f>
        <v>490</v>
      </c>
      <c r="M154" s="55">
        <f>K154*L154</f>
        <v>245</v>
      </c>
    </row>
    <row r="155" spans="1:16" ht="25.15" customHeight="1">
      <c r="A155" s="56"/>
      <c r="B155" s="834"/>
      <c r="C155" s="834"/>
      <c r="D155" s="57"/>
      <c r="E155" s="58"/>
      <c r="F155" s="241"/>
      <c r="G155" s="60"/>
      <c r="I155" s="715"/>
      <c r="J155" s="57" t="str">
        <f>'Cjenik M'!$C$14</f>
        <v>kom</v>
      </c>
      <c r="K155" s="58">
        <v>0.5</v>
      </c>
      <c r="L155" s="241">
        <f>'Cjenik M'!$D$14</f>
        <v>5000</v>
      </c>
      <c r="M155" s="60">
        <f>K155*L155</f>
        <v>2500</v>
      </c>
    </row>
    <row r="156" spans="1:16" ht="25.15" customHeight="1" thickBot="1">
      <c r="A156" s="66"/>
      <c r="B156" s="859"/>
      <c r="C156" s="859"/>
      <c r="D156" s="67"/>
      <c r="E156" s="68"/>
      <c r="F156" s="249"/>
      <c r="G156" s="70"/>
      <c r="I156" s="713"/>
      <c r="J156" s="67" t="str">
        <f>'Cjenik M'!$C$21</f>
        <v>kom</v>
      </c>
      <c r="K156" s="68">
        <v>3.33</v>
      </c>
      <c r="L156" s="249">
        <f>'Cjenik M'!$D$21</f>
        <v>150</v>
      </c>
      <c r="M156" s="70">
        <f>K156*L156</f>
        <v>499.5</v>
      </c>
    </row>
    <row r="157" spans="1:16" ht="18.75" customHeight="1" thickTop="1" thickBot="1">
      <c r="B157" s="47"/>
      <c r="C157" s="24"/>
      <c r="D157" s="25"/>
      <c r="E157" s="850" t="str">
        <f>'Obrazac kalkulacije'!$E$18</f>
        <v>Ukupno (kn):</v>
      </c>
      <c r="F157" s="850"/>
      <c r="G157" s="26">
        <f>ROUND(SUM(G138+G140+G153),2)</f>
        <v>0</v>
      </c>
      <c r="H157" s="269"/>
      <c r="I157" s="24"/>
      <c r="J157" s="25"/>
      <c r="K157" s="850" t="str">
        <f>'Obrazac kalkulacije'!$E$18</f>
        <v>Ukupno (kn):</v>
      </c>
      <c r="L157" s="850"/>
      <c r="M157" s="26">
        <f>ROUND(SUM(M138+M140+M153),2)</f>
        <v>3244.5</v>
      </c>
    </row>
    <row r="158" spans="1:16" ht="18.75" customHeight="1" thickTop="1" thickBot="1">
      <c r="E158" s="27" t="str">
        <f>'Obrazac kalkulacije'!$E$19</f>
        <v>PDV:</v>
      </c>
      <c r="F158" s="248">
        <f>'Obrazac kalkulacije'!$F$19</f>
        <v>0.25</v>
      </c>
      <c r="G158" s="29">
        <f>G157*F158</f>
        <v>0</v>
      </c>
      <c r="H158" s="561"/>
      <c r="K158" s="27" t="str">
        <f>'Obrazac kalkulacije'!$E$19</f>
        <v>PDV:</v>
      </c>
      <c r="L158" s="248">
        <f>'Obrazac kalkulacije'!$F$19</f>
        <v>0.25</v>
      </c>
      <c r="M158" s="29">
        <f>M157*L158</f>
        <v>811.125</v>
      </c>
    </row>
    <row r="159" spans="1:16" ht="18.75" customHeight="1" thickTop="1" thickBot="1">
      <c r="E159" s="840" t="str">
        <f>'Obrazac kalkulacije'!$E$20</f>
        <v>Sveukupno (kn):</v>
      </c>
      <c r="F159" s="840"/>
      <c r="G159" s="29">
        <f>ROUND(SUM(G157:G158),2)</f>
        <v>0</v>
      </c>
      <c r="H159" s="562"/>
      <c r="K159" s="840" t="str">
        <f>'Obrazac kalkulacije'!$E$20</f>
        <v>Sveukupno (kn):</v>
      </c>
      <c r="L159" s="840"/>
      <c r="M159" s="29">
        <f>ROUND(SUM(M157:M158),2)</f>
        <v>4055.63</v>
      </c>
    </row>
    <row r="160" spans="1:16" ht="15" customHeight="1" thickTop="1"/>
    <row r="161" spans="1:13" ht="8.25" customHeight="1"/>
    <row r="162" spans="1:13" ht="6" customHeight="1"/>
    <row r="163" spans="1:13" ht="15" customHeight="1">
      <c r="C163" s="3" t="str">
        <f>'Obrazac kalkulacije'!$C$24</f>
        <v>IZVODITELJ:</v>
      </c>
      <c r="F163" s="841" t="str">
        <f>'Obrazac kalkulacije'!$F$24</f>
        <v>NARUČITELJ:</v>
      </c>
      <c r="G163" s="841"/>
      <c r="I163" s="3" t="str">
        <f>'Obrazac kalkulacije'!$C$24</f>
        <v>IZVODITELJ:</v>
      </c>
      <c r="L163" s="841" t="str">
        <f>'Obrazac kalkulacije'!$F$24</f>
        <v>NARUČITELJ:</v>
      </c>
      <c r="M163" s="841"/>
    </row>
    <row r="164" spans="1:13" ht="25.15" customHeight="1">
      <c r="C164" s="3" t="str">
        <f>'Obrazac kalkulacije'!$C$25</f>
        <v>__________________</v>
      </c>
      <c r="F164" s="841" t="str">
        <f>'Obrazac kalkulacije'!$F$25</f>
        <v>___________________</v>
      </c>
      <c r="G164" s="841"/>
      <c r="I164" s="3" t="str">
        <f>'Obrazac kalkulacije'!$C$25</f>
        <v>__________________</v>
      </c>
      <c r="L164" s="841" t="str">
        <f>'Obrazac kalkulacije'!$F$25</f>
        <v>___________________</v>
      </c>
      <c r="M164" s="841"/>
    </row>
    <row r="165" spans="1:13" ht="15" customHeight="1">
      <c r="F165" s="841"/>
      <c r="G165" s="841"/>
      <c r="L165" s="841"/>
      <c r="M165" s="841"/>
    </row>
    <row r="166" spans="1:13" ht="15" customHeight="1"/>
    <row r="167" spans="1:13" ht="15" customHeight="1">
      <c r="A167" s="144"/>
      <c r="B167" s="145" t="s">
        <v>31</v>
      </c>
      <c r="C167" s="836" t="s">
        <v>32</v>
      </c>
      <c r="D167" s="836"/>
      <c r="E167" s="836"/>
      <c r="F167" s="836"/>
      <c r="G167" s="836"/>
      <c r="I167" s="836" t="s">
        <v>56</v>
      </c>
      <c r="J167" s="836"/>
      <c r="K167" s="836"/>
      <c r="L167" s="836"/>
      <c r="M167" s="836"/>
    </row>
    <row r="168" spans="1:13" ht="15" customHeight="1">
      <c r="A168" s="38"/>
      <c r="B168" s="39" t="s">
        <v>33</v>
      </c>
      <c r="C168" s="860" t="s">
        <v>32</v>
      </c>
      <c r="D168" s="860"/>
      <c r="E168" s="860"/>
      <c r="F168" s="860"/>
      <c r="G168" s="860"/>
      <c r="I168" s="860" t="s">
        <v>65</v>
      </c>
      <c r="J168" s="860"/>
      <c r="K168" s="860"/>
      <c r="L168" s="860"/>
      <c r="M168" s="860"/>
    </row>
    <row r="169" spans="1:13" ht="24" customHeight="1">
      <c r="A169" s="48"/>
      <c r="B169" s="49" t="s">
        <v>35</v>
      </c>
      <c r="C169" s="746" t="s">
        <v>32</v>
      </c>
      <c r="D169" s="250"/>
      <c r="E169" s="50"/>
      <c r="F169" s="250"/>
      <c r="G169" s="50"/>
      <c r="I169" s="50" t="s">
        <v>67</v>
      </c>
      <c r="J169" s="50"/>
      <c r="K169" s="50"/>
      <c r="L169" s="250"/>
      <c r="M169" s="50"/>
    </row>
    <row r="170" spans="1:13" ht="78.75" customHeight="1">
      <c r="A170" s="40"/>
      <c r="B170" s="556" t="s">
        <v>35</v>
      </c>
      <c r="C170" s="852" t="s">
        <v>36</v>
      </c>
      <c r="D170" s="852"/>
      <c r="E170" s="852"/>
      <c r="F170" s="852"/>
      <c r="G170" s="852"/>
      <c r="I170" s="869" t="s">
        <v>89</v>
      </c>
      <c r="J170" s="869"/>
      <c r="K170" s="869"/>
      <c r="L170" s="869"/>
      <c r="M170" s="869"/>
    </row>
    <row r="171" spans="1:13" ht="15" customHeight="1" thickBot="1"/>
    <row r="172" spans="1:13" ht="30" customHeight="1" thickTop="1" thickBot="1">
      <c r="A172" s="10"/>
      <c r="B172" s="835" t="str">
        <f>'Obrazac kalkulacije'!$B$6:$C$6</f>
        <v>Opis</v>
      </c>
      <c r="C172" s="835"/>
      <c r="D172" s="10" t="str">
        <f>'Obrazac kalkulacije'!$D$6</f>
        <v>Jed.
mjere</v>
      </c>
      <c r="E172" s="10" t="str">
        <f>'Obrazac kalkulacije'!$E$6</f>
        <v>Normativ</v>
      </c>
      <c r="F172" s="10" t="str">
        <f>'Obrazac kalkulacije'!$F$6</f>
        <v>Jed.
cijena</v>
      </c>
      <c r="G172" s="10" t="str">
        <f>'Obrazac kalkulacije'!$G$6</f>
        <v>Iznos</v>
      </c>
      <c r="I172" s="703"/>
      <c r="J172" s="10" t="str">
        <f>'Obrazac kalkulacije'!$D$6</f>
        <v>Jed.
mjere</v>
      </c>
      <c r="K172" s="10" t="str">
        <f>'Obrazac kalkulacije'!$E$6</f>
        <v>Normativ</v>
      </c>
      <c r="L172" s="10" t="str">
        <f>'Obrazac kalkulacije'!$F$6</f>
        <v>Jed.
cijena</v>
      </c>
      <c r="M172" s="10" t="str">
        <f>'Obrazac kalkulacije'!$G$6</f>
        <v>Iznos</v>
      </c>
    </row>
    <row r="173" spans="1:13" ht="4.5" customHeight="1" thickTop="1">
      <c r="B173" s="42"/>
      <c r="C173" s="1"/>
      <c r="D173" s="11"/>
      <c r="E173" s="13"/>
      <c r="F173" s="245"/>
      <c r="G173" s="15"/>
      <c r="I173" s="1"/>
      <c r="J173" s="11"/>
      <c r="K173" s="13"/>
      <c r="L173" s="245"/>
      <c r="M173" s="15"/>
    </row>
    <row r="174" spans="1:13" ht="25.15" customHeight="1">
      <c r="A174" s="16"/>
      <c r="B174" s="837" t="str">
        <f>'Obrazac kalkulacije'!$B$8</f>
        <v>Radna snaga:</v>
      </c>
      <c r="C174" s="837"/>
      <c r="D174" s="16"/>
      <c r="E174" s="16"/>
      <c r="F174" s="246"/>
      <c r="G174" s="18">
        <f>SUM(G175:G175)</f>
        <v>0</v>
      </c>
      <c r="I174" s="702"/>
      <c r="J174" s="16"/>
      <c r="K174" s="16"/>
      <c r="L174" s="246"/>
      <c r="M174" s="18">
        <f>SUM(M175:M175)</f>
        <v>0</v>
      </c>
    </row>
    <row r="175" spans="1:13" ht="25.15" customHeight="1">
      <c r="A175" s="32"/>
      <c r="B175" s="854"/>
      <c r="C175" s="854"/>
      <c r="D175" s="33" t="s">
        <v>51</v>
      </c>
      <c r="E175" s="34"/>
      <c r="F175" s="243">
        <f>SUMIF('Cjenik RS'!$C$11:$C$26,$B175,'Cjenik RS'!$D$11:$D$90)</f>
        <v>0</v>
      </c>
      <c r="G175" s="35">
        <f>+F175*E175</f>
        <v>0</v>
      </c>
      <c r="H175" s="3" t="e">
        <f>1/E175</f>
        <v>#DIV/0!</v>
      </c>
      <c r="I175" s="701"/>
      <c r="J175" s="33" t="s">
        <v>51</v>
      </c>
      <c r="K175" s="34">
        <v>1.3793E-2</v>
      </c>
      <c r="L175" s="243">
        <f>SUMIF('Cjenik RS'!$C$11:$C$26,$B175,'Cjenik RS'!$D$11:$D$90)</f>
        <v>0</v>
      </c>
      <c r="M175" s="35">
        <f>+L175*K175</f>
        <v>0</v>
      </c>
    </row>
    <row r="176" spans="1:13" ht="25.15" customHeight="1">
      <c r="A176" s="16"/>
      <c r="B176" s="837" t="str">
        <f>'Obrazac kalkulacije'!$B$11</f>
        <v>Vozila, strojevi i oprema:</v>
      </c>
      <c r="C176" s="837"/>
      <c r="D176" s="16"/>
      <c r="E176" s="16"/>
      <c r="F176" s="243"/>
      <c r="G176" s="18">
        <f>SUM(G177:G177)</f>
        <v>0</v>
      </c>
      <c r="I176" s="702"/>
      <c r="J176" s="16"/>
      <c r="K176" s="16"/>
      <c r="L176" s="243"/>
      <c r="M176" s="18">
        <f>SUM(M177:M177)</f>
        <v>0</v>
      </c>
    </row>
    <row r="177" spans="1:13" ht="25.15" customHeight="1" thickBot="1">
      <c r="A177" s="51"/>
      <c r="B177" s="838"/>
      <c r="C177" s="838"/>
      <c r="D177" s="748" t="s">
        <v>51</v>
      </c>
      <c r="E177" s="53"/>
      <c r="F177" s="243"/>
      <c r="G177" s="55">
        <f>E177*F177</f>
        <v>0</v>
      </c>
      <c r="I177" s="700"/>
      <c r="J177" s="52" t="s">
        <v>51</v>
      </c>
      <c r="K177" s="53">
        <v>1.2930000000000001E-3</v>
      </c>
      <c r="L177" s="247">
        <f>SUMIF('Cjenik VSO'!$B$9:$B$85,$B177,'Cjenik VSO'!$C$9:$C$85)</f>
        <v>0</v>
      </c>
      <c r="M177" s="55">
        <f>K177*L177</f>
        <v>0</v>
      </c>
    </row>
    <row r="178" spans="1:13" ht="25.15" customHeight="1" thickTop="1">
      <c r="A178" s="16"/>
      <c r="B178" s="837" t="str">
        <f>'Obrazac kalkulacije'!$B$15</f>
        <v>Materijali:</v>
      </c>
      <c r="C178" s="837"/>
      <c r="D178" s="16"/>
      <c r="E178" s="16"/>
      <c r="F178" s="558"/>
      <c r="G178" s="18">
        <f>SUM(G179)</f>
        <v>0</v>
      </c>
      <c r="I178" s="702"/>
      <c r="J178" s="16"/>
      <c r="K178" s="16"/>
      <c r="L178" s="243"/>
      <c r="M178" s="18">
        <f>SUM(M179)</f>
        <v>0</v>
      </c>
    </row>
    <row r="179" spans="1:13" ht="25.15" customHeight="1" thickBot="1">
      <c r="A179" s="43"/>
      <c r="B179" s="862"/>
      <c r="C179" s="862"/>
      <c r="D179" s="749">
        <f>'Cjenik M'!$C$84</f>
        <v>0</v>
      </c>
      <c r="E179" s="68"/>
      <c r="F179" s="249"/>
      <c r="G179" s="70">
        <f>E179*F179</f>
        <v>0</v>
      </c>
      <c r="I179" s="707"/>
      <c r="J179" s="67">
        <f>'Cjenik M'!$C$84</f>
        <v>0</v>
      </c>
      <c r="K179" s="68">
        <v>9.6000000000000002E-2</v>
      </c>
      <c r="L179" s="249">
        <f>'Cjenik M'!$D$84</f>
        <v>0</v>
      </c>
      <c r="M179" s="70">
        <f>K179*L179</f>
        <v>0</v>
      </c>
    </row>
    <row r="180" spans="1:13" ht="25.15" customHeight="1" thickTop="1" thickBot="1">
      <c r="B180" s="47"/>
      <c r="C180" s="24"/>
      <c r="D180" s="25"/>
      <c r="E180" s="850" t="str">
        <f>'Obrazac kalkulacije'!$E$18</f>
        <v>Ukupno (kn):</v>
      </c>
      <c r="F180" s="850"/>
      <c r="G180" s="26">
        <f>ROUND(SUM(G174+G176+G178),2)</f>
        <v>0</v>
      </c>
      <c r="H180" s="269"/>
      <c r="I180" s="24"/>
      <c r="J180" s="25"/>
      <c r="K180" s="850" t="str">
        <f>'Obrazac kalkulacije'!$E$18</f>
        <v>Ukupno (kn):</v>
      </c>
      <c r="L180" s="850"/>
      <c r="M180" s="26">
        <f>ROUND(SUM(M174+M176+M178),2)</f>
        <v>0</v>
      </c>
    </row>
    <row r="181" spans="1:13" ht="25.15" customHeight="1" thickTop="1" thickBot="1">
      <c r="E181" s="27" t="str">
        <f>'Obrazac kalkulacije'!$E$19</f>
        <v>PDV:</v>
      </c>
      <c r="F181" s="248">
        <f>'Obrazac kalkulacije'!$F$19</f>
        <v>0.25</v>
      </c>
      <c r="G181" s="29">
        <f>G180*F181</f>
        <v>0</v>
      </c>
      <c r="H181" s="561"/>
      <c r="K181" s="27" t="str">
        <f>'Obrazac kalkulacije'!$E$19</f>
        <v>PDV:</v>
      </c>
      <c r="L181" s="248">
        <f>'Obrazac kalkulacije'!$F$19</f>
        <v>0.25</v>
      </c>
      <c r="M181" s="29">
        <f>M180*L181</f>
        <v>0</v>
      </c>
    </row>
    <row r="182" spans="1:13" ht="25.15" customHeight="1" thickTop="1" thickBot="1">
      <c r="E182" s="840" t="str">
        <f>'Obrazac kalkulacije'!$E$20</f>
        <v>Sveukupno (kn):</v>
      </c>
      <c r="F182" s="840"/>
      <c r="G182" s="29">
        <f>ROUND(SUM(G180:G181),2)</f>
        <v>0</v>
      </c>
      <c r="H182" s="562"/>
      <c r="K182" s="840" t="str">
        <f>'Obrazac kalkulacije'!$E$20</f>
        <v>Sveukupno (kn):</v>
      </c>
      <c r="L182" s="840"/>
      <c r="M182" s="29">
        <f>ROUND(SUM(M180:M181),2)</f>
        <v>0</v>
      </c>
    </row>
    <row r="183" spans="1:13" ht="15" customHeight="1" thickTop="1"/>
    <row r="184" spans="1:13" ht="15" customHeight="1"/>
    <row r="185" spans="1:13" ht="15" customHeight="1"/>
    <row r="186" spans="1:13" ht="15" customHeight="1">
      <c r="C186" s="3" t="str">
        <f>'Obrazac kalkulacije'!$C$24</f>
        <v>IZVODITELJ:</v>
      </c>
      <c r="F186" s="841" t="str">
        <f>'Obrazac kalkulacije'!$F$24</f>
        <v>NARUČITELJ:</v>
      </c>
      <c r="G186" s="841"/>
      <c r="I186" s="3" t="str">
        <f>'Obrazac kalkulacije'!$C$24</f>
        <v>IZVODITELJ:</v>
      </c>
      <c r="L186" s="841" t="str">
        <f>'Obrazac kalkulacije'!$F$24</f>
        <v>NARUČITELJ:</v>
      </c>
      <c r="M186" s="841"/>
    </row>
    <row r="187" spans="1:13" ht="25.15" customHeight="1">
      <c r="C187" s="3" t="str">
        <f>'Obrazac kalkulacije'!$C$25</f>
        <v>__________________</v>
      </c>
      <c r="F187" s="841" t="str">
        <f>'Obrazac kalkulacije'!$F$25</f>
        <v>___________________</v>
      </c>
      <c r="G187" s="841"/>
      <c r="I187" s="3" t="str">
        <f>'Obrazac kalkulacije'!$C$25</f>
        <v>__________________</v>
      </c>
      <c r="L187" s="841" t="str">
        <f>'Obrazac kalkulacije'!$F$25</f>
        <v>___________________</v>
      </c>
      <c r="M187" s="841"/>
    </row>
    <row r="188" spans="1:13" ht="15" customHeight="1">
      <c r="F188" s="841"/>
      <c r="G188" s="841"/>
      <c r="L188" s="841"/>
      <c r="M188" s="841"/>
    </row>
    <row r="189" spans="1:13" ht="15" customHeight="1"/>
    <row r="190" spans="1:13" ht="15" customHeight="1">
      <c r="A190" s="144"/>
      <c r="B190" s="145" t="s">
        <v>33</v>
      </c>
      <c r="C190" s="836" t="s">
        <v>32</v>
      </c>
      <c r="D190" s="836"/>
      <c r="E190" s="836"/>
      <c r="F190" s="836"/>
      <c r="G190" s="836"/>
      <c r="I190" s="836" t="s">
        <v>56</v>
      </c>
      <c r="J190" s="836"/>
      <c r="K190" s="836"/>
      <c r="L190" s="836"/>
      <c r="M190" s="836"/>
    </row>
    <row r="191" spans="1:13" ht="15" customHeight="1">
      <c r="A191" s="38"/>
      <c r="B191" s="39" t="s">
        <v>37</v>
      </c>
      <c r="C191" s="860" t="s">
        <v>32</v>
      </c>
      <c r="D191" s="860"/>
      <c r="E191" s="860"/>
      <c r="F191" s="860"/>
      <c r="G191" s="860"/>
      <c r="I191" s="860" t="s">
        <v>65</v>
      </c>
      <c r="J191" s="860"/>
      <c r="K191" s="860"/>
      <c r="L191" s="860"/>
      <c r="M191" s="860"/>
    </row>
    <row r="192" spans="1:13" ht="15" customHeight="1">
      <c r="A192" s="48"/>
      <c r="B192" s="49" t="s">
        <v>37</v>
      </c>
      <c r="C192" s="746" t="s">
        <v>32</v>
      </c>
      <c r="D192" s="250"/>
      <c r="E192" s="746"/>
      <c r="F192" s="250"/>
      <c r="G192" s="746"/>
      <c r="I192" s="50" t="s">
        <v>67</v>
      </c>
      <c r="J192" s="50"/>
      <c r="K192" s="50"/>
      <c r="L192" s="250"/>
      <c r="M192" s="50"/>
    </row>
    <row r="193" spans="1:13" ht="93" customHeight="1">
      <c r="A193" s="40"/>
      <c r="B193" s="556" t="s">
        <v>37</v>
      </c>
      <c r="C193" s="852" t="s">
        <v>1188</v>
      </c>
      <c r="D193" s="852"/>
      <c r="E193" s="852"/>
      <c r="F193" s="852"/>
      <c r="G193" s="852"/>
      <c r="I193" s="869" t="s">
        <v>90</v>
      </c>
      <c r="J193" s="869"/>
      <c r="K193" s="869"/>
      <c r="L193" s="869"/>
      <c r="M193" s="869"/>
    </row>
    <row r="194" spans="1:13" ht="15" customHeight="1" thickBot="1"/>
    <row r="195" spans="1:13" ht="30" customHeight="1" thickTop="1" thickBot="1">
      <c r="A195" s="10"/>
      <c r="B195" s="835" t="str">
        <f>'Obrazac kalkulacije'!$B$6:$C$6</f>
        <v>Opis</v>
      </c>
      <c r="C195" s="835"/>
      <c r="D195" s="10" t="str">
        <f>'Obrazac kalkulacije'!$D$6</f>
        <v>Jed.
mjere</v>
      </c>
      <c r="E195" s="10" t="str">
        <f>'Obrazac kalkulacije'!$E$6</f>
        <v>Normativ</v>
      </c>
      <c r="F195" s="10" t="str">
        <f>'Obrazac kalkulacije'!$F$6</f>
        <v>Jed.
cijena</v>
      </c>
      <c r="G195" s="10" t="str">
        <f>'Obrazac kalkulacije'!$G$6</f>
        <v>Iznos</v>
      </c>
      <c r="H195" s="3">
        <v>4000</v>
      </c>
      <c r="I195" s="703"/>
      <c r="J195" s="10" t="str">
        <f>'Obrazac kalkulacije'!$D$6</f>
        <v>Jed.
mjere</v>
      </c>
      <c r="K195" s="10" t="str">
        <f>'Obrazac kalkulacije'!$E$6</f>
        <v>Normativ</v>
      </c>
      <c r="L195" s="10" t="str">
        <f>'Obrazac kalkulacije'!$F$6</f>
        <v>Jed.
cijena</v>
      </c>
      <c r="M195" s="10" t="str">
        <f>'Obrazac kalkulacije'!$G$6</f>
        <v>Iznos</v>
      </c>
    </row>
    <row r="196" spans="1:13" ht="4.5" customHeight="1" thickTop="1">
      <c r="B196" s="42"/>
      <c r="C196" s="1"/>
      <c r="D196" s="11"/>
      <c r="E196" s="13"/>
      <c r="F196" s="245"/>
      <c r="G196" s="15"/>
      <c r="I196" s="1"/>
      <c r="J196" s="11"/>
      <c r="K196" s="13"/>
      <c r="L196" s="245"/>
      <c r="M196" s="15"/>
    </row>
    <row r="197" spans="1:13" ht="25.15" customHeight="1">
      <c r="A197" s="16"/>
      <c r="B197" s="837" t="str">
        <f>'Obrazac kalkulacije'!$B$8</f>
        <v>Radna snaga:</v>
      </c>
      <c r="C197" s="837"/>
      <c r="D197" s="16"/>
      <c r="E197" s="16"/>
      <c r="F197" s="246"/>
      <c r="G197" s="18">
        <f>SUM(G198:G198)</f>
        <v>42.774999999999999</v>
      </c>
      <c r="I197" s="702"/>
      <c r="J197" s="16"/>
      <c r="K197" s="16"/>
      <c r="L197" s="246"/>
      <c r="M197" s="18">
        <f>SUM(M198:M198)</f>
        <v>0.41397645</v>
      </c>
    </row>
    <row r="198" spans="1:13" ht="25.15" customHeight="1">
      <c r="A198" s="32"/>
      <c r="B198" s="957" t="str">
        <f>'Cjenik RS'!C13</f>
        <v>Radnik grupa III</v>
      </c>
      <c r="C198" s="854"/>
      <c r="D198" s="33" t="s">
        <v>51</v>
      </c>
      <c r="E198" s="34">
        <v>0.5</v>
      </c>
      <c r="F198" s="243">
        <f>SUMIF('Cjenik RS'!$C$11:$C$26,$B198,'Cjenik RS'!$D$11:$D$90)</f>
        <v>85.55</v>
      </c>
      <c r="G198" s="35">
        <f>+F198*E198</f>
        <v>42.774999999999999</v>
      </c>
      <c r="H198" s="560">
        <v>24</v>
      </c>
      <c r="I198" s="701"/>
      <c r="J198" s="33" t="s">
        <v>51</v>
      </c>
      <c r="K198" s="34">
        <v>4.8390000000000004E-3</v>
      </c>
      <c r="L198" s="243">
        <f>SUMIF('Cjenik RS'!$C$11:$C$26,$B198,'Cjenik RS'!$D$11:$D$90)</f>
        <v>85.55</v>
      </c>
      <c r="M198" s="35">
        <f>+L198*K198</f>
        <v>0.41397645</v>
      </c>
    </row>
    <row r="199" spans="1:13" ht="25.15" customHeight="1">
      <c r="A199" s="16"/>
      <c r="B199" s="837" t="str">
        <f>'Obrazac kalkulacije'!$B$11</f>
        <v>Vozila, strojevi i oprema:</v>
      </c>
      <c r="C199" s="837"/>
      <c r="D199" s="16"/>
      <c r="E199" s="16"/>
      <c r="F199" s="243"/>
      <c r="G199" s="18">
        <f>SUM(G200:G206)</f>
        <v>23945.17</v>
      </c>
      <c r="I199" s="702"/>
      <c r="J199" s="16"/>
      <c r="K199" s="16"/>
      <c r="L199" s="243"/>
      <c r="M199" s="18">
        <f>SUM(M200:M206)</f>
        <v>0</v>
      </c>
    </row>
    <row r="200" spans="1:13" ht="25.15" customHeight="1">
      <c r="A200" s="51"/>
      <c r="B200" s="849" t="s">
        <v>1222</v>
      </c>
      <c r="C200" s="849"/>
      <c r="D200" s="785" t="s">
        <v>14</v>
      </c>
      <c r="E200" s="34">
        <v>1</v>
      </c>
      <c r="F200" s="240">
        <v>1500</v>
      </c>
      <c r="G200" s="54">
        <f>E200*F200</f>
        <v>1500</v>
      </c>
      <c r="H200" s="560">
        <v>10</v>
      </c>
      <c r="I200" s="705"/>
      <c r="J200" s="52" t="s">
        <v>51</v>
      </c>
      <c r="K200" s="86">
        <v>3.9471326164874556E-3</v>
      </c>
      <c r="L200" s="240">
        <f>SUMIF('Cjenik VSO'!$B$9:$B$85,$B200,'Cjenik VSO'!$C$9:$C$85)</f>
        <v>0</v>
      </c>
      <c r="M200" s="54">
        <f>K200*L200</f>
        <v>0</v>
      </c>
    </row>
    <row r="201" spans="1:13" ht="25.15" customHeight="1">
      <c r="A201" s="56"/>
      <c r="B201" s="839" t="str">
        <f>'Cjenik VSO (pomoćna)'!B13</f>
        <v>Teretni automobil nosivosti do 3,5t</v>
      </c>
      <c r="C201" s="839"/>
      <c r="D201" s="57" t="s">
        <v>51</v>
      </c>
      <c r="E201" s="34">
        <v>1</v>
      </c>
      <c r="F201" s="241">
        <f>'Cjenik VSO (pomoćna)'!C13</f>
        <v>245.17</v>
      </c>
      <c r="G201" s="59">
        <f>E201*F201</f>
        <v>245.17</v>
      </c>
      <c r="H201" s="560">
        <v>8</v>
      </c>
      <c r="I201" s="707"/>
      <c r="J201" s="57" t="s">
        <v>51</v>
      </c>
      <c r="K201" s="92">
        <v>2.2240143369175627E-3</v>
      </c>
      <c r="L201" s="241">
        <f>SUMIF('Cjenik VSO'!$B$9:$B$85,$B201,'Cjenik VSO'!$C$9:$C$85)</f>
        <v>0</v>
      </c>
      <c r="M201" s="59">
        <f>K201*L201</f>
        <v>0</v>
      </c>
    </row>
    <row r="202" spans="1:13" ht="25.15" customHeight="1">
      <c r="A202" s="56"/>
      <c r="B202" s="870" t="s">
        <v>630</v>
      </c>
      <c r="C202" s="870"/>
      <c r="D202" s="57"/>
      <c r="E202" s="34"/>
      <c r="F202" s="241">
        <f>SUMIF('Cjenik VSO'!$B$9:$B$85,$B202,'Cjenik VSO'!$C$9:$C$85)</f>
        <v>0</v>
      </c>
      <c r="G202" s="59">
        <f>E202*F202</f>
        <v>0</v>
      </c>
      <c r="H202" s="560">
        <v>8</v>
      </c>
      <c r="I202" s="707"/>
      <c r="J202" s="57" t="s">
        <v>51</v>
      </c>
      <c r="K202" s="92">
        <v>6.1666666666666673E-4</v>
      </c>
      <c r="L202" s="241">
        <f>SUMIF('Cjenik VSO'!$B$9:$B$85,$B202,'Cjenik VSO'!$C$9:$C$85)</f>
        <v>0</v>
      </c>
      <c r="M202" s="59">
        <f>K202*L202</f>
        <v>0</v>
      </c>
    </row>
    <row r="203" spans="1:13" ht="25.15" customHeight="1">
      <c r="A203" s="56"/>
      <c r="B203" s="870"/>
      <c r="C203" s="870"/>
      <c r="D203" s="747" t="s">
        <v>893</v>
      </c>
      <c r="E203" s="34"/>
      <c r="F203" s="241"/>
      <c r="G203" s="59"/>
      <c r="H203" s="560"/>
      <c r="I203" s="744"/>
      <c r="J203" s="747"/>
      <c r="K203" s="92"/>
      <c r="L203" s="241"/>
      <c r="M203" s="59"/>
    </row>
    <row r="204" spans="1:13" ht="25.15" customHeight="1">
      <c r="A204" s="56"/>
      <c r="B204" s="839"/>
      <c r="C204" s="839"/>
      <c r="D204" s="747" t="s">
        <v>655</v>
      </c>
      <c r="E204" s="34"/>
      <c r="F204" s="241">
        <f>SUMIF('Cjenik VSO'!$B$9:$B$85,$B204,'Cjenik VSO'!$C$9:$C$85)</f>
        <v>0</v>
      </c>
      <c r="G204" s="59">
        <f>E204*F204</f>
        <v>0</v>
      </c>
      <c r="H204" s="560">
        <v>8</v>
      </c>
      <c r="I204" s="707"/>
      <c r="J204" s="57" t="s">
        <v>51</v>
      </c>
      <c r="K204" s="92">
        <v>6.1666666666666673E-4</v>
      </c>
      <c r="L204" s="241">
        <f>SUMIF('Cjenik VSO'!$B$9:$B$85,$B204,'Cjenik VSO'!$C$9:$C$85)</f>
        <v>0</v>
      </c>
      <c r="M204" s="59">
        <f>K204*L204</f>
        <v>0</v>
      </c>
    </row>
    <row r="205" spans="1:13" ht="25.15" customHeight="1" thickBot="1">
      <c r="A205" s="84"/>
      <c r="B205" s="839" t="str">
        <f>'Cjenik M'!B22</f>
        <v>Klupa 1800 mm</v>
      </c>
      <c r="C205" s="839"/>
      <c r="D205" s="786" t="s">
        <v>441</v>
      </c>
      <c r="E205" s="34">
        <v>10</v>
      </c>
      <c r="F205" s="254">
        <f>'Cjenik M'!D22</f>
        <v>2220</v>
      </c>
      <c r="G205" s="770">
        <f>E205*F205</f>
        <v>22200</v>
      </c>
      <c r="H205" s="560"/>
      <c r="I205" s="769"/>
      <c r="J205" s="78"/>
      <c r="K205" s="771"/>
      <c r="L205" s="254"/>
      <c r="M205" s="770"/>
    </row>
    <row r="206" spans="1:13" ht="25.15" customHeight="1" thickTop="1" thickBot="1">
      <c r="A206" s="66"/>
      <c r="B206" s="858"/>
      <c r="C206" s="858"/>
      <c r="D206" s="749"/>
      <c r="E206" s="34"/>
      <c r="F206" s="249">
        <f>SUMIF('Cjenik VSO'!$B$9:$B$85,$B206,'Cjenik VSO'!$C$9:$C$85)</f>
        <v>0</v>
      </c>
      <c r="G206" s="69">
        <f>E206*F206</f>
        <v>0</v>
      </c>
      <c r="H206" s="560">
        <v>2</v>
      </c>
      <c r="I206" s="712"/>
      <c r="J206" s="67" t="s">
        <v>51</v>
      </c>
      <c r="K206" s="103">
        <v>6.9444444444444447E-4</v>
      </c>
      <c r="L206" s="249">
        <f>SUMIF('Cjenik VSO'!$B$9:$B$85,$B206,'Cjenik VSO'!$C$9:$C$85)</f>
        <v>0</v>
      </c>
      <c r="M206" s="69">
        <f>K206*L206</f>
        <v>0</v>
      </c>
    </row>
    <row r="207" spans="1:13" ht="25.15" customHeight="1" thickTop="1" thickBot="1">
      <c r="B207" s="47"/>
      <c r="C207" s="24"/>
      <c r="D207" s="25"/>
      <c r="E207" s="850" t="str">
        <f>'Obrazac kalkulacije'!$E$18</f>
        <v>Ukupno (kn):</v>
      </c>
      <c r="F207" s="850"/>
      <c r="G207" s="26">
        <f>ROUND(SUM(G197+G199),2)</f>
        <v>23987.95</v>
      </c>
      <c r="H207" s="269"/>
      <c r="I207" s="24"/>
      <c r="J207" s="25"/>
      <c r="K207" s="850" t="str">
        <f>'Obrazac kalkulacije'!$E$18</f>
        <v>Ukupno (kn):</v>
      </c>
      <c r="L207" s="850"/>
      <c r="M207" s="26">
        <f>ROUND(SUM(M197+M199),2)</f>
        <v>0.41</v>
      </c>
    </row>
    <row r="208" spans="1:13" ht="25.15" customHeight="1" thickTop="1" thickBot="1">
      <c r="E208" s="27" t="str">
        <f>'Obrazac kalkulacije'!$E$19</f>
        <v>PDV:</v>
      </c>
      <c r="F208" s="248">
        <f>'Obrazac kalkulacije'!$F$19</f>
        <v>0.25</v>
      </c>
      <c r="G208" s="29">
        <f>G207*F208</f>
        <v>5996.9875000000002</v>
      </c>
      <c r="H208" s="561"/>
      <c r="K208" s="27" t="str">
        <f>'Obrazac kalkulacije'!$E$19</f>
        <v>PDV:</v>
      </c>
      <c r="L208" s="248">
        <f>'Obrazac kalkulacije'!$F$19</f>
        <v>0.25</v>
      </c>
      <c r="M208" s="29">
        <f>M207*L208</f>
        <v>0.10249999999999999</v>
      </c>
    </row>
    <row r="209" spans="1:13" ht="25.15" customHeight="1" thickTop="1" thickBot="1">
      <c r="E209" s="840" t="str">
        <f>'Obrazac kalkulacije'!$E$20</f>
        <v>Sveukupno (kn):</v>
      </c>
      <c r="F209" s="840"/>
      <c r="G209" s="29">
        <f>ROUND(SUM(G207:G208),2)</f>
        <v>29984.94</v>
      </c>
      <c r="H209" s="562"/>
      <c r="K209" s="840" t="str">
        <f>'Obrazac kalkulacije'!$E$20</f>
        <v>Sveukupno (kn):</v>
      </c>
      <c r="L209" s="840"/>
      <c r="M209" s="29">
        <f>ROUND(SUM(M207:M208),2)</f>
        <v>0.51</v>
      </c>
    </row>
    <row r="210" spans="1:13" ht="15" customHeight="1" thickTop="1"/>
    <row r="211" spans="1:13" ht="15" customHeight="1"/>
    <row r="212" spans="1:13" ht="15" customHeight="1"/>
    <row r="213" spans="1:13" ht="15" customHeight="1">
      <c r="C213" s="3" t="str">
        <f>'Obrazac kalkulacije'!$C$24</f>
        <v>IZVODITELJ:</v>
      </c>
      <c r="F213" s="841" t="str">
        <f>'Obrazac kalkulacije'!$F$24</f>
        <v>NARUČITELJ:</v>
      </c>
      <c r="G213" s="841"/>
      <c r="I213" s="3" t="str">
        <f>'Obrazac kalkulacije'!$C$24</f>
        <v>IZVODITELJ:</v>
      </c>
      <c r="L213" s="841" t="str">
        <f>'Obrazac kalkulacije'!$F$24</f>
        <v>NARUČITELJ:</v>
      </c>
      <c r="M213" s="841"/>
    </row>
    <row r="214" spans="1:13" ht="25.15" customHeight="1">
      <c r="C214" s="3" t="str">
        <f>'Obrazac kalkulacije'!$C$25</f>
        <v>__________________</v>
      </c>
      <c r="F214" s="841" t="str">
        <f>'Obrazac kalkulacije'!$F$25</f>
        <v>___________________</v>
      </c>
      <c r="G214" s="841"/>
      <c r="I214" s="3" t="str">
        <f>'Obrazac kalkulacije'!$C$25</f>
        <v>__________________</v>
      </c>
      <c r="L214" s="841" t="str">
        <f>'Obrazac kalkulacije'!$F$25</f>
        <v>___________________</v>
      </c>
      <c r="M214" s="841"/>
    </row>
    <row r="215" spans="1:13" ht="15" customHeight="1">
      <c r="F215" s="841"/>
      <c r="G215" s="841"/>
      <c r="L215" s="841"/>
      <c r="M215" s="841"/>
    </row>
    <row r="216" spans="1:13" ht="15" customHeight="1"/>
    <row r="217" spans="1:13" ht="15" customHeight="1">
      <c r="A217" s="144"/>
      <c r="B217" s="145" t="s">
        <v>39</v>
      </c>
      <c r="C217" s="836" t="s">
        <v>40</v>
      </c>
      <c r="D217" s="836"/>
      <c r="E217" s="836"/>
      <c r="F217" s="836"/>
      <c r="G217" s="836"/>
      <c r="I217" s="836" t="s">
        <v>56</v>
      </c>
      <c r="J217" s="836"/>
      <c r="K217" s="836"/>
      <c r="L217" s="836"/>
      <c r="M217" s="836"/>
    </row>
    <row r="218" spans="1:13" ht="15" customHeight="1">
      <c r="A218" s="38"/>
      <c r="B218" s="39" t="s">
        <v>41</v>
      </c>
      <c r="C218" s="860" t="s">
        <v>1205</v>
      </c>
      <c r="D218" s="860"/>
      <c r="E218" s="860"/>
      <c r="F218" s="860"/>
      <c r="G218" s="860"/>
      <c r="I218" s="860" t="s">
        <v>65</v>
      </c>
      <c r="J218" s="860"/>
      <c r="K218" s="860"/>
      <c r="L218" s="860"/>
      <c r="M218" s="860"/>
    </row>
    <row r="219" spans="1:13" ht="15" customHeight="1">
      <c r="A219" s="48"/>
      <c r="B219" s="49" t="s">
        <v>41</v>
      </c>
      <c r="C219" s="746" t="s">
        <v>1205</v>
      </c>
      <c r="D219" s="50"/>
      <c r="E219" s="50"/>
      <c r="F219" s="250"/>
      <c r="G219" s="50"/>
      <c r="I219" s="50" t="s">
        <v>67</v>
      </c>
      <c r="J219" s="50"/>
      <c r="K219" s="50"/>
      <c r="L219" s="250"/>
      <c r="M219" s="50"/>
    </row>
    <row r="220" spans="1:13" ht="87" customHeight="1">
      <c r="A220" s="40"/>
      <c r="B220" s="556" t="s">
        <v>41</v>
      </c>
      <c r="C220" s="852" t="s">
        <v>1206</v>
      </c>
      <c r="D220" s="852"/>
      <c r="E220" s="852"/>
      <c r="F220" s="852"/>
      <c r="G220" s="852"/>
      <c r="I220" s="869" t="s">
        <v>91</v>
      </c>
      <c r="J220" s="869"/>
      <c r="K220" s="869"/>
      <c r="L220" s="869"/>
      <c r="M220" s="869"/>
    </row>
    <row r="221" spans="1:13" ht="15" customHeight="1" thickBot="1"/>
    <row r="222" spans="1:13" ht="30" customHeight="1" thickTop="1" thickBot="1">
      <c r="A222" s="10"/>
      <c r="B222" s="835" t="str">
        <f>'Obrazac kalkulacije'!$B$6:$C$6</f>
        <v>Opis</v>
      </c>
      <c r="C222" s="835"/>
      <c r="D222" s="10" t="str">
        <f>'Obrazac kalkulacije'!$D$6</f>
        <v>Jed.
mjere</v>
      </c>
      <c r="E222" s="10" t="str">
        <f>'Obrazac kalkulacije'!$E$6</f>
        <v>Normativ</v>
      </c>
      <c r="F222" s="10" t="str">
        <f>'Obrazac kalkulacije'!$F$6</f>
        <v>Jed.
cijena</v>
      </c>
      <c r="G222" s="10" t="str">
        <f>'Obrazac kalkulacije'!$G$6</f>
        <v>Iznos</v>
      </c>
      <c r="I222" s="703"/>
      <c r="J222" s="10" t="str">
        <f>'Obrazac kalkulacije'!$D$6</f>
        <v>Jed.
mjere</v>
      </c>
      <c r="K222" s="10" t="str">
        <f>'Obrazac kalkulacije'!$E$6</f>
        <v>Normativ</v>
      </c>
      <c r="L222" s="10" t="str">
        <f>'Obrazac kalkulacije'!$F$6</f>
        <v>Jed.
cijena</v>
      </c>
      <c r="M222" s="10" t="str">
        <f>'Obrazac kalkulacije'!$G$6</f>
        <v>Iznos</v>
      </c>
    </row>
    <row r="223" spans="1:13" ht="4.5" customHeight="1" thickTop="1">
      <c r="B223" s="42"/>
      <c r="C223" s="1"/>
      <c r="D223" s="11"/>
      <c r="E223" s="13"/>
      <c r="F223" s="245"/>
      <c r="G223" s="15"/>
      <c r="I223" s="1"/>
      <c r="J223" s="11"/>
      <c r="K223" s="13"/>
      <c r="L223" s="245"/>
      <c r="M223" s="15"/>
    </row>
    <row r="224" spans="1:13" ht="25.15" customHeight="1">
      <c r="A224" s="16"/>
      <c r="B224" s="837" t="str">
        <f>'Obrazac kalkulacije'!$B$8</f>
        <v>Radna snaga:</v>
      </c>
      <c r="C224" s="837"/>
      <c r="D224" s="16"/>
      <c r="E224" s="16"/>
      <c r="F224" s="246"/>
      <c r="G224" s="18">
        <f>SUM(G225:G225)</f>
        <v>0</v>
      </c>
      <c r="I224" s="702"/>
      <c r="J224" s="16"/>
      <c r="K224" s="16"/>
      <c r="L224" s="246"/>
      <c r="M224" s="18">
        <f>SUM(M225:M225)</f>
        <v>0</v>
      </c>
    </row>
    <row r="225" spans="1:13" ht="25.15" customHeight="1">
      <c r="A225" s="32"/>
      <c r="B225" s="854"/>
      <c r="C225" s="854"/>
      <c r="D225" s="33" t="s">
        <v>51</v>
      </c>
      <c r="E225" s="34"/>
      <c r="F225" s="243"/>
      <c r="G225" s="35">
        <f>+F225*E225</f>
        <v>0</v>
      </c>
      <c r="I225" s="701"/>
      <c r="J225" s="33" t="s">
        <v>51</v>
      </c>
      <c r="K225" s="34">
        <v>5.851E-2</v>
      </c>
      <c r="L225" s="243">
        <f>SUMIF('Cjenik RS'!$C$11:$C$26,$B225,'Cjenik RS'!$D$11:$D$90)</f>
        <v>0</v>
      </c>
      <c r="M225" s="35">
        <f>+L225*K225</f>
        <v>0</v>
      </c>
    </row>
    <row r="226" spans="1:13" ht="25.15" customHeight="1">
      <c r="A226" s="16"/>
      <c r="B226" s="837" t="str">
        <f>'Obrazac kalkulacije'!$B$11</f>
        <v>Vozila, strojevi i oprema:</v>
      </c>
      <c r="C226" s="837"/>
      <c r="D226" s="16"/>
      <c r="E226" s="16"/>
      <c r="F226" s="243"/>
      <c r="G226" s="18">
        <f>SUM(G227:G229)</f>
        <v>0</v>
      </c>
      <c r="I226" s="702"/>
      <c r="J226" s="16"/>
      <c r="K226" s="16"/>
      <c r="L226" s="243"/>
      <c r="M226" s="18">
        <f>SUM(M227:M229)</f>
        <v>0</v>
      </c>
    </row>
    <row r="227" spans="1:13" ht="25.15" customHeight="1">
      <c r="A227" s="51"/>
      <c r="B227" s="863"/>
      <c r="C227" s="863"/>
      <c r="D227" s="52" t="s">
        <v>51</v>
      </c>
      <c r="E227" s="53"/>
      <c r="F227" s="240">
        <f>SUMIF('Cjenik VSO'!$B$9:$B$85,$B227,'Cjenik VSO'!$C$9:$C$85)</f>
        <v>0</v>
      </c>
      <c r="G227" s="55">
        <f>E227*F227</f>
        <v>0</v>
      </c>
      <c r="I227" s="700"/>
      <c r="J227" s="52" t="s">
        <v>51</v>
      </c>
      <c r="K227" s="53">
        <v>5.0429999999999997E-3</v>
      </c>
      <c r="L227" s="240">
        <f>SUMIF('Cjenik VSO'!$B$9:$B$85,$B227,'Cjenik VSO'!$C$9:$C$85)</f>
        <v>0</v>
      </c>
      <c r="M227" s="55">
        <f>K227*L227</f>
        <v>0</v>
      </c>
    </row>
    <row r="228" spans="1:13" ht="25.15" customHeight="1">
      <c r="A228" s="56"/>
      <c r="B228" s="839"/>
      <c r="C228" s="839"/>
      <c r="D228" s="57" t="s">
        <v>51</v>
      </c>
      <c r="E228" s="92"/>
      <c r="F228" s="241">
        <f>SUMIF('Cjenik VSO'!$B$9:$B$85,$B228,'Cjenik VSO'!$C$9:$C$85)</f>
        <v>0</v>
      </c>
      <c r="G228" s="59">
        <f>E228*F228</f>
        <v>0</v>
      </c>
      <c r="I228" s="707"/>
      <c r="J228" s="57" t="s">
        <v>51</v>
      </c>
      <c r="K228" s="92">
        <v>1.2888E-2</v>
      </c>
      <c r="L228" s="241">
        <f>SUMIF('Cjenik VSO'!$B$9:$B$85,$B228,'Cjenik VSO'!$C$9:$C$85)</f>
        <v>0</v>
      </c>
      <c r="M228" s="59">
        <f>K228*L228</f>
        <v>0</v>
      </c>
    </row>
    <row r="229" spans="1:13" ht="25.15" customHeight="1">
      <c r="A229" s="61"/>
      <c r="B229" s="855"/>
      <c r="C229" s="855"/>
      <c r="D229" s="62" t="s">
        <v>51</v>
      </c>
      <c r="E229" s="87"/>
      <c r="F229" s="242">
        <f>SUMIF('Cjenik VSO'!$B$9:$B$85,$B229,'Cjenik VSO'!$C$9:$C$85)</f>
        <v>0</v>
      </c>
      <c r="G229" s="64">
        <f>E229*F229</f>
        <v>0</v>
      </c>
      <c r="I229" s="708"/>
      <c r="J229" s="62" t="s">
        <v>51</v>
      </c>
      <c r="K229" s="87">
        <v>6.6379999999999998E-3</v>
      </c>
      <c r="L229" s="242">
        <f>SUMIF('Cjenik VSO'!$B$9:$B$85,$B229,'Cjenik VSO'!$C$9:$C$85)</f>
        <v>0</v>
      </c>
      <c r="M229" s="64">
        <f>K229*L229</f>
        <v>0</v>
      </c>
    </row>
    <row r="230" spans="1:13" ht="25.15" customHeight="1">
      <c r="A230" s="16"/>
      <c r="B230" s="837" t="str">
        <f>'Obrazac kalkulacije'!$B$15</f>
        <v>Materijali:</v>
      </c>
      <c r="C230" s="837"/>
      <c r="D230" s="16"/>
      <c r="E230" s="16"/>
      <c r="F230" s="243"/>
      <c r="G230" s="18">
        <f>SUM(G233:G233)</f>
        <v>0</v>
      </c>
      <c r="I230" s="702"/>
      <c r="J230" s="16"/>
      <c r="K230" s="16"/>
      <c r="L230" s="243"/>
      <c r="M230" s="18">
        <f>SUM(M233:M233)</f>
        <v>0</v>
      </c>
    </row>
    <row r="231" spans="1:13" ht="25.15" customHeight="1">
      <c r="A231" s="773"/>
      <c r="B231" s="772"/>
      <c r="C231" s="772"/>
      <c r="D231" s="776" t="s">
        <v>965</v>
      </c>
      <c r="E231" s="53"/>
      <c r="F231" s="774"/>
      <c r="G231" s="775"/>
      <c r="I231" s="772"/>
      <c r="J231" s="773"/>
      <c r="K231" s="773"/>
      <c r="L231" s="774"/>
      <c r="M231" s="775"/>
    </row>
    <row r="232" spans="1:13" ht="25.15" customHeight="1">
      <c r="A232" s="773"/>
      <c r="B232" s="772"/>
      <c r="C232" s="772"/>
      <c r="D232" s="776" t="s">
        <v>441</v>
      </c>
      <c r="E232" s="92"/>
      <c r="F232" s="774"/>
      <c r="G232" s="775"/>
      <c r="I232" s="772"/>
      <c r="J232" s="773"/>
      <c r="K232" s="773"/>
      <c r="L232" s="774"/>
      <c r="M232" s="775"/>
    </row>
    <row r="233" spans="1:13" ht="25.15" customHeight="1" thickBot="1">
      <c r="A233" s="632"/>
      <c r="B233" s="839"/>
      <c r="C233" s="839"/>
      <c r="D233" s="67">
        <f>'Cjenik M'!$C$84</f>
        <v>0</v>
      </c>
      <c r="E233" s="87"/>
      <c r="F233" s="249"/>
      <c r="G233" s="70">
        <f>E233*F233</f>
        <v>0</v>
      </c>
      <c r="I233" s="707"/>
      <c r="J233" s="67">
        <f>'Cjenik M'!$C$84</f>
        <v>0</v>
      </c>
      <c r="K233" s="68">
        <v>0.84</v>
      </c>
      <c r="L233" s="249">
        <f>'Cjenik M'!$D$86</f>
        <v>0</v>
      </c>
      <c r="M233" s="70">
        <f>K233*L233</f>
        <v>0</v>
      </c>
    </row>
    <row r="234" spans="1:13" ht="25.15" customHeight="1" thickTop="1" thickBot="1">
      <c r="B234" s="47"/>
      <c r="C234" s="24"/>
      <c r="D234" s="25"/>
      <c r="E234" s="850" t="str">
        <f>'Obrazac kalkulacije'!$E$18</f>
        <v>Ukupno (kn):</v>
      </c>
      <c r="F234" s="850"/>
      <c r="G234" s="26">
        <f>ROUND(SUM(G224+G226+G230),2)</f>
        <v>0</v>
      </c>
      <c r="H234" s="269"/>
      <c r="I234" s="24"/>
      <c r="J234" s="25"/>
      <c r="K234" s="850" t="str">
        <f>'Obrazac kalkulacije'!$E$18</f>
        <v>Ukupno (kn):</v>
      </c>
      <c r="L234" s="850"/>
      <c r="M234" s="26">
        <f>ROUND(SUM(M224+M226+M230),2)</f>
        <v>0</v>
      </c>
    </row>
    <row r="235" spans="1:13" ht="25.15" customHeight="1" thickTop="1" thickBot="1">
      <c r="E235" s="27" t="str">
        <f>'Obrazac kalkulacije'!$E$19</f>
        <v>PDV:</v>
      </c>
      <c r="F235" s="248">
        <f>'Obrazac kalkulacije'!$F$19</f>
        <v>0.25</v>
      </c>
      <c r="G235" s="29">
        <f>G234*F235</f>
        <v>0</v>
      </c>
      <c r="H235" s="561"/>
      <c r="K235" s="27" t="str">
        <f>'Obrazac kalkulacije'!$E$19</f>
        <v>PDV:</v>
      </c>
      <c r="L235" s="248">
        <f>'Obrazac kalkulacije'!$F$19</f>
        <v>0.25</v>
      </c>
      <c r="M235" s="29">
        <f>M234*L235</f>
        <v>0</v>
      </c>
    </row>
    <row r="236" spans="1:13" ht="25.15" customHeight="1" thickTop="1" thickBot="1">
      <c r="E236" s="840" t="str">
        <f>'Obrazac kalkulacije'!$E$20</f>
        <v>Sveukupno (kn):</v>
      </c>
      <c r="F236" s="840"/>
      <c r="G236" s="29">
        <f>ROUND(SUM(G234:G235),2)</f>
        <v>0</v>
      </c>
      <c r="H236" s="562"/>
      <c r="K236" s="840" t="str">
        <f>'Obrazac kalkulacije'!$E$20</f>
        <v>Sveukupno (kn):</v>
      </c>
      <c r="L236" s="840"/>
      <c r="M236" s="29">
        <f>ROUND(SUM(M234:M235),2)</f>
        <v>0</v>
      </c>
    </row>
    <row r="237" spans="1:13" ht="15" customHeight="1" thickTop="1"/>
    <row r="238" spans="1:13" ht="15" customHeight="1"/>
    <row r="239" spans="1:13" ht="15" customHeight="1"/>
    <row r="240" spans="1:13" ht="15" customHeight="1">
      <c r="C240" s="3" t="str">
        <f>'Obrazac kalkulacije'!$C$24</f>
        <v>IZVODITELJ:</v>
      </c>
      <c r="F240" s="841" t="str">
        <f>'Obrazac kalkulacije'!$F$24</f>
        <v>NARUČITELJ:</v>
      </c>
      <c r="G240" s="841"/>
      <c r="I240" s="3" t="str">
        <f>'Obrazac kalkulacije'!$C$24</f>
        <v>IZVODITELJ:</v>
      </c>
      <c r="L240" s="841" t="str">
        <f>'Obrazac kalkulacije'!$F$24</f>
        <v>NARUČITELJ:</v>
      </c>
      <c r="M240" s="841"/>
    </row>
    <row r="241" spans="1:13" ht="25.15" customHeight="1">
      <c r="C241" s="3" t="str">
        <f>'Obrazac kalkulacije'!$C$25</f>
        <v>__________________</v>
      </c>
      <c r="F241" s="841" t="str">
        <f>'Obrazac kalkulacije'!$F$25</f>
        <v>___________________</v>
      </c>
      <c r="G241" s="841"/>
      <c r="I241" s="3" t="str">
        <f>'Obrazac kalkulacije'!$C$25</f>
        <v>__________________</v>
      </c>
      <c r="L241" s="841" t="str">
        <f>'Obrazac kalkulacije'!$F$25</f>
        <v>___________________</v>
      </c>
      <c r="M241" s="841"/>
    </row>
    <row r="242" spans="1:13" ht="15" customHeight="1">
      <c r="F242" s="841"/>
      <c r="G242" s="841"/>
      <c r="L242" s="841"/>
      <c r="M242" s="841"/>
    </row>
    <row r="243" spans="1:13" ht="15" customHeight="1"/>
    <row r="244" spans="1:13" ht="15" customHeight="1">
      <c r="A244" s="144"/>
      <c r="B244" s="145" t="s">
        <v>17</v>
      </c>
      <c r="C244" s="836" t="s">
        <v>56</v>
      </c>
      <c r="D244" s="836"/>
      <c r="E244" s="836"/>
      <c r="F244" s="836"/>
      <c r="G244" s="836"/>
      <c r="I244" s="836" t="s">
        <v>56</v>
      </c>
      <c r="J244" s="836"/>
      <c r="K244" s="836"/>
      <c r="L244" s="836"/>
      <c r="M244" s="836"/>
    </row>
    <row r="245" spans="1:13" ht="15" customHeight="1">
      <c r="A245" s="38"/>
      <c r="B245" s="39" t="s">
        <v>64</v>
      </c>
      <c r="C245" s="860" t="s">
        <v>65</v>
      </c>
      <c r="D245" s="860"/>
      <c r="E245" s="860"/>
      <c r="F245" s="860"/>
      <c r="G245" s="860"/>
      <c r="I245" s="860" t="s">
        <v>65</v>
      </c>
      <c r="J245" s="860"/>
      <c r="K245" s="860"/>
      <c r="L245" s="860"/>
      <c r="M245" s="860"/>
    </row>
    <row r="246" spans="1:13" ht="15" customHeight="1">
      <c r="A246" s="48"/>
      <c r="B246" s="49" t="s">
        <v>66</v>
      </c>
      <c r="C246" s="50" t="s">
        <v>67</v>
      </c>
      <c r="D246" s="50"/>
      <c r="E246" s="50"/>
      <c r="F246" s="250"/>
      <c r="G246" s="50"/>
      <c r="I246" s="50" t="s">
        <v>67</v>
      </c>
      <c r="J246" s="50"/>
      <c r="K246" s="50"/>
      <c r="L246" s="250"/>
      <c r="M246" s="50"/>
    </row>
    <row r="247" spans="1:13" ht="150" customHeight="1">
      <c r="A247" s="40"/>
      <c r="B247" s="556" t="s">
        <v>94</v>
      </c>
      <c r="C247" s="852" t="s">
        <v>95</v>
      </c>
      <c r="D247" s="852"/>
      <c r="E247" s="852"/>
      <c r="F247" s="852"/>
      <c r="G247" s="852"/>
      <c r="I247" s="869" t="s">
        <v>96</v>
      </c>
      <c r="J247" s="869"/>
      <c r="K247" s="869"/>
      <c r="L247" s="869"/>
      <c r="M247" s="869"/>
    </row>
    <row r="248" spans="1:13" ht="15" customHeight="1" thickBot="1"/>
    <row r="249" spans="1:13" ht="30" customHeight="1" thickTop="1" thickBot="1">
      <c r="A249" s="10"/>
      <c r="B249" s="835" t="str">
        <f>'Obrazac kalkulacije'!$B$6:$C$6</f>
        <v>Opis</v>
      </c>
      <c r="C249" s="835"/>
      <c r="D249" s="10" t="str">
        <f>'Obrazac kalkulacije'!$D$6</f>
        <v>Jed.
mjere</v>
      </c>
      <c r="E249" s="10" t="str">
        <f>'Obrazac kalkulacije'!$E$6</f>
        <v>Normativ</v>
      </c>
      <c r="F249" s="10" t="str">
        <f>'Obrazac kalkulacije'!$F$6</f>
        <v>Jed.
cijena</v>
      </c>
      <c r="G249" s="10" t="str">
        <f>'Obrazac kalkulacije'!$G$6</f>
        <v>Iznos</v>
      </c>
      <c r="H249" s="3">
        <v>90</v>
      </c>
      <c r="I249" s="716"/>
      <c r="J249" s="10" t="str">
        <f>'Obrazac kalkulacije'!$D$6</f>
        <v>Jed.
mjere</v>
      </c>
      <c r="K249" s="10" t="str">
        <f>'Obrazac kalkulacije'!$E$6</f>
        <v>Normativ</v>
      </c>
      <c r="L249" s="10" t="str">
        <f>'Obrazac kalkulacije'!$F$6</f>
        <v>Jed.
cijena</v>
      </c>
      <c r="M249" s="10" t="str">
        <f>'Obrazac kalkulacije'!$G$6</f>
        <v>Iznos</v>
      </c>
    </row>
    <row r="250" spans="1:13" ht="4.5" customHeight="1" thickTop="1">
      <c r="B250" s="42"/>
      <c r="C250" s="1"/>
      <c r="D250" s="11"/>
      <c r="E250" s="13"/>
      <c r="F250" s="245"/>
      <c r="G250" s="15"/>
      <c r="I250" s="1"/>
      <c r="J250" s="11"/>
      <c r="K250" s="13"/>
      <c r="L250" s="245"/>
      <c r="M250" s="15"/>
    </row>
    <row r="251" spans="1:13" ht="25.15" customHeight="1">
      <c r="A251" s="16"/>
      <c r="B251" s="837" t="str">
        <f>'Obrazac kalkulacije'!$B$8</f>
        <v>Radna snaga:</v>
      </c>
      <c r="C251" s="837"/>
      <c r="D251" s="16"/>
      <c r="E251" s="16"/>
      <c r="F251" s="246"/>
      <c r="G251" s="18">
        <f>SUM(G252:G252)</f>
        <v>102.69518310000001</v>
      </c>
      <c r="I251" s="702"/>
      <c r="J251" s="16"/>
      <c r="K251" s="16"/>
      <c r="L251" s="246"/>
      <c r="M251" s="18">
        <f>SUM(M252:M252)</f>
        <v>145.87165071000001</v>
      </c>
    </row>
    <row r="252" spans="1:13" ht="25.15" customHeight="1">
      <c r="A252" s="32"/>
      <c r="B252" s="854" t="s">
        <v>57</v>
      </c>
      <c r="C252" s="854"/>
      <c r="D252" s="33" t="s">
        <v>51</v>
      </c>
      <c r="E252" s="34">
        <v>0.97777000000000003</v>
      </c>
      <c r="F252" s="243">
        <f>SUMIF('Cjenik RS'!$C$11:$C$26,$B252,'Cjenik RS'!$D$11:$D$90)</f>
        <v>105.03</v>
      </c>
      <c r="G252" s="35">
        <f>+F252*E252</f>
        <v>102.69518310000001</v>
      </c>
      <c r="H252" s="560">
        <f>E252*H$249</f>
        <v>87.999300000000005</v>
      </c>
      <c r="I252" s="701"/>
      <c r="J252" s="33" t="s">
        <v>51</v>
      </c>
      <c r="K252" s="34">
        <v>1.388857</v>
      </c>
      <c r="L252" s="243">
        <f>SUMIF('Cjenik RS'!$C$11:$C$26,$B252,'Cjenik RS'!$D$11:$D$90)</f>
        <v>105.03</v>
      </c>
      <c r="M252" s="35">
        <f>+L252*K252</f>
        <v>145.87165071000001</v>
      </c>
    </row>
    <row r="253" spans="1:13" ht="25.15" customHeight="1">
      <c r="A253" s="16"/>
      <c r="B253" s="837" t="str">
        <f>'Obrazac kalkulacije'!$B$11</f>
        <v>Vozila, strojevi i oprema:</v>
      </c>
      <c r="C253" s="837"/>
      <c r="D253" s="16"/>
      <c r="E253" s="16"/>
      <c r="F253" s="243"/>
      <c r="G253" s="18">
        <f>SUM(G254:G260)</f>
        <v>125.91704285000002</v>
      </c>
      <c r="I253" s="702"/>
      <c r="J253" s="16"/>
      <c r="K253" s="16"/>
      <c r="L253" s="243"/>
      <c r="M253" s="18">
        <f>SUM(M254:M260)</f>
        <v>134.87581420999999</v>
      </c>
    </row>
    <row r="254" spans="1:13" ht="25.15" customHeight="1">
      <c r="A254" s="51"/>
      <c r="B254" s="863" t="s">
        <v>69</v>
      </c>
      <c r="C254" s="863"/>
      <c r="D254" s="52" t="s">
        <v>51</v>
      </c>
      <c r="E254" s="53">
        <v>0.113928</v>
      </c>
      <c r="F254" s="240">
        <f>SUMIF('Cjenik VSO'!$B$9:$B$85,$B254,'Cjenik VSO'!$C$9:$C$85)</f>
        <v>179.6</v>
      </c>
      <c r="G254" s="55">
        <f>E254*F254</f>
        <v>20.461468799999999</v>
      </c>
      <c r="H254" s="560">
        <f t="shared" ref="H254:H260" si="7">E254*H$249</f>
        <v>10.25352</v>
      </c>
      <c r="I254" s="700"/>
      <c r="J254" s="52" t="s">
        <v>51</v>
      </c>
      <c r="K254" s="53">
        <v>0.113928</v>
      </c>
      <c r="L254" s="240">
        <f>SUMIF('Cjenik VSO'!$B$9:$B$85,$B254,'Cjenik VSO'!$C$9:$C$85)</f>
        <v>179.6</v>
      </c>
      <c r="M254" s="55">
        <f t="shared" ref="M254:M260" si="8">K254*L254</f>
        <v>20.461468799999999</v>
      </c>
    </row>
    <row r="255" spans="1:13" ht="25.15" customHeight="1">
      <c r="A255" s="56"/>
      <c r="B255" s="834" t="s">
        <v>70</v>
      </c>
      <c r="C255" s="834"/>
      <c r="D255" s="57" t="s">
        <v>51</v>
      </c>
      <c r="E255" s="58">
        <v>8.702E-2</v>
      </c>
      <c r="F255" s="241">
        <f>SUMIF('Cjenik VSO'!$B$9:$B$85,$B255,'Cjenik VSO'!$C$9:$C$85)</f>
        <v>99.33</v>
      </c>
      <c r="G255" s="60">
        <f t="shared" ref="G255:G260" si="9">E255*F255</f>
        <v>8.6436966000000002</v>
      </c>
      <c r="H255" s="560">
        <f t="shared" si="7"/>
        <v>7.8318000000000003</v>
      </c>
      <c r="I255" s="715"/>
      <c r="J255" s="57" t="s">
        <v>51</v>
      </c>
      <c r="K255" s="58">
        <v>0.17721200000000001</v>
      </c>
      <c r="L255" s="241">
        <f>SUMIF('Cjenik VSO'!$B$9:$B$85,$B255,'Cjenik VSO'!$C$9:$C$85)</f>
        <v>99.33</v>
      </c>
      <c r="M255" s="60">
        <f t="shared" si="8"/>
        <v>17.602467960000002</v>
      </c>
    </row>
    <row r="256" spans="1:13" ht="25.15" customHeight="1">
      <c r="A256" s="56"/>
      <c r="B256" s="834" t="s">
        <v>97</v>
      </c>
      <c r="C256" s="834"/>
      <c r="D256" s="57" t="s">
        <v>51</v>
      </c>
      <c r="E256" s="58">
        <v>8.702E-2</v>
      </c>
      <c r="F256" s="241">
        <f>SUMIF('Cjenik VSO'!$B$9:$B$85,$B256,'Cjenik VSO'!$C$9:$C$85)</f>
        <v>279.37</v>
      </c>
      <c r="G256" s="60">
        <f t="shared" si="9"/>
        <v>24.310777399999999</v>
      </c>
      <c r="H256" s="560">
        <f t="shared" si="7"/>
        <v>7.8318000000000003</v>
      </c>
      <c r="I256" s="715"/>
      <c r="J256" s="57" t="s">
        <v>51</v>
      </c>
      <c r="K256" s="58">
        <v>8.702E-2</v>
      </c>
      <c r="L256" s="241">
        <f>SUMIF('Cjenik VSO'!$B$9:$B$85,$B256,'Cjenik VSO'!$C$9:$C$85)</f>
        <v>279.37</v>
      </c>
      <c r="M256" s="60">
        <f t="shared" si="8"/>
        <v>24.310777399999999</v>
      </c>
    </row>
    <row r="257" spans="1:13" ht="25.15" customHeight="1">
      <c r="A257" s="56"/>
      <c r="B257" s="834" t="s">
        <v>73</v>
      </c>
      <c r="C257" s="834"/>
      <c r="D257" s="57" t="s">
        <v>51</v>
      </c>
      <c r="E257" s="58">
        <v>0.14230999999999999</v>
      </c>
      <c r="F257" s="241">
        <f>SUMIF('Cjenik VSO'!$B$9:$B$85,$B257,'Cjenik VSO'!$C$9:$C$85)</f>
        <v>291.72000000000003</v>
      </c>
      <c r="G257" s="60">
        <f>E257*F257</f>
        <v>41.514673200000004</v>
      </c>
      <c r="H257" s="560">
        <f t="shared" si="7"/>
        <v>12.8079</v>
      </c>
      <c r="I257" s="715"/>
      <c r="J257" s="57" t="s">
        <v>51</v>
      </c>
      <c r="K257" s="58">
        <v>0.14230999999999999</v>
      </c>
      <c r="L257" s="241">
        <f>SUMIF('Cjenik VSO'!$B$9:$B$85,$B257,'Cjenik VSO'!$C$9:$C$85)</f>
        <v>291.72000000000003</v>
      </c>
      <c r="M257" s="60">
        <f t="shared" si="8"/>
        <v>41.514673200000004</v>
      </c>
    </row>
    <row r="258" spans="1:13" ht="25.15" customHeight="1">
      <c r="A258" s="56"/>
      <c r="B258" s="834" t="s">
        <v>71</v>
      </c>
      <c r="C258" s="834"/>
      <c r="D258" s="57" t="s">
        <v>51</v>
      </c>
      <c r="E258" s="58">
        <v>0.164712</v>
      </c>
      <c r="F258" s="241">
        <f>SUMIF('Cjenik VSO'!$B$9:$B$85,$B258,'Cjenik VSO'!$C$9:$C$85)</f>
        <v>102.17</v>
      </c>
      <c r="G258" s="60">
        <f t="shared" si="9"/>
        <v>16.828625039999999</v>
      </c>
      <c r="H258" s="560">
        <f t="shared" si="7"/>
        <v>14.82408</v>
      </c>
      <c r="I258" s="715"/>
      <c r="J258" s="57" t="s">
        <v>51</v>
      </c>
      <c r="K258" s="58">
        <v>0.164712</v>
      </c>
      <c r="L258" s="241">
        <f>SUMIF('Cjenik VSO'!$B$9:$B$85,$B258,'Cjenik VSO'!$C$9:$C$85)</f>
        <v>102.17</v>
      </c>
      <c r="M258" s="60">
        <f t="shared" si="8"/>
        <v>16.828625039999999</v>
      </c>
    </row>
    <row r="259" spans="1:13" ht="25.15" customHeight="1">
      <c r="A259" s="56"/>
      <c r="B259" s="834" t="s">
        <v>79</v>
      </c>
      <c r="C259" s="834"/>
      <c r="D259" s="57" t="s">
        <v>51</v>
      </c>
      <c r="E259" s="58">
        <v>3.9711999999999997E-2</v>
      </c>
      <c r="F259" s="241">
        <f>SUMIF('Cjenik VSO'!$B$9:$B$85,$B259,'Cjenik VSO'!$C$9:$C$85)</f>
        <v>199.57</v>
      </c>
      <c r="G259" s="60">
        <f t="shared" si="9"/>
        <v>7.925323839999999</v>
      </c>
      <c r="H259" s="560">
        <f t="shared" si="7"/>
        <v>3.5740799999999999</v>
      </c>
      <c r="I259" s="715"/>
      <c r="J259" s="57" t="s">
        <v>51</v>
      </c>
      <c r="K259" s="58">
        <v>3.9711999999999997E-2</v>
      </c>
      <c r="L259" s="241">
        <f>SUMIF('Cjenik VSO'!$B$9:$B$85,$B259,'Cjenik VSO'!$C$9:$C$85)</f>
        <v>199.57</v>
      </c>
      <c r="M259" s="60">
        <f t="shared" si="8"/>
        <v>7.925323839999999</v>
      </c>
    </row>
    <row r="260" spans="1:13" ht="25.15" customHeight="1">
      <c r="A260" s="61"/>
      <c r="B260" s="864" t="s">
        <v>80</v>
      </c>
      <c r="C260" s="864"/>
      <c r="D260" s="62" t="s">
        <v>51</v>
      </c>
      <c r="E260" s="63">
        <v>9.0706999999999996E-2</v>
      </c>
      <c r="F260" s="242">
        <f>SUMIF('Cjenik VSO'!$B$9:$B$85,$B260,'Cjenik VSO'!$C$9:$C$85)</f>
        <v>68.709999999999994</v>
      </c>
      <c r="G260" s="65">
        <f t="shared" si="9"/>
        <v>6.2324779699999988</v>
      </c>
      <c r="H260" s="560">
        <f t="shared" si="7"/>
        <v>8.1636299999999995</v>
      </c>
      <c r="I260" s="714"/>
      <c r="J260" s="62" t="s">
        <v>51</v>
      </c>
      <c r="K260" s="63">
        <v>9.0706999999999996E-2</v>
      </c>
      <c r="L260" s="242">
        <f>SUMIF('Cjenik VSO'!$B$9:$B$85,$B260,'Cjenik VSO'!$C$9:$C$85)</f>
        <v>68.709999999999994</v>
      </c>
      <c r="M260" s="65">
        <f t="shared" si="8"/>
        <v>6.2324779699999988</v>
      </c>
    </row>
    <row r="261" spans="1:13" ht="25.15" customHeight="1">
      <c r="A261" s="16"/>
      <c r="B261" s="837" t="str">
        <f>'Obrazac kalkulacije'!$B$15</f>
        <v>Materijali:</v>
      </c>
      <c r="C261" s="837"/>
      <c r="D261" s="16"/>
      <c r="E261" s="16"/>
      <c r="F261" s="243"/>
      <c r="G261" s="18" t="e">
        <f>SUM(G262:G264)</f>
        <v>#VALUE!</v>
      </c>
      <c r="I261" s="702"/>
      <c r="J261" s="16"/>
      <c r="K261" s="16"/>
      <c r="L261" s="243"/>
      <c r="M261" s="18" t="e">
        <f>SUM(M262:M264)</f>
        <v>#VALUE!</v>
      </c>
    </row>
    <row r="262" spans="1:13" ht="25.15" customHeight="1">
      <c r="A262" s="51"/>
      <c r="B262" s="863" t="str">
        <f>'Cjenik M'!$B$27</f>
        <v>____________</v>
      </c>
      <c r="C262" s="863"/>
      <c r="D262" s="52">
        <f>'Cjenik M'!$C$27</f>
        <v>0</v>
      </c>
      <c r="E262" s="53">
        <v>0.55000000000000004</v>
      </c>
      <c r="F262" s="240" t="str">
        <f>'Cjenik M'!$D$27</f>
        <v>___________</v>
      </c>
      <c r="G262" s="55" t="e">
        <f>E262*F262</f>
        <v>#VALUE!</v>
      </c>
      <c r="I262" s="700"/>
      <c r="J262" s="52">
        <f>'Cjenik M'!$C$27</f>
        <v>0</v>
      </c>
      <c r="K262" s="53">
        <v>0.55000000000000004</v>
      </c>
      <c r="L262" s="240" t="str">
        <f>'Cjenik M'!$D$27</f>
        <v>___________</v>
      </c>
      <c r="M262" s="55" t="e">
        <f>K262*L262</f>
        <v>#VALUE!</v>
      </c>
    </row>
    <row r="263" spans="1:13" ht="25.15" customHeight="1">
      <c r="A263" s="56"/>
      <c r="B263" s="834">
        <f>'Cjenik M'!$B$84</f>
        <v>0</v>
      </c>
      <c r="C263" s="834"/>
      <c r="D263" s="57">
        <f>'Cjenik M'!$C$84</f>
        <v>0</v>
      </c>
      <c r="E263" s="58">
        <v>0.56000000000000005</v>
      </c>
      <c r="F263" s="241">
        <f>'Cjenik M'!$D$84</f>
        <v>0</v>
      </c>
      <c r="G263" s="60">
        <f>E263*F263</f>
        <v>0</v>
      </c>
      <c r="I263" s="715"/>
      <c r="J263" s="57">
        <f>'Cjenik M'!$C$84</f>
        <v>0</v>
      </c>
      <c r="K263" s="58">
        <v>0.06</v>
      </c>
      <c r="L263" s="241">
        <f>'Cjenik M'!$D$84</f>
        <v>0</v>
      </c>
      <c r="M263" s="60">
        <f>K263*L263</f>
        <v>0</v>
      </c>
    </row>
    <row r="264" spans="1:13" ht="25.15" customHeight="1" thickBot="1">
      <c r="A264" s="66"/>
      <c r="B264" s="859" t="str">
        <f>'Cjenik M'!$B$13</f>
        <v>Prometna ploča površine do 2,00 m2</v>
      </c>
      <c r="C264" s="859"/>
      <c r="D264" s="67" t="str">
        <f>'Cjenik M'!$C$13</f>
        <v>kom</v>
      </c>
      <c r="E264" s="68">
        <v>0.15</v>
      </c>
      <c r="F264" s="249">
        <f>'Cjenik M'!$D$13</f>
        <v>2200</v>
      </c>
      <c r="G264" s="70">
        <f>E264*F264</f>
        <v>330</v>
      </c>
      <c r="I264" s="713"/>
      <c r="J264" s="67" t="str">
        <f>'Cjenik M'!$C$13</f>
        <v>kom</v>
      </c>
      <c r="K264" s="68">
        <v>0.15</v>
      </c>
      <c r="L264" s="249">
        <f>'Cjenik M'!$D$13</f>
        <v>2200</v>
      </c>
      <c r="M264" s="70">
        <f>K264*L264</f>
        <v>330</v>
      </c>
    </row>
    <row r="265" spans="1:13" ht="25.15" customHeight="1" thickTop="1" thickBot="1">
      <c r="B265" s="47"/>
      <c r="C265" s="24"/>
      <c r="D265" s="25"/>
      <c r="E265" s="850" t="str">
        <f>'Obrazac kalkulacije'!$E$18</f>
        <v>Ukupno (kn):</v>
      </c>
      <c r="F265" s="850"/>
      <c r="G265" s="26" t="e">
        <f>ROUND(SUM(G251+G253+G261),2)</f>
        <v>#VALUE!</v>
      </c>
      <c r="H265" s="269"/>
      <c r="I265" s="24"/>
      <c r="J265" s="25"/>
      <c r="K265" s="850" t="str">
        <f>'Obrazac kalkulacije'!$E$18</f>
        <v>Ukupno (kn):</v>
      </c>
      <c r="L265" s="850"/>
      <c r="M265" s="26" t="e">
        <f>ROUND(SUM(M251+M253+M261),2)</f>
        <v>#VALUE!</v>
      </c>
    </row>
    <row r="266" spans="1:13" ht="25.15" customHeight="1" thickTop="1" thickBot="1">
      <c r="E266" s="27" t="str">
        <f>'Obrazac kalkulacije'!$E$19</f>
        <v>PDV:</v>
      </c>
      <c r="F266" s="248">
        <f>'Obrazac kalkulacije'!$F$19</f>
        <v>0.25</v>
      </c>
      <c r="G266" s="29" t="e">
        <f>G265*F266</f>
        <v>#VALUE!</v>
      </c>
      <c r="H266" s="561"/>
      <c r="K266" s="27" t="str">
        <f>'Obrazac kalkulacije'!$E$19</f>
        <v>PDV:</v>
      </c>
      <c r="L266" s="248">
        <f>'Obrazac kalkulacije'!$F$19</f>
        <v>0.25</v>
      </c>
      <c r="M266" s="29" t="e">
        <f>M265*L266</f>
        <v>#VALUE!</v>
      </c>
    </row>
    <row r="267" spans="1:13" ht="25.15" customHeight="1" thickTop="1" thickBot="1">
      <c r="E267" s="840" t="str">
        <f>'Obrazac kalkulacije'!$E$20</f>
        <v>Sveukupno (kn):</v>
      </c>
      <c r="F267" s="840"/>
      <c r="G267" s="29" t="e">
        <f>ROUND(SUM(G265:G266),2)</f>
        <v>#VALUE!</v>
      </c>
      <c r="H267" s="562"/>
      <c r="K267" s="840" t="str">
        <f>'Obrazac kalkulacije'!$E$20</f>
        <v>Sveukupno (kn):</v>
      </c>
      <c r="L267" s="840"/>
      <c r="M267" s="29" t="e">
        <f>ROUND(SUM(M265:M266),2)</f>
        <v>#VALUE!</v>
      </c>
    </row>
    <row r="268" spans="1:13" ht="15" customHeight="1" thickTop="1"/>
    <row r="269" spans="1:13" ht="15" customHeight="1"/>
    <row r="270" spans="1:13" ht="15" customHeight="1"/>
    <row r="271" spans="1:13" ht="15" customHeight="1">
      <c r="C271" s="3" t="str">
        <f>'Obrazac kalkulacije'!$C$24</f>
        <v>IZVODITELJ:</v>
      </c>
      <c r="F271" s="841" t="str">
        <f>'Obrazac kalkulacije'!$F$24</f>
        <v>NARUČITELJ:</v>
      </c>
      <c r="G271" s="841"/>
      <c r="I271" s="3" t="str">
        <f>'Obrazac kalkulacije'!$C$24</f>
        <v>IZVODITELJ:</v>
      </c>
      <c r="L271" s="841" t="str">
        <f>'Obrazac kalkulacije'!$F$24</f>
        <v>NARUČITELJ:</v>
      </c>
      <c r="M271" s="841"/>
    </row>
    <row r="272" spans="1:13" ht="25.15" customHeight="1">
      <c r="C272" s="3" t="str">
        <f>'Obrazac kalkulacije'!$C$25</f>
        <v>__________________</v>
      </c>
      <c r="F272" s="841" t="str">
        <f>'Obrazac kalkulacije'!$F$25</f>
        <v>___________________</v>
      </c>
      <c r="G272" s="841"/>
      <c r="I272" s="3" t="str">
        <f>'Obrazac kalkulacije'!$C$25</f>
        <v>__________________</v>
      </c>
      <c r="L272" s="841" t="str">
        <f>'Obrazac kalkulacije'!$F$25</f>
        <v>___________________</v>
      </c>
      <c r="M272" s="841"/>
    </row>
    <row r="273" spans="1:25" ht="15" customHeight="1">
      <c r="F273" s="841"/>
      <c r="G273" s="841"/>
      <c r="L273" s="841"/>
      <c r="M273" s="841"/>
    </row>
    <row r="274" spans="1:25" ht="15" customHeight="1">
      <c r="G274" s="30"/>
      <c r="M274" s="30"/>
    </row>
    <row r="275" spans="1:25" ht="15" customHeight="1">
      <c r="A275" s="144"/>
      <c r="B275" s="145" t="s">
        <v>17</v>
      </c>
      <c r="C275" s="836" t="s">
        <v>56</v>
      </c>
      <c r="D275" s="836"/>
      <c r="E275" s="836"/>
      <c r="F275" s="836"/>
      <c r="G275" s="836"/>
      <c r="I275" s="836" t="s">
        <v>56</v>
      </c>
      <c r="J275" s="836"/>
      <c r="K275" s="836"/>
      <c r="L275" s="836"/>
      <c r="M275" s="836"/>
    </row>
    <row r="276" spans="1:25" ht="15" customHeight="1">
      <c r="A276" s="38"/>
      <c r="B276" s="39" t="s">
        <v>64</v>
      </c>
      <c r="C276" s="860" t="s">
        <v>65</v>
      </c>
      <c r="D276" s="860"/>
      <c r="E276" s="860"/>
      <c r="F276" s="860"/>
      <c r="G276" s="860"/>
      <c r="I276" s="860" t="s">
        <v>65</v>
      </c>
      <c r="J276" s="860"/>
      <c r="K276" s="860"/>
      <c r="L276" s="860"/>
      <c r="M276" s="860"/>
    </row>
    <row r="277" spans="1:25" ht="15" customHeight="1">
      <c r="A277" s="48"/>
      <c r="B277" s="49" t="s">
        <v>98</v>
      </c>
      <c r="C277" s="50" t="s">
        <v>99</v>
      </c>
      <c r="D277" s="50"/>
      <c r="E277" s="50"/>
      <c r="F277" s="250"/>
      <c r="G277" s="50"/>
      <c r="I277" s="50" t="s">
        <v>99</v>
      </c>
      <c r="J277" s="50"/>
      <c r="K277" s="50"/>
      <c r="L277" s="250"/>
      <c r="M277" s="50"/>
    </row>
    <row r="278" spans="1:25" ht="102.6" customHeight="1">
      <c r="A278" s="40"/>
      <c r="B278" s="556" t="s">
        <v>100</v>
      </c>
      <c r="C278" s="852" t="s">
        <v>101</v>
      </c>
      <c r="D278" s="852"/>
      <c r="E278" s="852"/>
      <c r="F278" s="852"/>
      <c r="G278" s="852"/>
      <c r="I278" s="869" t="s">
        <v>102</v>
      </c>
      <c r="J278" s="869"/>
      <c r="K278" s="869"/>
      <c r="L278" s="869"/>
      <c r="M278" s="869"/>
    </row>
    <row r="279" spans="1:25" ht="15" customHeight="1" thickBot="1"/>
    <row r="280" spans="1:25" ht="30" customHeight="1" thickTop="1" thickBot="1">
      <c r="A280" s="10"/>
      <c r="B280" s="835" t="str">
        <f>'Obrazac kalkulacije'!$B$6:$C$6</f>
        <v>Opis</v>
      </c>
      <c r="C280" s="835"/>
      <c r="D280" s="10" t="str">
        <f>'Obrazac kalkulacije'!$D$6</f>
        <v>Jed.
mjere</v>
      </c>
      <c r="E280" s="10" t="str">
        <f>'Obrazac kalkulacije'!$E$6</f>
        <v>Normativ</v>
      </c>
      <c r="F280" s="10" t="str">
        <f>'Obrazac kalkulacije'!$F$6</f>
        <v>Jed.
cijena</v>
      </c>
      <c r="G280" s="10" t="str">
        <f>'Obrazac kalkulacije'!$G$6</f>
        <v>Iznos</v>
      </c>
      <c r="H280" s="3">
        <v>240</v>
      </c>
      <c r="I280" s="703"/>
      <c r="J280" s="10" t="str">
        <f>'Obrazac kalkulacije'!$D$6</f>
        <v>Jed.
mjere</v>
      </c>
      <c r="K280" s="10" t="str">
        <f>'Obrazac kalkulacije'!$E$6</f>
        <v>Normativ</v>
      </c>
      <c r="L280" s="10" t="str">
        <f>'Obrazac kalkulacije'!$F$6</f>
        <v>Jed.
cijena</v>
      </c>
      <c r="M280" s="10" t="str">
        <f>'Obrazac kalkulacije'!$G$6</f>
        <v>Iznos</v>
      </c>
      <c r="R280" s="563"/>
      <c r="S280" s="871" t="e">
        <f>'Obrazac kalkulacije'!$B$6:$C$6</f>
        <v>#VALUE!</v>
      </c>
      <c r="T280" s="871"/>
      <c r="U280" s="563" t="str">
        <f>'Obrazac kalkulacije'!$D$6</f>
        <v>Jed.
mjere</v>
      </c>
      <c r="V280" s="563" t="str">
        <f>'Obrazac kalkulacije'!$E$6</f>
        <v>Normativ</v>
      </c>
      <c r="W280" s="563" t="str">
        <f>'Obrazac kalkulacije'!$F$6</f>
        <v>Jed.
cijena</v>
      </c>
      <c r="X280" s="563" t="str">
        <f>'Obrazac kalkulacije'!$G$6</f>
        <v>Iznos</v>
      </c>
      <c r="Y280" s="610">
        <v>250</v>
      </c>
    </row>
    <row r="281" spans="1:25" ht="4.5" customHeight="1" thickTop="1">
      <c r="B281" s="42"/>
      <c r="C281" s="1"/>
      <c r="D281" s="11"/>
      <c r="E281" s="13"/>
      <c r="F281" s="245"/>
      <c r="G281" s="15"/>
      <c r="I281" s="1"/>
      <c r="J281" s="11"/>
      <c r="K281" s="13"/>
      <c r="L281" s="245"/>
      <c r="M281" s="15"/>
      <c r="R281" s="565"/>
      <c r="S281" s="566"/>
      <c r="T281" s="565"/>
      <c r="U281" s="567"/>
      <c r="V281" s="568"/>
      <c r="W281" s="569"/>
      <c r="X281" s="570"/>
      <c r="Y281" s="564"/>
    </row>
    <row r="282" spans="1:25" ht="25.15" customHeight="1">
      <c r="A282" s="16"/>
      <c r="B282" s="837" t="str">
        <f>'Obrazac kalkulacije'!$B$8</f>
        <v>Radna snaga:</v>
      </c>
      <c r="C282" s="837"/>
      <c r="D282" s="16"/>
      <c r="E282" s="16"/>
      <c r="F282" s="246"/>
      <c r="G282" s="18">
        <f>SUM(G283:G283)</f>
        <v>17.504999999999999</v>
      </c>
      <c r="I282" s="702"/>
      <c r="J282" s="16"/>
      <c r="K282" s="16"/>
      <c r="L282" s="246"/>
      <c r="M282" s="18">
        <f>SUM(M283:M283)</f>
        <v>17.50503501</v>
      </c>
      <c r="R282" s="571"/>
      <c r="S282" s="846" t="str">
        <f>'Obrazac kalkulacije'!$B$8</f>
        <v>Radna snaga:</v>
      </c>
      <c r="T282" s="846"/>
      <c r="U282" s="571"/>
      <c r="V282" s="571"/>
      <c r="W282" s="572"/>
      <c r="X282" s="573">
        <f>SUM(X283:X283)</f>
        <v>0</v>
      </c>
      <c r="Y282" s="564"/>
    </row>
    <row r="283" spans="1:25" ht="25.15" customHeight="1">
      <c r="A283" s="32"/>
      <c r="B283" s="854" t="s">
        <v>57</v>
      </c>
      <c r="C283" s="854"/>
      <c r="D283" s="33" t="s">
        <v>51</v>
      </c>
      <c r="E283" s="34">
        <f>H283/H$280</f>
        <v>0.16666666666666666</v>
      </c>
      <c r="F283" s="243">
        <f>SUMIF('Cjenik RS'!$C$11:$C$26,$B283,'Cjenik RS'!$D$11:$D$90)</f>
        <v>105.03</v>
      </c>
      <c r="G283" s="35">
        <f>+F283*E283</f>
        <v>17.504999999999999</v>
      </c>
      <c r="H283" s="560">
        <v>40</v>
      </c>
      <c r="I283" s="701"/>
      <c r="J283" s="33" t="s">
        <v>51</v>
      </c>
      <c r="K283" s="34">
        <v>0.16666700000000001</v>
      </c>
      <c r="L283" s="243">
        <f>SUMIF('Cjenik RS'!$C$11:$C$26,$B283,'Cjenik RS'!$D$11:$D$90)</f>
        <v>105.03</v>
      </c>
      <c r="M283" s="35">
        <f>+L283*K283</f>
        <v>17.50503501</v>
      </c>
      <c r="R283" s="574"/>
      <c r="S283" s="872" t="s">
        <v>103</v>
      </c>
      <c r="T283" s="872"/>
      <c r="U283" s="575" t="s">
        <v>51</v>
      </c>
      <c r="V283" s="576">
        <f>Y283/Y280</f>
        <v>0</v>
      </c>
      <c r="W283" s="577">
        <f>SUMIF('Cjenik RS'!$C$11:$C$26,$B283,'Cjenik RS'!$D$11:$D$90)</f>
        <v>105.03</v>
      </c>
      <c r="X283" s="578">
        <f>+W283*V283</f>
        <v>0</v>
      </c>
      <c r="Y283" s="579"/>
    </row>
    <row r="284" spans="1:25" ht="25.15" customHeight="1">
      <c r="A284" s="16"/>
      <c r="B284" s="837" t="str">
        <f>'Obrazac kalkulacije'!$B$11</f>
        <v>Vozila, strojevi i oprema:</v>
      </c>
      <c r="C284" s="837"/>
      <c r="D284" s="16"/>
      <c r="E284" s="16"/>
      <c r="F284" s="243"/>
      <c r="G284" s="18">
        <f>SUM(G285:G295)</f>
        <v>75.276041666666657</v>
      </c>
      <c r="I284" s="702"/>
      <c r="J284" s="16"/>
      <c r="K284" s="16"/>
      <c r="L284" s="243"/>
      <c r="M284" s="18">
        <f>SUM(M285:M295)</f>
        <v>75.383778340000006</v>
      </c>
      <c r="R284" s="571"/>
      <c r="S284" s="846" t="str">
        <f>'Obrazac kalkulacije'!$B$11</f>
        <v>Vozila, strojevi i oprema:</v>
      </c>
      <c r="T284" s="846"/>
      <c r="U284" s="571"/>
      <c r="V284" s="571"/>
      <c r="W284" s="577"/>
      <c r="X284" s="573">
        <f>SUM(X285:X295)</f>
        <v>110.19139875684121</v>
      </c>
      <c r="Y284" s="564"/>
    </row>
    <row r="285" spans="1:25" ht="25.15" customHeight="1">
      <c r="A285" s="56"/>
      <c r="B285" s="839" t="s">
        <v>75</v>
      </c>
      <c r="C285" s="839"/>
      <c r="D285" s="57" t="s">
        <v>51</v>
      </c>
      <c r="E285" s="34">
        <f t="shared" ref="E285:E295" si="10">H285/H$280</f>
        <v>4.1666666666666666E-3</v>
      </c>
      <c r="F285" s="241">
        <f>SUMIF('Cjenik VSO'!$B$9:$B$85,$B285,'Cjenik VSO'!$C$9:$C$85)</f>
        <v>718.97</v>
      </c>
      <c r="G285" s="59">
        <f t="shared" ref="G285:G295" si="11">E285*F285</f>
        <v>2.9957083333333334</v>
      </c>
      <c r="H285" s="560">
        <v>1</v>
      </c>
      <c r="I285" s="707"/>
      <c r="J285" s="57" t="s">
        <v>51</v>
      </c>
      <c r="K285" s="92">
        <v>4.1660000000000004E-3</v>
      </c>
      <c r="L285" s="241">
        <f>SUMIF('Cjenik VSO'!$B$9:$B$85,$B285,'Cjenik VSO'!$C$9:$C$85)</f>
        <v>718.97</v>
      </c>
      <c r="M285" s="59">
        <f t="shared" ref="M285:M295" si="12">K285*L285</f>
        <v>2.9952290200000005</v>
      </c>
      <c r="O285" s="2">
        <f>G285*1.5</f>
        <v>4.4935625000000003</v>
      </c>
      <c r="P285" s="270">
        <f t="shared" ref="P285:P295" si="13">O285-G285</f>
        <v>1.4978541666666669</v>
      </c>
      <c r="R285" s="580"/>
      <c r="S285" s="844" t="s">
        <v>75</v>
      </c>
      <c r="T285" s="844"/>
      <c r="U285" s="581" t="s">
        <v>51</v>
      </c>
      <c r="V285" s="582">
        <v>6.2798475311436619E-3</v>
      </c>
      <c r="W285" s="583">
        <f>SUMIF('Cjenik VSO'!$B$9:$B$85,$B285,'Cjenik VSO'!$C$9:$C$85)</f>
        <v>718.97</v>
      </c>
      <c r="X285" s="584">
        <f t="shared" ref="X285:X295" si="14">V285*W285</f>
        <v>4.5150219794663586</v>
      </c>
      <c r="Y285" s="579">
        <f t="shared" ref="Y285:Y295" si="15">V285*Y$280</f>
        <v>1.5699618827859154</v>
      </c>
    </row>
    <row r="286" spans="1:25" ht="25.15" customHeight="1">
      <c r="A286" s="56"/>
      <c r="B286" s="839" t="s">
        <v>60</v>
      </c>
      <c r="C286" s="839"/>
      <c r="D286" s="57" t="s">
        <v>51</v>
      </c>
      <c r="E286" s="34">
        <f t="shared" si="10"/>
        <v>8.3333333333333332E-3</v>
      </c>
      <c r="F286" s="241">
        <f>SUMIF('Cjenik VSO'!$B$9:$B$85,$B286,'Cjenik VSO'!$C$9:$C$85)</f>
        <v>328.73</v>
      </c>
      <c r="G286" s="59">
        <f t="shared" si="11"/>
        <v>2.7394166666666666</v>
      </c>
      <c r="H286" s="560">
        <v>2</v>
      </c>
      <c r="I286" s="707"/>
      <c r="J286" s="57" t="s">
        <v>51</v>
      </c>
      <c r="K286" s="92">
        <v>8.2909999999999998E-3</v>
      </c>
      <c r="L286" s="241">
        <f>SUMIF('Cjenik VSO'!$B$9:$B$85,$B286,'Cjenik VSO'!$C$9:$C$85)</f>
        <v>328.73</v>
      </c>
      <c r="M286" s="59">
        <f t="shared" si="12"/>
        <v>2.7255004299999999</v>
      </c>
      <c r="O286" s="2">
        <f t="shared" ref="O286:O295" si="16">G286*1.5</f>
        <v>4.1091249999999997</v>
      </c>
      <c r="P286" s="270">
        <f t="shared" si="13"/>
        <v>1.3697083333333331</v>
      </c>
      <c r="R286" s="580"/>
      <c r="S286" s="844" t="s">
        <v>60</v>
      </c>
      <c r="T286" s="844"/>
      <c r="U286" s="581" t="s">
        <v>51</v>
      </c>
      <c r="V286" s="582">
        <v>1.2564918746858769E-2</v>
      </c>
      <c r="W286" s="583">
        <f>SUMIF('Cjenik VSO'!$B$9:$B$85,$B286,'Cjenik VSO'!$C$9:$C$85)</f>
        <v>328.73</v>
      </c>
      <c r="X286" s="584">
        <f t="shared" si="14"/>
        <v>4.1304657396548832</v>
      </c>
      <c r="Y286" s="579">
        <f t="shared" si="15"/>
        <v>3.1412296867146923</v>
      </c>
    </row>
    <row r="287" spans="1:25" ht="25.15" customHeight="1">
      <c r="A287" s="56"/>
      <c r="B287" s="839" t="s">
        <v>61</v>
      </c>
      <c r="C287" s="839"/>
      <c r="D287" s="57" t="s">
        <v>51</v>
      </c>
      <c r="E287" s="34">
        <f t="shared" si="10"/>
        <v>8.3333333333333332E-3</v>
      </c>
      <c r="F287" s="241">
        <f>SUMIF('Cjenik VSO'!$B$9:$B$85,$B287,'Cjenik VSO'!$C$9:$C$85)</f>
        <v>62.67</v>
      </c>
      <c r="G287" s="59">
        <f t="shared" si="11"/>
        <v>0.52224999999999999</v>
      </c>
      <c r="H287" s="560">
        <v>2</v>
      </c>
      <c r="I287" s="707"/>
      <c r="J287" s="57" t="s">
        <v>51</v>
      </c>
      <c r="K287" s="92">
        <v>8.2909999999999998E-3</v>
      </c>
      <c r="L287" s="241">
        <f>SUMIF('Cjenik VSO'!$B$9:$B$85,$B287,'Cjenik VSO'!$C$9:$C$85)</f>
        <v>62.67</v>
      </c>
      <c r="M287" s="59">
        <f t="shared" si="12"/>
        <v>0.51959697000000005</v>
      </c>
      <c r="O287" s="2">
        <f t="shared" si="16"/>
        <v>0.78337499999999993</v>
      </c>
      <c r="P287" s="270">
        <f t="shared" si="13"/>
        <v>0.26112499999999994</v>
      </c>
      <c r="R287" s="580"/>
      <c r="S287" s="844" t="s">
        <v>61</v>
      </c>
      <c r="T287" s="844"/>
      <c r="U287" s="581" t="s">
        <v>51</v>
      </c>
      <c r="V287" s="582">
        <v>1.2564918746858769E-2</v>
      </c>
      <c r="W287" s="583">
        <f>SUMIF('Cjenik VSO'!$B$9:$B$85,$B287,'Cjenik VSO'!$C$9:$C$85)</f>
        <v>62.67</v>
      </c>
      <c r="X287" s="584">
        <f t="shared" si="14"/>
        <v>0.78744345786563907</v>
      </c>
      <c r="Y287" s="579">
        <f t="shared" si="15"/>
        <v>3.1412296867146923</v>
      </c>
    </row>
    <row r="288" spans="1:25" ht="25.15" customHeight="1">
      <c r="A288" s="56"/>
      <c r="B288" s="839" t="s">
        <v>73</v>
      </c>
      <c r="C288" s="839"/>
      <c r="D288" s="57" t="s">
        <v>51</v>
      </c>
      <c r="E288" s="34">
        <f t="shared" si="10"/>
        <v>8.3333333333333332E-3</v>
      </c>
      <c r="F288" s="241">
        <f>SUMIF('Cjenik VSO'!$B$9:$B$85,$B288,'Cjenik VSO'!$C$9:$C$85)</f>
        <v>291.72000000000003</v>
      </c>
      <c r="G288" s="59">
        <f t="shared" si="11"/>
        <v>2.431</v>
      </c>
      <c r="H288" s="560">
        <v>2</v>
      </c>
      <c r="I288" s="707"/>
      <c r="J288" s="57" t="s">
        <v>51</v>
      </c>
      <c r="K288" s="92">
        <v>9.3749999999999997E-3</v>
      </c>
      <c r="L288" s="241">
        <f>SUMIF('Cjenik VSO'!$B$9:$B$85,$B288,'Cjenik VSO'!$C$9:$C$85)</f>
        <v>291.72000000000003</v>
      </c>
      <c r="M288" s="59">
        <f t="shared" si="12"/>
        <v>2.7348750000000002</v>
      </c>
      <c r="O288" s="2">
        <f t="shared" si="16"/>
        <v>3.6465000000000001</v>
      </c>
      <c r="P288" s="270">
        <f t="shared" si="13"/>
        <v>1.2155</v>
      </c>
      <c r="R288" s="580"/>
      <c r="S288" s="844" t="s">
        <v>73</v>
      </c>
      <c r="T288" s="844"/>
      <c r="U288" s="581" t="s">
        <v>51</v>
      </c>
      <c r="V288" s="582">
        <v>1.4037360976136485E-2</v>
      </c>
      <c r="W288" s="583">
        <f>SUMIF('Cjenik VSO'!$B$9:$B$85,$B288,'Cjenik VSO'!$C$9:$C$85)</f>
        <v>291.72000000000003</v>
      </c>
      <c r="X288" s="584">
        <f t="shared" si="14"/>
        <v>4.0949789439585356</v>
      </c>
      <c r="Y288" s="579">
        <f t="shared" si="15"/>
        <v>3.5093402440341213</v>
      </c>
    </row>
    <row r="289" spans="1:25" ht="25.15" customHeight="1">
      <c r="A289" s="56"/>
      <c r="B289" s="839" t="s">
        <v>74</v>
      </c>
      <c r="C289" s="839"/>
      <c r="D289" s="57" t="s">
        <v>51</v>
      </c>
      <c r="E289" s="34">
        <f t="shared" si="10"/>
        <v>3.7499999999999999E-2</v>
      </c>
      <c r="F289" s="241">
        <f>SUMIF('Cjenik VSO'!$B$9:$B$85,$B289,'Cjenik VSO'!$C$9:$C$85)</f>
        <v>355.64</v>
      </c>
      <c r="G289" s="59">
        <f t="shared" si="11"/>
        <v>13.336499999999999</v>
      </c>
      <c r="H289" s="560">
        <v>9</v>
      </c>
      <c r="I289" s="707"/>
      <c r="J289" s="57" t="s">
        <v>51</v>
      </c>
      <c r="K289" s="92">
        <v>3.7499999999999999E-2</v>
      </c>
      <c r="L289" s="241">
        <f>SUMIF('Cjenik VSO'!$B$9:$B$85,$B289,'Cjenik VSO'!$C$9:$C$85)</f>
        <v>355.64</v>
      </c>
      <c r="M289" s="59">
        <f t="shared" si="12"/>
        <v>13.336499999999999</v>
      </c>
      <c r="O289" s="2">
        <f t="shared" si="16"/>
        <v>20.004749999999998</v>
      </c>
      <c r="P289" s="270">
        <f t="shared" si="13"/>
        <v>6.6682499999999987</v>
      </c>
      <c r="R289" s="580"/>
      <c r="S289" s="844" t="s">
        <v>74</v>
      </c>
      <c r="T289" s="844"/>
      <c r="U289" s="581" t="s">
        <v>51</v>
      </c>
      <c r="V289" s="582">
        <v>5.6096840862119871E-2</v>
      </c>
      <c r="W289" s="583">
        <f>SUMIF('Cjenik VSO'!$B$9:$B$85,$B289,'Cjenik VSO'!$C$9:$C$85)</f>
        <v>355.64</v>
      </c>
      <c r="X289" s="584">
        <f t="shared" si="14"/>
        <v>19.95028048420431</v>
      </c>
      <c r="Y289" s="579">
        <f t="shared" si="15"/>
        <v>14.024210215529967</v>
      </c>
    </row>
    <row r="290" spans="1:25" ht="25.15" customHeight="1">
      <c r="A290" s="56"/>
      <c r="B290" s="839" t="s">
        <v>104</v>
      </c>
      <c r="C290" s="839"/>
      <c r="D290" s="57" t="s">
        <v>51</v>
      </c>
      <c r="E290" s="34">
        <f t="shared" si="10"/>
        <v>3.3333333333333333E-2</v>
      </c>
      <c r="F290" s="241">
        <f>SUMIF('Cjenik VSO'!$B$9:$B$85,$B290,'Cjenik VSO'!$C$9:$C$85)</f>
        <v>693.43</v>
      </c>
      <c r="G290" s="59">
        <f t="shared" si="11"/>
        <v>23.114333333333331</v>
      </c>
      <c r="H290" s="560">
        <v>8</v>
      </c>
      <c r="I290" s="707"/>
      <c r="J290" s="57" t="s">
        <v>51</v>
      </c>
      <c r="K290" s="92">
        <v>3.3333000000000002E-2</v>
      </c>
      <c r="L290" s="241">
        <f>SUMIF('Cjenik VSO'!$B$9:$B$85,$B290,'Cjenik VSO'!$C$9:$C$85)</f>
        <v>693.43</v>
      </c>
      <c r="M290" s="59">
        <f t="shared" si="12"/>
        <v>23.114102190000001</v>
      </c>
      <c r="O290" s="2">
        <f t="shared" si="16"/>
        <v>34.671499999999995</v>
      </c>
      <c r="P290" s="270">
        <f t="shared" si="13"/>
        <v>11.557166666666664</v>
      </c>
      <c r="R290" s="580"/>
      <c r="S290" s="844" t="s">
        <v>104</v>
      </c>
      <c r="T290" s="844"/>
      <c r="U290" s="581" t="s">
        <v>51</v>
      </c>
      <c r="V290" s="582">
        <v>4.5789736678729889E-2</v>
      </c>
      <c r="W290" s="583">
        <f>SUMIF('Cjenik VSO'!$B$9:$B$85,$B290,'Cjenik VSO'!$C$9:$C$85)</f>
        <v>693.43</v>
      </c>
      <c r="X290" s="584">
        <f t="shared" si="14"/>
        <v>31.751977105131665</v>
      </c>
      <c r="Y290" s="579">
        <f t="shared" si="15"/>
        <v>11.447434169682472</v>
      </c>
    </row>
    <row r="291" spans="1:25" ht="25.15" customHeight="1">
      <c r="A291" s="56"/>
      <c r="B291" s="839" t="s">
        <v>87</v>
      </c>
      <c r="C291" s="839"/>
      <c r="D291" s="57" t="s">
        <v>51</v>
      </c>
      <c r="E291" s="34">
        <f t="shared" si="10"/>
        <v>1.6666666666666666E-2</v>
      </c>
      <c r="F291" s="241">
        <f>SUMIF('Cjenik VSO'!$B$9:$B$85,$B291,'Cjenik VSO'!$C$9:$C$85)</f>
        <v>240.85</v>
      </c>
      <c r="G291" s="59">
        <f t="shared" si="11"/>
        <v>4.0141666666666662</v>
      </c>
      <c r="H291" s="560">
        <v>4</v>
      </c>
      <c r="I291" s="707"/>
      <c r="J291" s="57" t="s">
        <v>51</v>
      </c>
      <c r="K291" s="92">
        <v>1.6666E-2</v>
      </c>
      <c r="L291" s="241">
        <f>SUMIF('Cjenik VSO'!$B$9:$B$85,$B291,'Cjenik VSO'!$C$9:$C$85)</f>
        <v>240.85</v>
      </c>
      <c r="M291" s="59">
        <f t="shared" si="12"/>
        <v>4.0140060999999996</v>
      </c>
      <c r="O291" s="2">
        <f t="shared" si="16"/>
        <v>6.0212499999999993</v>
      </c>
      <c r="P291" s="270">
        <f t="shared" si="13"/>
        <v>2.0070833333333331</v>
      </c>
      <c r="R291" s="580"/>
      <c r="S291" s="844" t="s">
        <v>87</v>
      </c>
      <c r="T291" s="844"/>
      <c r="U291" s="581" t="s">
        <v>51</v>
      </c>
      <c r="V291" s="582">
        <v>2.4849594559246665E-2</v>
      </c>
      <c r="W291" s="583">
        <f>SUMIF('Cjenik VSO'!$B$9:$B$85,$B291,'Cjenik VSO'!$C$9:$C$85)</f>
        <v>240.85</v>
      </c>
      <c r="X291" s="584">
        <f t="shared" si="14"/>
        <v>5.9850248495945593</v>
      </c>
      <c r="Y291" s="579">
        <f t="shared" si="15"/>
        <v>6.2123986398116662</v>
      </c>
    </row>
    <row r="292" spans="1:25" ht="25.15" customHeight="1">
      <c r="A292" s="56"/>
      <c r="B292" s="839" t="s">
        <v>79</v>
      </c>
      <c r="C292" s="839"/>
      <c r="D292" s="57" t="s">
        <v>51</v>
      </c>
      <c r="E292" s="34">
        <f t="shared" si="10"/>
        <v>2.9166666666666667E-2</v>
      </c>
      <c r="F292" s="241">
        <f>SUMIF('Cjenik VSO'!$B$9:$B$85,$B292,'Cjenik VSO'!$C$9:$C$85)</f>
        <v>199.57</v>
      </c>
      <c r="G292" s="59">
        <f t="shared" si="11"/>
        <v>5.8207916666666666</v>
      </c>
      <c r="H292" s="560">
        <v>7</v>
      </c>
      <c r="I292" s="707"/>
      <c r="J292" s="57" t="s">
        <v>51</v>
      </c>
      <c r="K292" s="92">
        <v>1.6666E-2</v>
      </c>
      <c r="L292" s="241">
        <f>SUMIF('Cjenik VSO'!$B$9:$B$85,$B292,'Cjenik VSO'!$C$9:$C$85)</f>
        <v>199.57</v>
      </c>
      <c r="M292" s="59">
        <f t="shared" si="12"/>
        <v>3.32603362</v>
      </c>
      <c r="O292" s="2">
        <f t="shared" si="16"/>
        <v>8.7311875000000008</v>
      </c>
      <c r="P292" s="270">
        <f t="shared" si="13"/>
        <v>2.9103958333333342</v>
      </c>
      <c r="R292" s="580"/>
      <c r="S292" s="844" t="s">
        <v>79</v>
      </c>
      <c r="T292" s="844"/>
      <c r="U292" s="581" t="s">
        <v>51</v>
      </c>
      <c r="V292" s="582">
        <v>2.5253853843320882E-2</v>
      </c>
      <c r="W292" s="583">
        <f>SUMIF('Cjenik VSO'!$B$9:$B$85,$B292,'Cjenik VSO'!$C$9:$C$85)</f>
        <v>199.57</v>
      </c>
      <c r="X292" s="584">
        <f t="shared" si="14"/>
        <v>5.0399116115115481</v>
      </c>
      <c r="Y292" s="579">
        <f t="shared" si="15"/>
        <v>6.3134634608302207</v>
      </c>
    </row>
    <row r="293" spans="1:25" ht="25.15" customHeight="1">
      <c r="A293" s="56"/>
      <c r="B293" s="839" t="s">
        <v>88</v>
      </c>
      <c r="C293" s="839"/>
      <c r="D293" s="57" t="s">
        <v>51</v>
      </c>
      <c r="E293" s="34">
        <f t="shared" si="10"/>
        <v>5.8333333333333334E-2</v>
      </c>
      <c r="F293" s="241">
        <f>SUMIF('Cjenik VSO'!$B$9:$B$85,$B293,'Cjenik VSO'!$C$9:$C$85)</f>
        <v>269.36</v>
      </c>
      <c r="G293" s="59">
        <f t="shared" si="11"/>
        <v>15.712666666666667</v>
      </c>
      <c r="H293" s="560">
        <v>14</v>
      </c>
      <c r="I293" s="707"/>
      <c r="J293" s="57" t="s">
        <v>51</v>
      </c>
      <c r="K293" s="92">
        <v>6.6666000000000003E-2</v>
      </c>
      <c r="L293" s="241">
        <f>SUMIF('Cjenik VSO'!$B$9:$B$85,$B293,'Cjenik VSO'!$C$9:$C$85)</f>
        <v>269.36</v>
      </c>
      <c r="M293" s="59">
        <f t="shared" si="12"/>
        <v>17.957153760000001</v>
      </c>
      <c r="O293" s="2">
        <f t="shared" si="16"/>
        <v>23.569000000000003</v>
      </c>
      <c r="P293" s="270">
        <f t="shared" si="13"/>
        <v>7.8563333333333354</v>
      </c>
      <c r="R293" s="580"/>
      <c r="S293" s="844" t="s">
        <v>88</v>
      </c>
      <c r="T293" s="844"/>
      <c r="U293" s="581" t="s">
        <v>51</v>
      </c>
      <c r="V293" s="582">
        <v>0.10018321443885705</v>
      </c>
      <c r="W293" s="583">
        <f>SUMIF('Cjenik VSO'!$B$9:$B$85,$B293,'Cjenik VSO'!$C$9:$C$85)</f>
        <v>269.36</v>
      </c>
      <c r="X293" s="584">
        <f t="shared" si="14"/>
        <v>26.985350641250538</v>
      </c>
      <c r="Y293" s="579">
        <f t="shared" si="15"/>
        <v>25.045803609714262</v>
      </c>
    </row>
    <row r="294" spans="1:25" ht="25.15" customHeight="1">
      <c r="A294" s="56"/>
      <c r="B294" s="839" t="s">
        <v>80</v>
      </c>
      <c r="C294" s="839"/>
      <c r="D294" s="57" t="s">
        <v>51</v>
      </c>
      <c r="E294" s="34">
        <f t="shared" si="10"/>
        <v>8.3333333333333332E-3</v>
      </c>
      <c r="F294" s="241">
        <f>SUMIF('Cjenik VSO'!$B$9:$B$85,$B294,'Cjenik VSO'!$C$9:$C$85)</f>
        <v>68.709999999999994</v>
      </c>
      <c r="G294" s="59">
        <f t="shared" si="11"/>
        <v>0.57258333333333322</v>
      </c>
      <c r="H294" s="560">
        <v>2</v>
      </c>
      <c r="I294" s="707"/>
      <c r="J294" s="57" t="s">
        <v>51</v>
      </c>
      <c r="K294" s="92">
        <v>9.3749999999999997E-3</v>
      </c>
      <c r="L294" s="241">
        <f>SUMIF('Cjenik VSO'!$B$9:$B$85,$B294,'Cjenik VSO'!$C$9:$C$85)</f>
        <v>68.709999999999994</v>
      </c>
      <c r="M294" s="59">
        <f t="shared" si="12"/>
        <v>0.64415624999999987</v>
      </c>
      <c r="O294" s="2">
        <f t="shared" si="16"/>
        <v>0.85887499999999983</v>
      </c>
      <c r="P294" s="270">
        <f t="shared" si="13"/>
        <v>0.28629166666666661</v>
      </c>
      <c r="R294" s="580"/>
      <c r="S294" s="844" t="s">
        <v>80</v>
      </c>
      <c r="T294" s="844"/>
      <c r="U294" s="581" t="s">
        <v>51</v>
      </c>
      <c r="V294" s="582">
        <v>1.4058679706601469E-2</v>
      </c>
      <c r="W294" s="583">
        <f>SUMIF('Cjenik VSO'!$B$9:$B$85,$B294,'Cjenik VSO'!$C$9:$C$85)</f>
        <v>68.709999999999994</v>
      </c>
      <c r="X294" s="584">
        <f t="shared" si="14"/>
        <v>0.96597188264058687</v>
      </c>
      <c r="Y294" s="579">
        <f t="shared" si="15"/>
        <v>3.5146699266503671</v>
      </c>
    </row>
    <row r="295" spans="1:25" ht="25.15" customHeight="1">
      <c r="A295" s="61"/>
      <c r="B295" s="855" t="s">
        <v>81</v>
      </c>
      <c r="C295" s="855"/>
      <c r="D295" s="62" t="s">
        <v>51</v>
      </c>
      <c r="E295" s="34">
        <f t="shared" si="10"/>
        <v>3.7499999999999999E-2</v>
      </c>
      <c r="F295" s="242">
        <f>SUMIF('Cjenik VSO'!$B$9:$B$85,$B295,'Cjenik VSO'!$C$9:$C$85)</f>
        <v>107.11</v>
      </c>
      <c r="G295" s="64">
        <f t="shared" si="11"/>
        <v>4.0166249999999994</v>
      </c>
      <c r="H295" s="560">
        <v>9</v>
      </c>
      <c r="I295" s="708"/>
      <c r="J295" s="62" t="s">
        <v>51</v>
      </c>
      <c r="K295" s="87">
        <v>3.7499999999999999E-2</v>
      </c>
      <c r="L295" s="242">
        <f>SUMIF('Cjenik VSO'!$B$9:$B$85,$B295,'Cjenik VSO'!$C$9:$C$85)</f>
        <v>107.11</v>
      </c>
      <c r="M295" s="64">
        <f t="shared" si="12"/>
        <v>4.0166249999999994</v>
      </c>
      <c r="O295" s="2">
        <f t="shared" si="16"/>
        <v>6.0249374999999992</v>
      </c>
      <c r="P295" s="270">
        <f t="shared" si="13"/>
        <v>2.0083124999999997</v>
      </c>
      <c r="R295" s="585"/>
      <c r="S295" s="845" t="s">
        <v>81</v>
      </c>
      <c r="T295" s="845"/>
      <c r="U295" s="586" t="s">
        <v>51</v>
      </c>
      <c r="V295" s="587">
        <v>5.5876874816194494E-2</v>
      </c>
      <c r="W295" s="588">
        <f>SUMIF('Cjenik VSO'!$B$9:$B$85,$B295,'Cjenik VSO'!$C$9:$C$85)</f>
        <v>107.11</v>
      </c>
      <c r="X295" s="589">
        <f t="shared" si="14"/>
        <v>5.9849720615625923</v>
      </c>
      <c r="Y295" s="579">
        <f t="shared" si="15"/>
        <v>13.969218704048624</v>
      </c>
    </row>
    <row r="296" spans="1:25" ht="25.15" customHeight="1">
      <c r="A296" s="16"/>
      <c r="B296" s="837" t="str">
        <f>'Obrazac kalkulacije'!$B$15</f>
        <v>Materijali:</v>
      </c>
      <c r="C296" s="837"/>
      <c r="D296" s="16"/>
      <c r="E296" s="16"/>
      <c r="F296" s="243"/>
      <c r="G296" s="18">
        <f>SUM(G297:G298)</f>
        <v>5600</v>
      </c>
      <c r="I296" s="702"/>
      <c r="J296" s="16"/>
      <c r="K296" s="16"/>
      <c r="L296" s="243"/>
      <c r="M296" s="18">
        <f>SUM(M297:M298)</f>
        <v>5600</v>
      </c>
      <c r="P296" s="270">
        <f>SUM(P285:P295)</f>
        <v>37.638020833333336</v>
      </c>
      <c r="R296" s="571"/>
      <c r="S296" s="846" t="str">
        <f>'Obrazac kalkulacije'!$B$15</f>
        <v>Materijali:</v>
      </c>
      <c r="T296" s="846"/>
      <c r="U296" s="571"/>
      <c r="V296" s="571"/>
      <c r="W296" s="577"/>
      <c r="X296" s="573">
        <f>SUM(X297:X298)</f>
        <v>5600</v>
      </c>
      <c r="Y296" s="564"/>
    </row>
    <row r="297" spans="1:25" ht="25.15" customHeight="1">
      <c r="A297" s="12"/>
      <c r="B297" s="849" t="str">
        <f>'Cjenik M'!$B$14</f>
        <v>Prometna ploča površine od 2,00 do 8,00 m2</v>
      </c>
      <c r="C297" s="849"/>
      <c r="D297" s="20" t="str">
        <f>'Cjenik M'!$C$14</f>
        <v>kom</v>
      </c>
      <c r="E297" s="141">
        <v>1</v>
      </c>
      <c r="F297" s="251">
        <f>'Cjenik M'!$D$14</f>
        <v>5000</v>
      </c>
      <c r="G297" s="22">
        <f>E297*F297</f>
        <v>5000</v>
      </c>
      <c r="I297" s="705"/>
      <c r="J297" s="20" t="str">
        <f>'Cjenik M'!$C$14</f>
        <v>kom</v>
      </c>
      <c r="K297" s="141">
        <v>1</v>
      </c>
      <c r="L297" s="251">
        <f>'Cjenik M'!$D$14</f>
        <v>5000</v>
      </c>
      <c r="M297" s="22">
        <f>K297*L297</f>
        <v>5000</v>
      </c>
      <c r="R297" s="590"/>
      <c r="S297" s="847" t="str">
        <f>'Cjenik M'!$B$14</f>
        <v>Prometna ploča površine od 2,00 do 8,00 m2</v>
      </c>
      <c r="T297" s="847"/>
      <c r="U297" s="591" t="str">
        <f>'Cjenik M'!$C$14</f>
        <v>kom</v>
      </c>
      <c r="V297" s="592">
        <v>1</v>
      </c>
      <c r="W297" s="593">
        <f>'Cjenik M'!$D$14</f>
        <v>5000</v>
      </c>
      <c r="X297" s="594">
        <f>V297*W297</f>
        <v>5000</v>
      </c>
      <c r="Y297" s="564"/>
    </row>
    <row r="298" spans="1:25" ht="25.15" customHeight="1" thickBot="1">
      <c r="A298" s="74"/>
      <c r="B298" s="853" t="str">
        <f>'Cjenik M'!$B$21</f>
        <v>Oznaka ulice</v>
      </c>
      <c r="C298" s="853"/>
      <c r="D298" s="57" t="str">
        <f>'Cjenik M'!$C$21</f>
        <v>kom</v>
      </c>
      <c r="E298" s="75">
        <v>4</v>
      </c>
      <c r="F298" s="241">
        <f>'Cjenik M'!$D$21</f>
        <v>150</v>
      </c>
      <c r="G298" s="60">
        <f>+F298*E298</f>
        <v>600</v>
      </c>
      <c r="I298" s="706"/>
      <c r="J298" s="57" t="str">
        <f>'Cjenik M'!$C$21</f>
        <v>kom</v>
      </c>
      <c r="K298" s="75">
        <v>4</v>
      </c>
      <c r="L298" s="241">
        <f>'Cjenik M'!$D$21</f>
        <v>150</v>
      </c>
      <c r="M298" s="60">
        <f>+L298*K298</f>
        <v>600</v>
      </c>
      <c r="R298" s="595"/>
      <c r="S298" s="848" t="str">
        <f>'Cjenik M'!$B$21</f>
        <v>Oznaka ulice</v>
      </c>
      <c r="T298" s="848"/>
      <c r="U298" s="581" t="str">
        <f>'Cjenik M'!$C$21</f>
        <v>kom</v>
      </c>
      <c r="V298" s="596">
        <v>4</v>
      </c>
      <c r="W298" s="583">
        <f>'Cjenik M'!$D$21</f>
        <v>150</v>
      </c>
      <c r="X298" s="597">
        <f>+W298*V298</f>
        <v>600</v>
      </c>
      <c r="Y298" s="564"/>
    </row>
    <row r="299" spans="1:25" ht="25.15" customHeight="1" thickTop="1" thickBot="1">
      <c r="B299" s="47"/>
      <c r="C299" s="24"/>
      <c r="D299" s="25"/>
      <c r="E299" s="850" t="str">
        <f>'Obrazac kalkulacije'!$E$18</f>
        <v>Ukupno (kn):</v>
      </c>
      <c r="F299" s="850"/>
      <c r="G299" s="26">
        <f>ROUND(SUM(G282+G284+G296),2)</f>
        <v>5692.78</v>
      </c>
      <c r="H299" s="269"/>
      <c r="I299" s="24"/>
      <c r="J299" s="25"/>
      <c r="K299" s="850" t="str">
        <f>'Obrazac kalkulacije'!$E$18</f>
        <v>Ukupno (kn):</v>
      </c>
      <c r="L299" s="850"/>
      <c r="M299" s="26">
        <f>ROUND(SUM(M282+M284+M296),2)</f>
        <v>5692.89</v>
      </c>
      <c r="R299" s="565"/>
      <c r="S299" s="598"/>
      <c r="T299" s="599"/>
      <c r="U299" s="600"/>
      <c r="V299" s="842" t="str">
        <f>'Obrazac kalkulacije'!$E$18</f>
        <v>Ukupno (kn):</v>
      </c>
      <c r="W299" s="842"/>
      <c r="X299" s="601">
        <f>ROUND(SUM(X282+X284+X296),2)</f>
        <v>5710.19</v>
      </c>
      <c r="Y299" s="602"/>
    </row>
    <row r="300" spans="1:25" ht="25.15" customHeight="1" thickTop="1" thickBot="1">
      <c r="E300" s="27" t="str">
        <f>'Obrazac kalkulacije'!$E$19</f>
        <v>PDV:</v>
      </c>
      <c r="F300" s="248">
        <f>'Obrazac kalkulacije'!$F$19</f>
        <v>0.25</v>
      </c>
      <c r="G300" s="29">
        <f>G299*F300</f>
        <v>1423.1949999999999</v>
      </c>
      <c r="H300" s="561"/>
      <c r="K300" s="27" t="str">
        <f>'Obrazac kalkulacije'!$E$19</f>
        <v>PDV:</v>
      </c>
      <c r="L300" s="248">
        <f>'Obrazac kalkulacije'!$F$19</f>
        <v>0.25</v>
      </c>
      <c r="M300" s="29">
        <f>M299*L300</f>
        <v>1423.2225000000001</v>
      </c>
      <c r="R300" s="565"/>
      <c r="S300" s="603"/>
      <c r="T300" s="604"/>
      <c r="U300" s="564"/>
      <c r="V300" s="605" t="str">
        <f>'Obrazac kalkulacije'!$E$19</f>
        <v>PDV:</v>
      </c>
      <c r="W300" s="606">
        <f>'Obrazac kalkulacije'!$F$19</f>
        <v>0.25</v>
      </c>
      <c r="X300" s="607">
        <f>X299*W300</f>
        <v>1427.5474999999999</v>
      </c>
      <c r="Y300" s="608"/>
    </row>
    <row r="301" spans="1:25" ht="25.15" customHeight="1" thickTop="1" thickBot="1">
      <c r="E301" s="840" t="str">
        <f>'Obrazac kalkulacije'!$E$20</f>
        <v>Sveukupno (kn):</v>
      </c>
      <c r="F301" s="840"/>
      <c r="G301" s="29">
        <f>ROUND(SUM(G299:G300),2)</f>
        <v>7115.98</v>
      </c>
      <c r="H301" s="562"/>
      <c r="K301" s="840" t="str">
        <f>'Obrazac kalkulacije'!$E$20</f>
        <v>Sveukupno (kn):</v>
      </c>
      <c r="L301" s="840"/>
      <c r="M301" s="29">
        <f>ROUND(SUM(M299:M300),2)</f>
        <v>7116.11</v>
      </c>
      <c r="R301" s="565"/>
      <c r="S301" s="603"/>
      <c r="T301" s="604"/>
      <c r="U301" s="564"/>
      <c r="V301" s="843" t="str">
        <f>'Obrazac kalkulacije'!$E$20</f>
        <v>Sveukupno (kn):</v>
      </c>
      <c r="W301" s="843"/>
      <c r="X301" s="607">
        <f>ROUND(SUM(X299:X300),2)</f>
        <v>7137.74</v>
      </c>
      <c r="Y301" s="609"/>
    </row>
    <row r="302" spans="1:25" ht="15" customHeight="1" thickTop="1"/>
    <row r="303" spans="1:25" ht="15" customHeight="1"/>
    <row r="304" spans="1:25" ht="15" customHeight="1"/>
    <row r="305" spans="1:13" ht="15" customHeight="1">
      <c r="C305" s="3" t="str">
        <f>'Obrazac kalkulacije'!$C$24</f>
        <v>IZVODITELJ:</v>
      </c>
      <c r="F305" s="841" t="str">
        <f>'Obrazac kalkulacije'!$F$24</f>
        <v>NARUČITELJ:</v>
      </c>
      <c r="G305" s="841"/>
      <c r="I305" s="3" t="str">
        <f>'Obrazac kalkulacije'!$C$24</f>
        <v>IZVODITELJ:</v>
      </c>
      <c r="L305" s="841" t="str">
        <f>'Obrazac kalkulacije'!$F$24</f>
        <v>NARUČITELJ:</v>
      </c>
      <c r="M305" s="841"/>
    </row>
    <row r="306" spans="1:13" ht="25.15" customHeight="1">
      <c r="C306" s="3" t="str">
        <f>'Obrazac kalkulacije'!$C$25</f>
        <v>__________________</v>
      </c>
      <c r="F306" s="841" t="str">
        <f>'Obrazac kalkulacije'!$F$25</f>
        <v>___________________</v>
      </c>
      <c r="G306" s="841"/>
      <c r="I306" s="3" t="str">
        <f>'Obrazac kalkulacije'!$C$25</f>
        <v>__________________</v>
      </c>
      <c r="L306" s="841" t="str">
        <f>'Obrazac kalkulacije'!$F$25</f>
        <v>___________________</v>
      </c>
      <c r="M306" s="841"/>
    </row>
    <row r="307" spans="1:13" ht="15" customHeight="1">
      <c r="F307" s="841"/>
      <c r="G307" s="841"/>
      <c r="L307" s="841"/>
      <c r="M307" s="841"/>
    </row>
    <row r="308" spans="1:13" ht="15" customHeight="1">
      <c r="G308" s="30"/>
      <c r="M308" s="30"/>
    </row>
    <row r="309" spans="1:13" ht="15" customHeight="1">
      <c r="A309" s="144"/>
      <c r="B309" s="145" t="s">
        <v>17</v>
      </c>
      <c r="C309" s="146" t="s">
        <v>56</v>
      </c>
      <c r="D309" s="146"/>
      <c r="E309" s="146"/>
      <c r="F309" s="252"/>
      <c r="G309" s="146"/>
      <c r="I309" s="146" t="s">
        <v>56</v>
      </c>
      <c r="J309" s="146"/>
      <c r="K309" s="146"/>
      <c r="L309" s="252"/>
      <c r="M309" s="146"/>
    </row>
    <row r="310" spans="1:13" ht="15" customHeight="1">
      <c r="A310" s="38"/>
      <c r="B310" s="39" t="s">
        <v>64</v>
      </c>
      <c r="C310" s="8" t="s">
        <v>65</v>
      </c>
      <c r="D310" s="8"/>
      <c r="E310" s="8"/>
      <c r="F310" s="253"/>
      <c r="G310" s="8"/>
      <c r="I310" s="8" t="s">
        <v>65</v>
      </c>
      <c r="J310" s="8"/>
      <c r="K310" s="8"/>
      <c r="L310" s="253"/>
      <c r="M310" s="8"/>
    </row>
    <row r="311" spans="1:13" ht="15" customHeight="1">
      <c r="A311" s="48"/>
      <c r="B311" s="49" t="s">
        <v>98</v>
      </c>
      <c r="C311" s="50" t="s">
        <v>99</v>
      </c>
      <c r="D311" s="50"/>
      <c r="E311" s="50"/>
      <c r="F311" s="250"/>
      <c r="G311" s="50"/>
      <c r="I311" s="50" t="s">
        <v>99</v>
      </c>
      <c r="J311" s="50"/>
      <c r="K311" s="50"/>
      <c r="L311" s="250"/>
      <c r="M311" s="50"/>
    </row>
    <row r="312" spans="1:13" ht="111" customHeight="1">
      <c r="A312" s="40"/>
      <c r="B312" s="556" t="s">
        <v>105</v>
      </c>
      <c r="C312" s="852" t="s">
        <v>106</v>
      </c>
      <c r="D312" s="852"/>
      <c r="E312" s="852"/>
      <c r="F312" s="852"/>
      <c r="G312" s="852"/>
      <c r="I312" s="869" t="s">
        <v>107</v>
      </c>
      <c r="J312" s="869"/>
      <c r="K312" s="869"/>
      <c r="L312" s="869"/>
      <c r="M312" s="869"/>
    </row>
    <row r="313" spans="1:13" ht="15" customHeight="1" thickBot="1"/>
    <row r="314" spans="1:13" ht="30" customHeight="1" thickTop="1" thickBot="1">
      <c r="A314" s="10"/>
      <c r="B314" s="835" t="str">
        <f>'Obrazac kalkulacije'!$B$6:$C$6</f>
        <v>Opis</v>
      </c>
      <c r="C314" s="835"/>
      <c r="D314" s="10" t="str">
        <f>'Obrazac kalkulacije'!$D$6</f>
        <v>Jed.
mjere</v>
      </c>
      <c r="E314" s="10" t="str">
        <f>'Obrazac kalkulacije'!$E$6</f>
        <v>Normativ</v>
      </c>
      <c r="F314" s="10" t="str">
        <f>'Obrazac kalkulacije'!$F$6</f>
        <v>Jed.
cijena</v>
      </c>
      <c r="G314" s="10" t="str">
        <f>'Obrazac kalkulacije'!$G$6</f>
        <v>Iznos</v>
      </c>
      <c r="I314" s="703"/>
      <c r="J314" s="10" t="str">
        <f>'Obrazac kalkulacije'!$D$6</f>
        <v>Jed.
mjere</v>
      </c>
      <c r="K314" s="10" t="str">
        <f>'Obrazac kalkulacije'!$E$6</f>
        <v>Normativ</v>
      </c>
      <c r="L314" s="10" t="str">
        <f>'Obrazac kalkulacije'!$F$6</f>
        <v>Jed.
cijena</v>
      </c>
      <c r="M314" s="10" t="str">
        <f>'Obrazac kalkulacije'!$G$6</f>
        <v>Iznos</v>
      </c>
    </row>
    <row r="315" spans="1:13" ht="4.5" customHeight="1" thickTop="1">
      <c r="B315" s="42"/>
      <c r="C315" s="1"/>
      <c r="D315" s="11"/>
      <c r="E315" s="13"/>
      <c r="F315" s="245"/>
      <c r="G315" s="15"/>
      <c r="I315" s="1"/>
      <c r="J315" s="11"/>
      <c r="K315" s="13"/>
      <c r="L315" s="245"/>
      <c r="M315" s="15"/>
    </row>
    <row r="316" spans="1:13" ht="25.15" customHeight="1">
      <c r="A316" s="16"/>
      <c r="B316" s="17" t="str">
        <f>'Obrazac kalkulacije'!$B$8</f>
        <v>Radna snaga:</v>
      </c>
      <c r="C316" s="17"/>
      <c r="D316" s="16"/>
      <c r="E316" s="16"/>
      <c r="F316" s="246"/>
      <c r="G316" s="18">
        <f>SUM(G317:G317)</f>
        <v>17.504999999999999</v>
      </c>
      <c r="I316" s="17"/>
      <c r="J316" s="16"/>
      <c r="K316" s="16"/>
      <c r="L316" s="246"/>
      <c r="M316" s="18">
        <f>SUM(M317:M317)</f>
        <v>17.50503501</v>
      </c>
    </row>
    <row r="317" spans="1:13" ht="25.15" customHeight="1">
      <c r="A317" s="32"/>
      <c r="B317" s="854" t="s">
        <v>57</v>
      </c>
      <c r="C317" s="854"/>
      <c r="D317" s="33" t="s">
        <v>51</v>
      </c>
      <c r="E317" s="34">
        <v>0.16666666666666666</v>
      </c>
      <c r="F317" s="243">
        <f>SUMIF('Cjenik RS'!$C$11:$C$26,$B317,'Cjenik RS'!$D$11:$D$90)</f>
        <v>105.03</v>
      </c>
      <c r="G317" s="35">
        <f>+F317*E317</f>
        <v>17.504999999999999</v>
      </c>
      <c r="I317" s="701"/>
      <c r="J317" s="33" t="s">
        <v>51</v>
      </c>
      <c r="K317" s="34">
        <v>0.16666700000000001</v>
      </c>
      <c r="L317" s="243">
        <f>SUMIF('Cjenik RS'!$C$11:$C$26,$B317,'Cjenik RS'!$D$11:$D$90)</f>
        <v>105.03</v>
      </c>
      <c r="M317" s="35">
        <f>+L317*K317</f>
        <v>17.50503501</v>
      </c>
    </row>
    <row r="318" spans="1:13" ht="25.15" customHeight="1">
      <c r="A318" s="16"/>
      <c r="B318" s="17" t="str">
        <f>'Obrazac kalkulacije'!$B$11</f>
        <v>Vozila, strojevi i oprema:</v>
      </c>
      <c r="C318" s="17"/>
      <c r="D318" s="16"/>
      <c r="E318" s="16"/>
      <c r="F318" s="243"/>
      <c r="G318" s="18">
        <f>SUM(G319:G329)</f>
        <v>75.276041666666657</v>
      </c>
      <c r="I318" s="17"/>
      <c r="J318" s="16"/>
      <c r="K318" s="16"/>
      <c r="L318" s="243"/>
      <c r="M318" s="18">
        <f>SUM(M319:M329)</f>
        <v>75.383778340000006</v>
      </c>
    </row>
    <row r="319" spans="1:13" ht="25.15" customHeight="1">
      <c r="A319" s="272"/>
      <c r="B319" s="839" t="s">
        <v>75</v>
      </c>
      <c r="C319" s="839"/>
      <c r="D319" s="57" t="s">
        <v>51</v>
      </c>
      <c r="E319" s="92">
        <v>4.1666666666666666E-3</v>
      </c>
      <c r="F319" s="241">
        <f>SUMIF('Cjenik VSO'!$B$9:$B$85,$B319,'Cjenik VSO'!$C$9:$C$85)</f>
        <v>718.97</v>
      </c>
      <c r="G319" s="59">
        <f t="shared" ref="G319:G329" si="17">E319*F319</f>
        <v>2.9957083333333334</v>
      </c>
      <c r="I319" s="707"/>
      <c r="J319" s="57" t="s">
        <v>51</v>
      </c>
      <c r="K319" s="92">
        <v>4.1660000000000004E-3</v>
      </c>
      <c r="L319" s="241">
        <f>SUMIF('Cjenik VSO'!$B$9:$B$85,$B319,'Cjenik VSO'!$C$9:$C$85)</f>
        <v>718.97</v>
      </c>
      <c r="M319" s="59">
        <f t="shared" ref="M319:M329" si="18">K319*L319</f>
        <v>2.9952290200000005</v>
      </c>
    </row>
    <row r="320" spans="1:13" ht="25.15" customHeight="1">
      <c r="A320" s="272"/>
      <c r="B320" s="839" t="s">
        <v>60</v>
      </c>
      <c r="C320" s="839"/>
      <c r="D320" s="57" t="s">
        <v>51</v>
      </c>
      <c r="E320" s="92">
        <v>8.3333333333333332E-3</v>
      </c>
      <c r="F320" s="241">
        <f>SUMIF('Cjenik VSO'!$B$9:$B$85,$B320,'Cjenik VSO'!$C$9:$C$85)</f>
        <v>328.73</v>
      </c>
      <c r="G320" s="59">
        <f t="shared" si="17"/>
        <v>2.7394166666666666</v>
      </c>
      <c r="I320" s="707"/>
      <c r="J320" s="57" t="s">
        <v>51</v>
      </c>
      <c r="K320" s="92">
        <v>8.2909999999999998E-3</v>
      </c>
      <c r="L320" s="241">
        <f>SUMIF('Cjenik VSO'!$B$9:$B$85,$B320,'Cjenik VSO'!$C$9:$C$85)</f>
        <v>328.73</v>
      </c>
      <c r="M320" s="59">
        <f t="shared" si="18"/>
        <v>2.7255004299999999</v>
      </c>
    </row>
    <row r="321" spans="1:13" ht="25.15" customHeight="1">
      <c r="A321" s="272"/>
      <c r="B321" s="839" t="s">
        <v>61</v>
      </c>
      <c r="C321" s="839"/>
      <c r="D321" s="57" t="s">
        <v>51</v>
      </c>
      <c r="E321" s="92">
        <v>8.3333333333333332E-3</v>
      </c>
      <c r="F321" s="241">
        <f>SUMIF('Cjenik VSO'!$B$9:$B$85,$B321,'Cjenik VSO'!$C$9:$C$85)</f>
        <v>62.67</v>
      </c>
      <c r="G321" s="59">
        <f t="shared" si="17"/>
        <v>0.52224999999999999</v>
      </c>
      <c r="I321" s="707"/>
      <c r="J321" s="57" t="s">
        <v>51</v>
      </c>
      <c r="K321" s="92">
        <v>8.2909999999999998E-3</v>
      </c>
      <c r="L321" s="241">
        <f>SUMIF('Cjenik VSO'!$B$9:$B$85,$B321,'Cjenik VSO'!$C$9:$C$85)</f>
        <v>62.67</v>
      </c>
      <c r="M321" s="59">
        <f t="shared" si="18"/>
        <v>0.51959697000000005</v>
      </c>
    </row>
    <row r="322" spans="1:13" ht="25.15" customHeight="1">
      <c r="A322" s="272"/>
      <c r="B322" s="839" t="s">
        <v>73</v>
      </c>
      <c r="C322" s="839"/>
      <c r="D322" s="57" t="s">
        <v>51</v>
      </c>
      <c r="E322" s="92">
        <v>8.3333333333333332E-3</v>
      </c>
      <c r="F322" s="241">
        <f>SUMIF('Cjenik VSO'!$B$9:$B$85,$B322,'Cjenik VSO'!$C$9:$C$85)</f>
        <v>291.72000000000003</v>
      </c>
      <c r="G322" s="59">
        <f t="shared" si="17"/>
        <v>2.431</v>
      </c>
      <c r="I322" s="707"/>
      <c r="J322" s="57" t="s">
        <v>51</v>
      </c>
      <c r="K322" s="92">
        <v>9.3749999999999997E-3</v>
      </c>
      <c r="L322" s="241">
        <f>SUMIF('Cjenik VSO'!$B$9:$B$85,$B322,'Cjenik VSO'!$C$9:$C$85)</f>
        <v>291.72000000000003</v>
      </c>
      <c r="M322" s="59">
        <f t="shared" si="18"/>
        <v>2.7348750000000002</v>
      </c>
    </row>
    <row r="323" spans="1:13" ht="25.15" customHeight="1">
      <c r="A323" s="272"/>
      <c r="B323" s="839" t="s">
        <v>74</v>
      </c>
      <c r="C323" s="839"/>
      <c r="D323" s="57" t="s">
        <v>51</v>
      </c>
      <c r="E323" s="92">
        <v>3.7499999999999999E-2</v>
      </c>
      <c r="F323" s="241">
        <f>SUMIF('Cjenik VSO'!$B$9:$B$85,$B323,'Cjenik VSO'!$C$9:$C$85)</f>
        <v>355.64</v>
      </c>
      <c r="G323" s="59">
        <f t="shared" si="17"/>
        <v>13.336499999999999</v>
      </c>
      <c r="I323" s="707"/>
      <c r="J323" s="57" t="s">
        <v>51</v>
      </c>
      <c r="K323" s="92">
        <v>3.7499999999999999E-2</v>
      </c>
      <c r="L323" s="241">
        <f>SUMIF('Cjenik VSO'!$B$9:$B$85,$B323,'Cjenik VSO'!$C$9:$C$85)</f>
        <v>355.64</v>
      </c>
      <c r="M323" s="59">
        <f t="shared" si="18"/>
        <v>13.336499999999999</v>
      </c>
    </row>
    <row r="324" spans="1:13" ht="25.15" customHeight="1">
      <c r="A324" s="272"/>
      <c r="B324" s="839" t="s">
        <v>104</v>
      </c>
      <c r="C324" s="839"/>
      <c r="D324" s="57" t="s">
        <v>51</v>
      </c>
      <c r="E324" s="92">
        <v>3.3333333333333333E-2</v>
      </c>
      <c r="F324" s="241">
        <f>SUMIF('Cjenik VSO'!$B$9:$B$85,$B324,'Cjenik VSO'!$C$9:$C$85)</f>
        <v>693.43</v>
      </c>
      <c r="G324" s="59">
        <f t="shared" si="17"/>
        <v>23.114333333333331</v>
      </c>
      <c r="I324" s="707"/>
      <c r="J324" s="57" t="s">
        <v>51</v>
      </c>
      <c r="K324" s="92">
        <v>3.3333000000000002E-2</v>
      </c>
      <c r="L324" s="241">
        <f>SUMIF('Cjenik VSO'!$B$9:$B$85,$B324,'Cjenik VSO'!$C$9:$C$85)</f>
        <v>693.43</v>
      </c>
      <c r="M324" s="59">
        <f t="shared" si="18"/>
        <v>23.114102190000001</v>
      </c>
    </row>
    <row r="325" spans="1:13" ht="25.15" customHeight="1">
      <c r="A325" s="272"/>
      <c r="B325" s="839" t="s">
        <v>87</v>
      </c>
      <c r="C325" s="839"/>
      <c r="D325" s="57" t="s">
        <v>51</v>
      </c>
      <c r="E325" s="92">
        <v>1.6666666666666666E-2</v>
      </c>
      <c r="F325" s="241">
        <f>SUMIF('Cjenik VSO'!$B$9:$B$85,$B325,'Cjenik VSO'!$C$9:$C$85)</f>
        <v>240.85</v>
      </c>
      <c r="G325" s="59">
        <f t="shared" si="17"/>
        <v>4.0141666666666662</v>
      </c>
      <c r="I325" s="707"/>
      <c r="J325" s="57" t="s">
        <v>51</v>
      </c>
      <c r="K325" s="92">
        <v>1.6666E-2</v>
      </c>
      <c r="L325" s="241">
        <f>SUMIF('Cjenik VSO'!$B$9:$B$85,$B325,'Cjenik VSO'!$C$9:$C$85)</f>
        <v>240.85</v>
      </c>
      <c r="M325" s="59">
        <f t="shared" si="18"/>
        <v>4.0140060999999996</v>
      </c>
    </row>
    <row r="326" spans="1:13" ht="25.15" customHeight="1">
      <c r="A326" s="272"/>
      <c r="B326" s="839" t="s">
        <v>79</v>
      </c>
      <c r="C326" s="839"/>
      <c r="D326" s="57" t="s">
        <v>51</v>
      </c>
      <c r="E326" s="92">
        <v>2.9166666666666667E-2</v>
      </c>
      <c r="F326" s="241">
        <f>SUMIF('Cjenik VSO'!$B$9:$B$85,$B326,'Cjenik VSO'!$C$9:$C$85)</f>
        <v>199.57</v>
      </c>
      <c r="G326" s="59">
        <f t="shared" si="17"/>
        <v>5.8207916666666666</v>
      </c>
      <c r="I326" s="707"/>
      <c r="J326" s="57" t="s">
        <v>51</v>
      </c>
      <c r="K326" s="92">
        <v>1.6666E-2</v>
      </c>
      <c r="L326" s="241">
        <f>SUMIF('Cjenik VSO'!$B$9:$B$85,$B326,'Cjenik VSO'!$C$9:$C$85)</f>
        <v>199.57</v>
      </c>
      <c r="M326" s="59">
        <f t="shared" si="18"/>
        <v>3.32603362</v>
      </c>
    </row>
    <row r="327" spans="1:13" ht="25.15" customHeight="1">
      <c r="A327" s="272"/>
      <c r="B327" s="839" t="s">
        <v>88</v>
      </c>
      <c r="C327" s="839"/>
      <c r="D327" s="57" t="s">
        <v>51</v>
      </c>
      <c r="E327" s="92">
        <v>5.8333333333333334E-2</v>
      </c>
      <c r="F327" s="241">
        <f>SUMIF('Cjenik VSO'!$B$9:$B$85,$B327,'Cjenik VSO'!$C$9:$C$85)</f>
        <v>269.36</v>
      </c>
      <c r="G327" s="59">
        <f t="shared" si="17"/>
        <v>15.712666666666667</v>
      </c>
      <c r="I327" s="707"/>
      <c r="J327" s="57" t="s">
        <v>51</v>
      </c>
      <c r="K327" s="92">
        <v>6.6666000000000003E-2</v>
      </c>
      <c r="L327" s="241">
        <f>SUMIF('Cjenik VSO'!$B$9:$B$85,$B327,'Cjenik VSO'!$C$9:$C$85)</f>
        <v>269.36</v>
      </c>
      <c r="M327" s="59">
        <f t="shared" si="18"/>
        <v>17.957153760000001</v>
      </c>
    </row>
    <row r="328" spans="1:13" ht="25.15" customHeight="1">
      <c r="A328" s="272"/>
      <c r="B328" s="839" t="s">
        <v>80</v>
      </c>
      <c r="C328" s="839"/>
      <c r="D328" s="57" t="s">
        <v>51</v>
      </c>
      <c r="E328" s="92">
        <v>8.3333333333333332E-3</v>
      </c>
      <c r="F328" s="241">
        <f>SUMIF('Cjenik VSO'!$B$9:$B$85,$B328,'Cjenik VSO'!$C$9:$C$85)</f>
        <v>68.709999999999994</v>
      </c>
      <c r="G328" s="59">
        <f t="shared" si="17"/>
        <v>0.57258333333333322</v>
      </c>
      <c r="I328" s="707"/>
      <c r="J328" s="57" t="s">
        <v>51</v>
      </c>
      <c r="K328" s="92">
        <v>9.3749999999999997E-3</v>
      </c>
      <c r="L328" s="241">
        <f>SUMIF('Cjenik VSO'!$B$9:$B$85,$B328,'Cjenik VSO'!$C$9:$C$85)</f>
        <v>68.709999999999994</v>
      </c>
      <c r="M328" s="59">
        <f t="shared" si="18"/>
        <v>0.64415624999999987</v>
      </c>
    </row>
    <row r="329" spans="1:13" ht="25.15" customHeight="1">
      <c r="A329" s="273"/>
      <c r="B329" s="855" t="s">
        <v>81</v>
      </c>
      <c r="C329" s="855"/>
      <c r="D329" s="62" t="s">
        <v>51</v>
      </c>
      <c r="E329" s="87">
        <v>3.7499999999999999E-2</v>
      </c>
      <c r="F329" s="242">
        <f>SUMIF('Cjenik VSO'!$B$9:$B$85,$B329,'Cjenik VSO'!$C$9:$C$85)</f>
        <v>107.11</v>
      </c>
      <c r="G329" s="64">
        <f t="shared" si="17"/>
        <v>4.0166249999999994</v>
      </c>
      <c r="I329" s="708"/>
      <c r="J329" s="62" t="s">
        <v>51</v>
      </c>
      <c r="K329" s="87">
        <v>3.7499999999999999E-2</v>
      </c>
      <c r="L329" s="242">
        <f>SUMIF('Cjenik VSO'!$B$9:$B$85,$B329,'Cjenik VSO'!$C$9:$C$85)</f>
        <v>107.11</v>
      </c>
      <c r="M329" s="64">
        <f t="shared" si="18"/>
        <v>4.0166249999999994</v>
      </c>
    </row>
    <row r="330" spans="1:13" ht="25.15" customHeight="1">
      <c r="A330" s="16"/>
      <c r="B330" s="851" t="str">
        <f>'Obrazac kalkulacije'!$B$15</f>
        <v>Materijali:</v>
      </c>
      <c r="C330" s="851"/>
      <c r="D330" s="16"/>
      <c r="E330" s="16"/>
      <c r="F330" s="243"/>
      <c r="G330" s="18">
        <f>SUM(G331:G332)</f>
        <v>2800</v>
      </c>
      <c r="I330" s="709"/>
      <c r="J330" s="16"/>
      <c r="K330" s="16"/>
      <c r="L330" s="243"/>
      <c r="M330" s="18">
        <f>SUM(M331:M332)</f>
        <v>600</v>
      </c>
    </row>
    <row r="331" spans="1:13" ht="25.15" customHeight="1">
      <c r="A331" s="77"/>
      <c r="B331" s="856" t="s">
        <v>108</v>
      </c>
      <c r="C331" s="856"/>
      <c r="D331" s="78">
        <f>'Cjenik M'!$C$100</f>
        <v>0</v>
      </c>
      <c r="E331" s="79">
        <v>1</v>
      </c>
      <c r="F331" s="254">
        <f>'Cjenik M'!D13</f>
        <v>2200</v>
      </c>
      <c r="G331" s="80">
        <f>+F331*E331</f>
        <v>2200</v>
      </c>
      <c r="I331" s="710"/>
      <c r="J331" s="78">
        <f>'Cjenik M'!$C$100</f>
        <v>0</v>
      </c>
      <c r="K331" s="79">
        <v>1</v>
      </c>
      <c r="L331" s="254">
        <f>'Cjenik M'!$D$100</f>
        <v>0</v>
      </c>
      <c r="M331" s="80">
        <f>+L331*K331</f>
        <v>0</v>
      </c>
    </row>
    <row r="332" spans="1:13" ht="25.15" customHeight="1" thickBot="1">
      <c r="A332" s="74"/>
      <c r="B332" s="853" t="str">
        <f>'Cjenik M'!$B$21</f>
        <v>Oznaka ulice</v>
      </c>
      <c r="C332" s="853"/>
      <c r="D332" s="67" t="str">
        <f>'Cjenik M'!$C$21</f>
        <v>kom</v>
      </c>
      <c r="E332" s="81">
        <v>4</v>
      </c>
      <c r="F332" s="249">
        <f>'Cjenik M'!$D$21</f>
        <v>150</v>
      </c>
      <c r="G332" s="70">
        <f>+F332*E332</f>
        <v>600</v>
      </c>
      <c r="I332" s="706"/>
      <c r="J332" s="67" t="str">
        <f>'Cjenik M'!$C$21</f>
        <v>kom</v>
      </c>
      <c r="K332" s="81">
        <v>4</v>
      </c>
      <c r="L332" s="249">
        <f>'Cjenik M'!$D$21</f>
        <v>150</v>
      </c>
      <c r="M332" s="70">
        <f>+L332*K332</f>
        <v>600</v>
      </c>
    </row>
    <row r="333" spans="1:13" ht="25.15" customHeight="1" thickTop="1" thickBot="1">
      <c r="B333" s="47"/>
      <c r="C333" s="24"/>
      <c r="D333" s="25"/>
      <c r="E333" s="147" t="str">
        <f>'Obrazac kalkulacije'!$E$18</f>
        <v>Ukupno (kn):</v>
      </c>
      <c r="F333" s="255"/>
      <c r="G333" s="26">
        <f>ROUND(SUM(G316+G318+G330),2)</f>
        <v>2892.78</v>
      </c>
      <c r="H333" s="269"/>
      <c r="I333" s="24"/>
      <c r="J333" s="25"/>
      <c r="K333" s="147" t="str">
        <f>'Obrazac kalkulacije'!$E$18</f>
        <v>Ukupno (kn):</v>
      </c>
      <c r="L333" s="255"/>
      <c r="M333" s="26">
        <f>ROUND(SUM(M316+M318+M330),2)</f>
        <v>692.89</v>
      </c>
    </row>
    <row r="334" spans="1:13" ht="25.15" customHeight="1" thickTop="1" thickBot="1">
      <c r="E334" s="27" t="str">
        <f>'Obrazac kalkulacije'!$E$19</f>
        <v>PDV:</v>
      </c>
      <c r="F334" s="248">
        <f>'Obrazac kalkulacije'!$F$19</f>
        <v>0.25</v>
      </c>
      <c r="G334" s="29">
        <f>G333*F334</f>
        <v>723.19500000000005</v>
      </c>
      <c r="H334" s="561"/>
      <c r="K334" s="27" t="str">
        <f>'Obrazac kalkulacije'!$E$19</f>
        <v>PDV:</v>
      </c>
      <c r="L334" s="248">
        <f>'Obrazac kalkulacije'!$F$19</f>
        <v>0.25</v>
      </c>
      <c r="M334" s="29">
        <f>M333*L334</f>
        <v>173.2225</v>
      </c>
    </row>
    <row r="335" spans="1:13" ht="25.15" customHeight="1" thickTop="1" thickBot="1">
      <c r="E335" s="148" t="str">
        <f>'Obrazac kalkulacije'!$E$20</f>
        <v>Sveukupno (kn):</v>
      </c>
      <c r="F335" s="256"/>
      <c r="G335" s="29">
        <f>ROUND(SUM(G333:G334),2)</f>
        <v>3615.98</v>
      </c>
      <c r="H335" s="562"/>
      <c r="K335" s="148" t="str">
        <f>'Obrazac kalkulacije'!$E$20</f>
        <v>Sveukupno (kn):</v>
      </c>
      <c r="L335" s="256"/>
      <c r="M335" s="29">
        <f>ROUND(SUM(M333:M334),2)</f>
        <v>866.11</v>
      </c>
    </row>
    <row r="336" spans="1:13" ht="15" customHeight="1" thickTop="1"/>
    <row r="337" spans="1:13" ht="15" customHeight="1"/>
    <row r="338" spans="1:13" ht="15" customHeight="1"/>
    <row r="339" spans="1:13" ht="15" customHeight="1">
      <c r="C339" s="3" t="str">
        <f>'Obrazac kalkulacije'!$C$24</f>
        <v>IZVODITELJ:</v>
      </c>
      <c r="F339" s="841" t="str">
        <f>'Obrazac kalkulacije'!$F$24</f>
        <v>NARUČITELJ:</v>
      </c>
      <c r="G339" s="841"/>
      <c r="I339" s="3" t="str">
        <f>'Obrazac kalkulacije'!$C$24</f>
        <v>IZVODITELJ:</v>
      </c>
      <c r="L339" s="841" t="str">
        <f>'Obrazac kalkulacije'!$F$24</f>
        <v>NARUČITELJ:</v>
      </c>
      <c r="M339" s="841"/>
    </row>
    <row r="340" spans="1:13" ht="25.15" customHeight="1">
      <c r="C340" s="3" t="str">
        <f>'Obrazac kalkulacije'!$C$25</f>
        <v>__________________</v>
      </c>
      <c r="F340" s="841" t="str">
        <f>'Obrazac kalkulacije'!$F$25</f>
        <v>___________________</v>
      </c>
      <c r="G340" s="841"/>
      <c r="I340" s="3" t="str">
        <f>'Obrazac kalkulacije'!$C$25</f>
        <v>__________________</v>
      </c>
      <c r="L340" s="841" t="str">
        <f>'Obrazac kalkulacije'!$F$25</f>
        <v>___________________</v>
      </c>
      <c r="M340" s="841"/>
    </row>
    <row r="341" spans="1:13" ht="15" customHeight="1">
      <c r="G341" s="30"/>
      <c r="M341" s="30"/>
    </row>
    <row r="342" spans="1:13" ht="15" customHeight="1"/>
    <row r="343" spans="1:13" ht="15" customHeight="1">
      <c r="A343" s="144"/>
      <c r="B343" s="145" t="s">
        <v>17</v>
      </c>
      <c r="C343" s="146" t="s">
        <v>56</v>
      </c>
      <c r="D343" s="146"/>
      <c r="E343" s="146"/>
      <c r="F343" s="252"/>
      <c r="G343" s="146"/>
      <c r="I343" s="146" t="s">
        <v>56</v>
      </c>
      <c r="J343" s="146"/>
      <c r="K343" s="146"/>
      <c r="L343" s="252"/>
      <c r="M343" s="146"/>
    </row>
    <row r="344" spans="1:13" ht="15" customHeight="1">
      <c r="A344" s="38"/>
      <c r="B344" s="39" t="s">
        <v>64</v>
      </c>
      <c r="C344" s="8" t="s">
        <v>65</v>
      </c>
      <c r="D344" s="8"/>
      <c r="E344" s="8"/>
      <c r="F344" s="253"/>
      <c r="G344" s="8"/>
      <c r="I344" s="8" t="s">
        <v>65</v>
      </c>
      <c r="J344" s="8"/>
      <c r="K344" s="8"/>
      <c r="L344" s="253"/>
      <c r="M344" s="8"/>
    </row>
    <row r="345" spans="1:13" ht="15" customHeight="1">
      <c r="A345" s="48"/>
      <c r="B345" s="49" t="s">
        <v>98</v>
      </c>
      <c r="C345" s="50" t="s">
        <v>99</v>
      </c>
      <c r="D345" s="50"/>
      <c r="E345" s="50"/>
      <c r="F345" s="250"/>
      <c r="G345" s="50"/>
      <c r="I345" s="50" t="s">
        <v>99</v>
      </c>
      <c r="J345" s="50"/>
      <c r="K345" s="50"/>
      <c r="L345" s="250"/>
      <c r="M345" s="50"/>
    </row>
    <row r="346" spans="1:13" ht="107.25" customHeight="1">
      <c r="A346" s="40"/>
      <c r="B346" s="556" t="s">
        <v>109</v>
      </c>
      <c r="C346" s="852" t="s">
        <v>110</v>
      </c>
      <c r="D346" s="852"/>
      <c r="E346" s="852"/>
      <c r="F346" s="852"/>
      <c r="G346" s="852"/>
      <c r="I346" s="869" t="s">
        <v>111</v>
      </c>
      <c r="J346" s="869"/>
      <c r="K346" s="869"/>
      <c r="L346" s="869"/>
      <c r="M346" s="869"/>
    </row>
    <row r="347" spans="1:13" ht="15" customHeight="1" thickBot="1"/>
    <row r="348" spans="1:13" ht="30" customHeight="1" thickTop="1" thickBot="1">
      <c r="A348" s="10"/>
      <c r="B348" s="835" t="str">
        <f>'Obrazac kalkulacije'!$B$6:$C$6</f>
        <v>Opis</v>
      </c>
      <c r="C348" s="835"/>
      <c r="D348" s="10" t="str">
        <f>'Obrazac kalkulacije'!$D$6</f>
        <v>Jed.
mjere</v>
      </c>
      <c r="E348" s="10" t="str">
        <f>'Obrazac kalkulacije'!$E$6</f>
        <v>Normativ</v>
      </c>
      <c r="F348" s="10" t="str">
        <f>'Obrazac kalkulacije'!$F$6</f>
        <v>Jed.
cijena</v>
      </c>
      <c r="G348" s="10" t="str">
        <f>'Obrazac kalkulacije'!$G$6</f>
        <v>Iznos</v>
      </c>
      <c r="I348" s="703"/>
      <c r="J348" s="10" t="str">
        <f>'Obrazac kalkulacije'!$D$6</f>
        <v>Jed.
mjere</v>
      </c>
      <c r="K348" s="10" t="str">
        <f>'Obrazac kalkulacije'!$E$6</f>
        <v>Normativ</v>
      </c>
      <c r="L348" s="10" t="str">
        <f>'Obrazac kalkulacije'!$F$6</f>
        <v>Jed.
cijena</v>
      </c>
      <c r="M348" s="10" t="str">
        <f>'Obrazac kalkulacije'!$G$6</f>
        <v>Iznos</v>
      </c>
    </row>
    <row r="349" spans="1:13" ht="4.5" customHeight="1" thickTop="1">
      <c r="B349" s="42"/>
      <c r="C349" s="1"/>
      <c r="D349" s="11"/>
      <c r="E349" s="13"/>
      <c r="F349" s="245"/>
      <c r="G349" s="15"/>
      <c r="I349" s="1"/>
      <c r="J349" s="11"/>
      <c r="K349" s="13"/>
      <c r="L349" s="245"/>
      <c r="M349" s="15"/>
    </row>
    <row r="350" spans="1:13" ht="25.15" customHeight="1">
      <c r="A350" s="16"/>
      <c r="B350" s="17" t="str">
        <f>'Obrazac kalkulacije'!$B$8</f>
        <v>Radna snaga:</v>
      </c>
      <c r="C350" s="17"/>
      <c r="D350" s="16"/>
      <c r="E350" s="16"/>
      <c r="F350" s="246"/>
      <c r="G350" s="18">
        <f>SUM(G351:G351)</f>
        <v>17.504999999999999</v>
      </c>
      <c r="I350" s="17"/>
      <c r="J350" s="16"/>
      <c r="K350" s="16"/>
      <c r="L350" s="246"/>
      <c r="M350" s="18">
        <f>SUM(M351:M351)</f>
        <v>17.50503501</v>
      </c>
    </row>
    <row r="351" spans="1:13" ht="25.15" customHeight="1">
      <c r="A351" s="32"/>
      <c r="B351" s="854" t="s">
        <v>57</v>
      </c>
      <c r="C351" s="854"/>
      <c r="D351" s="33" t="s">
        <v>51</v>
      </c>
      <c r="E351" s="34">
        <v>0.16666666666666666</v>
      </c>
      <c r="F351" s="243">
        <f>SUMIF('Cjenik RS'!$C$11:$C$26,$B351,'Cjenik RS'!$D$11:$D$90)</f>
        <v>105.03</v>
      </c>
      <c r="G351" s="35">
        <f>+F351*E351</f>
        <v>17.504999999999999</v>
      </c>
      <c r="I351" s="701"/>
      <c r="J351" s="33" t="s">
        <v>51</v>
      </c>
      <c r="K351" s="34">
        <v>0.16666700000000001</v>
      </c>
      <c r="L351" s="243">
        <f>SUMIF('Cjenik RS'!$C$11:$C$26,$B351,'Cjenik RS'!$D$11:$D$90)</f>
        <v>105.03</v>
      </c>
      <c r="M351" s="35">
        <f>+L351*K351</f>
        <v>17.50503501</v>
      </c>
    </row>
    <row r="352" spans="1:13" ht="25.15" customHeight="1">
      <c r="A352" s="16"/>
      <c r="B352" s="17" t="str">
        <f>'Obrazac kalkulacije'!$B$11</f>
        <v>Vozila, strojevi i oprema:</v>
      </c>
      <c r="C352" s="17"/>
      <c r="D352" s="16"/>
      <c r="E352" s="16"/>
      <c r="F352" s="243"/>
      <c r="G352" s="18">
        <f>SUM(G353:G363)</f>
        <v>75.276041666666657</v>
      </c>
      <c r="I352" s="17"/>
      <c r="J352" s="16"/>
      <c r="K352" s="16"/>
      <c r="L352" s="243"/>
      <c r="M352" s="18">
        <f>SUM(M353:M363)</f>
        <v>75.383922850000005</v>
      </c>
    </row>
    <row r="353" spans="1:13" ht="25.15" customHeight="1">
      <c r="A353" s="56"/>
      <c r="B353" s="839" t="s">
        <v>75</v>
      </c>
      <c r="C353" s="839"/>
      <c r="D353" s="57" t="s">
        <v>51</v>
      </c>
      <c r="E353" s="92">
        <v>4.1666666666666666E-3</v>
      </c>
      <c r="F353" s="241">
        <f>SUMIF('Cjenik VSO'!$B$9:$B$85,$B353,'Cjenik VSO'!$C$9:$C$85)</f>
        <v>718.97</v>
      </c>
      <c r="G353" s="59">
        <f t="shared" ref="G353:G363" si="19">E353*F353</f>
        <v>2.9957083333333334</v>
      </c>
      <c r="I353" s="707"/>
      <c r="J353" s="57" t="s">
        <v>51</v>
      </c>
      <c r="K353" s="92">
        <v>4.1660000000000004E-3</v>
      </c>
      <c r="L353" s="241">
        <f>SUMIF('Cjenik VSO'!$B$9:$B$85,$B353,'Cjenik VSO'!$C$9:$C$85)</f>
        <v>718.97</v>
      </c>
      <c r="M353" s="59">
        <f t="shared" ref="M353:M363" si="20">K353*L353</f>
        <v>2.9952290200000005</v>
      </c>
    </row>
    <row r="354" spans="1:13" ht="25.15" customHeight="1">
      <c r="A354" s="56"/>
      <c r="B354" s="839" t="s">
        <v>60</v>
      </c>
      <c r="C354" s="839"/>
      <c r="D354" s="57" t="s">
        <v>51</v>
      </c>
      <c r="E354" s="92">
        <v>8.3333333333333332E-3</v>
      </c>
      <c r="F354" s="241">
        <f>SUMIF('Cjenik VSO'!$B$9:$B$85,$B354,'Cjenik VSO'!$C$9:$C$85)</f>
        <v>328.73</v>
      </c>
      <c r="G354" s="59">
        <f t="shared" si="19"/>
        <v>2.7394166666666666</v>
      </c>
      <c r="I354" s="707"/>
      <c r="J354" s="57" t="s">
        <v>51</v>
      </c>
      <c r="K354" s="92">
        <v>8.2909999999999998E-3</v>
      </c>
      <c r="L354" s="241">
        <f>SUMIF('Cjenik VSO'!$B$9:$B$85,$B354,'Cjenik VSO'!$C$9:$C$85)</f>
        <v>328.73</v>
      </c>
      <c r="M354" s="59">
        <f t="shared" si="20"/>
        <v>2.7255004299999999</v>
      </c>
    </row>
    <row r="355" spans="1:13" ht="25.15" customHeight="1">
      <c r="A355" s="56"/>
      <c r="B355" s="839" t="s">
        <v>61</v>
      </c>
      <c r="C355" s="839"/>
      <c r="D355" s="57" t="s">
        <v>51</v>
      </c>
      <c r="E355" s="92">
        <v>8.3333333333333332E-3</v>
      </c>
      <c r="F355" s="241">
        <f>SUMIF('Cjenik VSO'!$B$9:$B$85,$B355,'Cjenik VSO'!$C$9:$C$85)</f>
        <v>62.67</v>
      </c>
      <c r="G355" s="59">
        <f t="shared" si="19"/>
        <v>0.52224999999999999</v>
      </c>
      <c r="I355" s="707"/>
      <c r="J355" s="57" t="s">
        <v>51</v>
      </c>
      <c r="K355" s="92">
        <v>8.2909999999999998E-3</v>
      </c>
      <c r="L355" s="241">
        <f>SUMIF('Cjenik VSO'!$B$9:$B$85,$B355,'Cjenik VSO'!$C$9:$C$85)</f>
        <v>62.67</v>
      </c>
      <c r="M355" s="59">
        <f t="shared" si="20"/>
        <v>0.51959697000000005</v>
      </c>
    </row>
    <row r="356" spans="1:13" ht="25.15" customHeight="1">
      <c r="A356" s="56"/>
      <c r="B356" s="839" t="s">
        <v>73</v>
      </c>
      <c r="C356" s="839"/>
      <c r="D356" s="57" t="s">
        <v>51</v>
      </c>
      <c r="E356" s="92">
        <v>8.3333333333333332E-3</v>
      </c>
      <c r="F356" s="241">
        <f>SUMIF('Cjenik VSO'!$B$9:$B$85,$B356,'Cjenik VSO'!$C$9:$C$85)</f>
        <v>291.72000000000003</v>
      </c>
      <c r="G356" s="59">
        <f t="shared" si="19"/>
        <v>2.431</v>
      </c>
      <c r="I356" s="707"/>
      <c r="J356" s="57" t="s">
        <v>51</v>
      </c>
      <c r="K356" s="92">
        <v>9.3749999999999997E-3</v>
      </c>
      <c r="L356" s="241">
        <f>SUMIF('Cjenik VSO'!$B$9:$B$85,$B356,'Cjenik VSO'!$C$9:$C$85)</f>
        <v>291.72000000000003</v>
      </c>
      <c r="M356" s="59">
        <f t="shared" si="20"/>
        <v>2.7348750000000002</v>
      </c>
    </row>
    <row r="357" spans="1:13" ht="25.15" customHeight="1">
      <c r="A357" s="56"/>
      <c r="B357" s="839" t="s">
        <v>74</v>
      </c>
      <c r="C357" s="839"/>
      <c r="D357" s="57" t="s">
        <v>51</v>
      </c>
      <c r="E357" s="92">
        <v>3.7499999999999999E-2</v>
      </c>
      <c r="F357" s="241">
        <f>SUMIF('Cjenik VSO'!$B$9:$B$85,$B357,'Cjenik VSO'!$C$9:$C$85)</f>
        <v>355.64</v>
      </c>
      <c r="G357" s="59">
        <f t="shared" si="19"/>
        <v>13.336499999999999</v>
      </c>
      <c r="I357" s="707"/>
      <c r="J357" s="57" t="s">
        <v>51</v>
      </c>
      <c r="K357" s="92">
        <v>3.7499999999999999E-2</v>
      </c>
      <c r="L357" s="241">
        <f>SUMIF('Cjenik VSO'!$B$9:$B$85,$B357,'Cjenik VSO'!$C$9:$C$85)</f>
        <v>355.64</v>
      </c>
      <c r="M357" s="59">
        <f t="shared" si="20"/>
        <v>13.336499999999999</v>
      </c>
    </row>
    <row r="358" spans="1:13" ht="25.15" customHeight="1">
      <c r="A358" s="56"/>
      <c r="B358" s="839" t="s">
        <v>104</v>
      </c>
      <c r="C358" s="839"/>
      <c r="D358" s="57" t="s">
        <v>51</v>
      </c>
      <c r="E358" s="92">
        <v>3.3333333333333333E-2</v>
      </c>
      <c r="F358" s="241">
        <f>SUMIF('Cjenik VSO'!$B$9:$B$85,$B358,'Cjenik VSO'!$C$9:$C$85)</f>
        <v>693.43</v>
      </c>
      <c r="G358" s="59">
        <f t="shared" si="19"/>
        <v>23.114333333333331</v>
      </c>
      <c r="I358" s="707"/>
      <c r="J358" s="57" t="s">
        <v>51</v>
      </c>
      <c r="K358" s="92">
        <v>3.3333000000000002E-2</v>
      </c>
      <c r="L358" s="241">
        <f>SUMIF('Cjenik VSO'!$B$9:$B$85,$B358,'Cjenik VSO'!$C$9:$C$85)</f>
        <v>693.43</v>
      </c>
      <c r="M358" s="59">
        <f t="shared" si="20"/>
        <v>23.114102190000001</v>
      </c>
    </row>
    <row r="359" spans="1:13" ht="25.15" customHeight="1">
      <c r="A359" s="56"/>
      <c r="B359" s="839" t="s">
        <v>87</v>
      </c>
      <c r="C359" s="839"/>
      <c r="D359" s="57" t="s">
        <v>51</v>
      </c>
      <c r="E359" s="92">
        <v>1.6666666666666666E-2</v>
      </c>
      <c r="F359" s="241">
        <f>SUMIF('Cjenik VSO'!$B$9:$B$85,$B359,'Cjenik VSO'!$C$9:$C$85)</f>
        <v>240.85</v>
      </c>
      <c r="G359" s="59">
        <f t="shared" si="19"/>
        <v>4.0141666666666662</v>
      </c>
      <c r="I359" s="707"/>
      <c r="J359" s="57" t="s">
        <v>51</v>
      </c>
      <c r="K359" s="92">
        <v>1.66666E-2</v>
      </c>
      <c r="L359" s="241">
        <f>SUMIF('Cjenik VSO'!$B$9:$B$85,$B359,'Cjenik VSO'!$C$9:$C$85)</f>
        <v>240.85</v>
      </c>
      <c r="M359" s="59">
        <f t="shared" si="20"/>
        <v>4.0141506099999997</v>
      </c>
    </row>
    <row r="360" spans="1:13" ht="25.15" customHeight="1">
      <c r="A360" s="56"/>
      <c r="B360" s="839" t="s">
        <v>79</v>
      </c>
      <c r="C360" s="839"/>
      <c r="D360" s="57" t="s">
        <v>51</v>
      </c>
      <c r="E360" s="92">
        <v>2.9166666666666667E-2</v>
      </c>
      <c r="F360" s="241">
        <f>SUMIF('Cjenik VSO'!$B$9:$B$85,$B360,'Cjenik VSO'!$C$9:$C$85)</f>
        <v>199.57</v>
      </c>
      <c r="G360" s="59">
        <f t="shared" si="19"/>
        <v>5.8207916666666666</v>
      </c>
      <c r="I360" s="707"/>
      <c r="J360" s="57" t="s">
        <v>51</v>
      </c>
      <c r="K360" s="92">
        <v>1.6666E-2</v>
      </c>
      <c r="L360" s="241">
        <f>SUMIF('Cjenik VSO'!$B$9:$B$85,$B360,'Cjenik VSO'!$C$9:$C$85)</f>
        <v>199.57</v>
      </c>
      <c r="M360" s="59">
        <f t="shared" si="20"/>
        <v>3.32603362</v>
      </c>
    </row>
    <row r="361" spans="1:13" ht="25.15" customHeight="1">
      <c r="A361" s="56"/>
      <c r="B361" s="839" t="s">
        <v>88</v>
      </c>
      <c r="C361" s="839"/>
      <c r="D361" s="57" t="s">
        <v>51</v>
      </c>
      <c r="E361" s="92">
        <v>5.8333333333333334E-2</v>
      </c>
      <c r="F361" s="241">
        <f>SUMIF('Cjenik VSO'!$B$9:$B$85,$B361,'Cjenik VSO'!$C$9:$C$85)</f>
        <v>269.36</v>
      </c>
      <c r="G361" s="59">
        <f t="shared" si="19"/>
        <v>15.712666666666667</v>
      </c>
      <c r="I361" s="707"/>
      <c r="J361" s="57" t="s">
        <v>51</v>
      </c>
      <c r="K361" s="92">
        <v>6.6666000000000003E-2</v>
      </c>
      <c r="L361" s="241">
        <f>SUMIF('Cjenik VSO'!$B$9:$B$85,$B361,'Cjenik VSO'!$C$9:$C$85)</f>
        <v>269.36</v>
      </c>
      <c r="M361" s="59">
        <f t="shared" si="20"/>
        <v>17.957153760000001</v>
      </c>
    </row>
    <row r="362" spans="1:13" ht="25.15" customHeight="1">
      <c r="A362" s="56"/>
      <c r="B362" s="839" t="s">
        <v>80</v>
      </c>
      <c r="C362" s="839"/>
      <c r="D362" s="57" t="s">
        <v>51</v>
      </c>
      <c r="E362" s="92">
        <v>8.3333333333333332E-3</v>
      </c>
      <c r="F362" s="241">
        <f>SUMIF('Cjenik VSO'!$B$9:$B$85,$B362,'Cjenik VSO'!$C$9:$C$85)</f>
        <v>68.709999999999994</v>
      </c>
      <c r="G362" s="59">
        <f t="shared" si="19"/>
        <v>0.57258333333333322</v>
      </c>
      <c r="I362" s="707"/>
      <c r="J362" s="57" t="s">
        <v>51</v>
      </c>
      <c r="K362" s="92">
        <v>9.3749999999999997E-3</v>
      </c>
      <c r="L362" s="241">
        <f>SUMIF('Cjenik VSO'!$B$9:$B$85,$B362,'Cjenik VSO'!$C$9:$C$85)</f>
        <v>68.709999999999994</v>
      </c>
      <c r="M362" s="59">
        <f t="shared" si="20"/>
        <v>0.64415624999999987</v>
      </c>
    </row>
    <row r="363" spans="1:13" ht="25.15" customHeight="1">
      <c r="A363" s="61"/>
      <c r="B363" s="855" t="s">
        <v>81</v>
      </c>
      <c r="C363" s="855"/>
      <c r="D363" s="62" t="s">
        <v>51</v>
      </c>
      <c r="E363" s="87">
        <v>3.7499999999999999E-2</v>
      </c>
      <c r="F363" s="242">
        <f>SUMIF('Cjenik VSO'!$B$9:$B$85,$B363,'Cjenik VSO'!$C$9:$C$85)</f>
        <v>107.11</v>
      </c>
      <c r="G363" s="64">
        <f t="shared" si="19"/>
        <v>4.0166249999999994</v>
      </c>
      <c r="I363" s="708"/>
      <c r="J363" s="62" t="s">
        <v>51</v>
      </c>
      <c r="K363" s="87">
        <v>3.7499999999999999E-2</v>
      </c>
      <c r="L363" s="242">
        <f>SUMIF('Cjenik VSO'!$B$9:$B$85,$B363,'Cjenik VSO'!$C$9:$C$85)</f>
        <v>107.11</v>
      </c>
      <c r="M363" s="64">
        <f t="shared" si="20"/>
        <v>4.0166249999999994</v>
      </c>
    </row>
    <row r="364" spans="1:13" ht="25.15" customHeight="1">
      <c r="A364" s="16"/>
      <c r="B364" s="851" t="str">
        <f>'Obrazac kalkulacije'!$B$15</f>
        <v>Materijali:</v>
      </c>
      <c r="C364" s="851"/>
      <c r="D364" s="16"/>
      <c r="E364" s="16"/>
      <c r="F364" s="243"/>
      <c r="G364" s="18">
        <f>SUM(G365:G366)</f>
        <v>13800</v>
      </c>
      <c r="I364" s="709"/>
      <c r="J364" s="16"/>
      <c r="K364" s="16"/>
      <c r="L364" s="243"/>
      <c r="M364" s="18">
        <f>SUM(M365:M366)</f>
        <v>13800</v>
      </c>
    </row>
    <row r="365" spans="1:13" ht="25.15" customHeight="1">
      <c r="A365" s="77"/>
      <c r="B365" s="856" t="str">
        <f>'Cjenik M'!$B$15</f>
        <v>Prometna ploča površine veće od 8,00 m2</v>
      </c>
      <c r="C365" s="856"/>
      <c r="D365" s="78" t="str">
        <f>'Cjenik M'!$C$15</f>
        <v>kom</v>
      </c>
      <c r="E365" s="79">
        <v>1</v>
      </c>
      <c r="F365" s="254">
        <f>'Cjenik M'!$D$15</f>
        <v>13200</v>
      </c>
      <c r="G365" s="80">
        <f>+F365*E365</f>
        <v>13200</v>
      </c>
      <c r="I365" s="710"/>
      <c r="J365" s="78" t="str">
        <f>'Cjenik M'!$C$15</f>
        <v>kom</v>
      </c>
      <c r="K365" s="79">
        <v>1</v>
      </c>
      <c r="L365" s="254">
        <f>'Cjenik M'!$D$15</f>
        <v>13200</v>
      </c>
      <c r="M365" s="80">
        <f>+L365*K365</f>
        <v>13200</v>
      </c>
    </row>
    <row r="366" spans="1:13" ht="25.15" customHeight="1" thickBot="1">
      <c r="A366" s="74"/>
      <c r="B366" s="853" t="str">
        <f>'Cjenik M'!$B$21</f>
        <v>Oznaka ulice</v>
      </c>
      <c r="C366" s="853"/>
      <c r="D366" s="67" t="str">
        <f>'Cjenik M'!$C$21</f>
        <v>kom</v>
      </c>
      <c r="E366" s="81">
        <v>4</v>
      </c>
      <c r="F366" s="249">
        <f>'Cjenik M'!$D$21</f>
        <v>150</v>
      </c>
      <c r="G366" s="70">
        <f>+F366*E366</f>
        <v>600</v>
      </c>
      <c r="I366" s="706"/>
      <c r="J366" s="67" t="str">
        <f>'Cjenik M'!$C$21</f>
        <v>kom</v>
      </c>
      <c r="K366" s="81">
        <v>4</v>
      </c>
      <c r="L366" s="249">
        <f>'Cjenik M'!$D$21</f>
        <v>150</v>
      </c>
      <c r="M366" s="70">
        <f>+L366*K366</f>
        <v>600</v>
      </c>
    </row>
    <row r="367" spans="1:13" ht="25.15" customHeight="1" thickTop="1" thickBot="1">
      <c r="B367" s="47"/>
      <c r="C367" s="24"/>
      <c r="D367" s="25"/>
      <c r="E367" s="147" t="str">
        <f>'Obrazac kalkulacije'!$E$18</f>
        <v>Ukupno (kn):</v>
      </c>
      <c r="F367" s="255"/>
      <c r="G367" s="26">
        <f>ROUND(SUM(G350+G352+G364),2)</f>
        <v>13892.78</v>
      </c>
      <c r="H367" s="269"/>
      <c r="I367" s="24"/>
      <c r="J367" s="25"/>
      <c r="K367" s="147" t="str">
        <f>'Obrazac kalkulacije'!$E$18</f>
        <v>Ukupno (kn):</v>
      </c>
      <c r="L367" s="255"/>
      <c r="M367" s="26">
        <f>ROUND(SUM(M350+M352+M364),2)</f>
        <v>13892.89</v>
      </c>
    </row>
    <row r="368" spans="1:13" ht="25.15" customHeight="1" thickTop="1" thickBot="1">
      <c r="E368" s="27" t="str">
        <f>'Obrazac kalkulacije'!$E$19</f>
        <v>PDV:</v>
      </c>
      <c r="F368" s="248">
        <f>'Obrazac kalkulacije'!$F$19</f>
        <v>0.25</v>
      </c>
      <c r="G368" s="29">
        <f>G367*F368</f>
        <v>3473.1950000000002</v>
      </c>
      <c r="H368" s="561"/>
      <c r="K368" s="27" t="str">
        <f>'Obrazac kalkulacije'!$E$19</f>
        <v>PDV:</v>
      </c>
      <c r="L368" s="248">
        <f>'Obrazac kalkulacije'!$F$19</f>
        <v>0.25</v>
      </c>
      <c r="M368" s="29">
        <f>M367*L368</f>
        <v>3473.2224999999999</v>
      </c>
    </row>
    <row r="369" spans="1:13" ht="25.15" customHeight="1" thickTop="1" thickBot="1">
      <c r="E369" s="148" t="str">
        <f>'Obrazac kalkulacije'!$E$20</f>
        <v>Sveukupno (kn):</v>
      </c>
      <c r="F369" s="256"/>
      <c r="G369" s="29">
        <f>ROUND(SUM(G367:G368),2)</f>
        <v>17365.98</v>
      </c>
      <c r="H369" s="562"/>
      <c r="K369" s="148" t="str">
        <f>'Obrazac kalkulacije'!$E$20</f>
        <v>Sveukupno (kn):</v>
      </c>
      <c r="L369" s="256"/>
      <c r="M369" s="29">
        <f>ROUND(SUM(M367:M368),2)</f>
        <v>17366.11</v>
      </c>
    </row>
    <row r="370" spans="1:13" ht="15" customHeight="1" thickTop="1"/>
    <row r="371" spans="1:13" ht="15" customHeight="1"/>
    <row r="372" spans="1:13" ht="15" customHeight="1"/>
    <row r="373" spans="1:13" ht="15" customHeight="1">
      <c r="C373" s="3" t="str">
        <f>'Obrazac kalkulacije'!$C$24</f>
        <v>IZVODITELJ:</v>
      </c>
      <c r="F373" s="841" t="str">
        <f>'Obrazac kalkulacije'!$F$24</f>
        <v>NARUČITELJ:</v>
      </c>
      <c r="G373" s="841"/>
      <c r="I373" s="3" t="str">
        <f>'Obrazac kalkulacije'!$C$24</f>
        <v>IZVODITELJ:</v>
      </c>
      <c r="L373" s="841" t="str">
        <f>'Obrazac kalkulacije'!$F$24</f>
        <v>NARUČITELJ:</v>
      </c>
      <c r="M373" s="841"/>
    </row>
    <row r="374" spans="1:13" ht="25.15" customHeight="1">
      <c r="C374" s="3" t="str">
        <f>'Obrazac kalkulacije'!$C$25</f>
        <v>__________________</v>
      </c>
      <c r="F374" s="841" t="str">
        <f>'Obrazac kalkulacije'!$F$25</f>
        <v>___________________</v>
      </c>
      <c r="G374" s="841"/>
      <c r="I374" s="3" t="str">
        <f>'Obrazac kalkulacije'!$C$25</f>
        <v>__________________</v>
      </c>
      <c r="L374" s="841" t="str">
        <f>'Obrazac kalkulacije'!$F$25</f>
        <v>___________________</v>
      </c>
      <c r="M374" s="841"/>
    </row>
    <row r="375" spans="1:13" ht="15" customHeight="1">
      <c r="G375" s="30"/>
      <c r="M375" s="30"/>
    </row>
    <row r="376" spans="1:13" ht="15" customHeight="1"/>
    <row r="377" spans="1:13" ht="15" customHeight="1">
      <c r="A377" s="144"/>
      <c r="B377" s="145" t="s">
        <v>17</v>
      </c>
      <c r="C377" s="146" t="s">
        <v>56</v>
      </c>
      <c r="D377" s="146"/>
      <c r="E377" s="146"/>
      <c r="F377" s="252"/>
      <c r="G377" s="146"/>
      <c r="I377" s="146" t="s">
        <v>56</v>
      </c>
      <c r="J377" s="146"/>
      <c r="K377" s="146"/>
      <c r="L377" s="252"/>
      <c r="M377" s="146"/>
    </row>
    <row r="378" spans="1:13" ht="15" customHeight="1">
      <c r="A378" s="38"/>
      <c r="B378" s="39" t="s">
        <v>64</v>
      </c>
      <c r="C378" s="8" t="s">
        <v>65</v>
      </c>
      <c r="D378" s="8"/>
      <c r="E378" s="8"/>
      <c r="F378" s="253"/>
      <c r="G378" s="8"/>
      <c r="I378" s="8" t="s">
        <v>65</v>
      </c>
      <c r="J378" s="8"/>
      <c r="K378" s="8"/>
      <c r="L378" s="253"/>
      <c r="M378" s="8"/>
    </row>
    <row r="379" spans="1:13" ht="15" customHeight="1">
      <c r="A379" s="48"/>
      <c r="B379" s="49" t="s">
        <v>98</v>
      </c>
      <c r="C379" s="50" t="s">
        <v>99</v>
      </c>
      <c r="D379" s="50"/>
      <c r="E379" s="50"/>
      <c r="F379" s="250"/>
      <c r="G379" s="50"/>
      <c r="I379" s="50" t="s">
        <v>99</v>
      </c>
      <c r="J379" s="50"/>
      <c r="K379" s="50"/>
      <c r="L379" s="250"/>
      <c r="M379" s="50"/>
    </row>
    <row r="380" spans="1:13" ht="150" customHeight="1">
      <c r="A380" s="40"/>
      <c r="B380" s="556" t="s">
        <v>112</v>
      </c>
      <c r="C380" s="852" t="s">
        <v>113</v>
      </c>
      <c r="D380" s="852"/>
      <c r="E380" s="852"/>
      <c r="F380" s="852"/>
      <c r="G380" s="852"/>
      <c r="I380" s="869" t="s">
        <v>114</v>
      </c>
      <c r="J380" s="869"/>
      <c r="K380" s="869"/>
      <c r="L380" s="869"/>
      <c r="M380" s="869"/>
    </row>
    <row r="381" spans="1:13" ht="15" customHeight="1" thickBot="1"/>
    <row r="382" spans="1:13" ht="30" customHeight="1" thickTop="1" thickBot="1">
      <c r="A382" s="10"/>
      <c r="B382" s="835" t="str">
        <f>'Obrazac kalkulacije'!$B$6:$C$6</f>
        <v>Opis</v>
      </c>
      <c r="C382" s="835"/>
      <c r="D382" s="10" t="str">
        <f>'Obrazac kalkulacije'!$D$6</f>
        <v>Jed.
mjere</v>
      </c>
      <c r="E382" s="10" t="str">
        <f>'Obrazac kalkulacije'!$E$6</f>
        <v>Normativ</v>
      </c>
      <c r="F382" s="10" t="str">
        <f>'Obrazac kalkulacije'!$F$6</f>
        <v>Jed.
cijena</v>
      </c>
      <c r="G382" s="10" t="str">
        <f>'Obrazac kalkulacije'!$G$6</f>
        <v>Iznos</v>
      </c>
      <c r="I382" s="703"/>
      <c r="J382" s="10" t="str">
        <f>'Obrazac kalkulacije'!$D$6</f>
        <v>Jed.
mjere</v>
      </c>
      <c r="K382" s="10" t="str">
        <f>'Obrazac kalkulacije'!$E$6</f>
        <v>Normativ</v>
      </c>
      <c r="L382" s="10" t="str">
        <f>'Obrazac kalkulacije'!$F$6</f>
        <v>Jed.
cijena</v>
      </c>
      <c r="M382" s="10" t="str">
        <f>'Obrazac kalkulacije'!$G$6</f>
        <v>Iznos</v>
      </c>
    </row>
    <row r="383" spans="1:13" ht="4.5" customHeight="1" thickTop="1">
      <c r="B383" s="42"/>
      <c r="C383" s="1"/>
      <c r="D383" s="11"/>
      <c r="E383" s="13"/>
      <c r="F383" s="245"/>
      <c r="G383" s="15"/>
      <c r="I383" s="1"/>
      <c r="J383" s="11"/>
      <c r="K383" s="13"/>
      <c r="L383" s="245"/>
      <c r="M383" s="15"/>
    </row>
    <row r="384" spans="1:13" ht="25.15" customHeight="1">
      <c r="A384" s="16"/>
      <c r="B384" s="17" t="str">
        <f>'Obrazac kalkulacije'!$B$8</f>
        <v>Radna snaga:</v>
      </c>
      <c r="C384" s="17"/>
      <c r="D384" s="16"/>
      <c r="E384" s="16"/>
      <c r="F384" s="246"/>
      <c r="G384" s="18">
        <f>SUM(G385:G385)</f>
        <v>1.7504999999999999</v>
      </c>
      <c r="I384" s="17"/>
      <c r="J384" s="16"/>
      <c r="K384" s="16"/>
      <c r="L384" s="246"/>
      <c r="M384" s="18">
        <f>SUM(M385:M385)</f>
        <v>1.7505350100000001</v>
      </c>
    </row>
    <row r="385" spans="1:13" ht="25.15" customHeight="1">
      <c r="A385" s="32"/>
      <c r="B385" s="854" t="s">
        <v>57</v>
      </c>
      <c r="C385" s="854"/>
      <c r="D385" s="33" t="s">
        <v>51</v>
      </c>
      <c r="E385" s="34">
        <f>E351*0.1</f>
        <v>1.6666666666666666E-2</v>
      </c>
      <c r="F385" s="243">
        <f>SUMIF('Cjenik RS'!$C$11:$C$26,$B385,'Cjenik RS'!$D$11:$D$90)</f>
        <v>105.03</v>
      </c>
      <c r="G385" s="35">
        <f>+F385*E385</f>
        <v>1.7504999999999999</v>
      </c>
      <c r="I385" s="701"/>
      <c r="J385" s="33" t="s">
        <v>51</v>
      </c>
      <c r="K385" s="34">
        <v>1.6667000000000001E-2</v>
      </c>
      <c r="L385" s="243">
        <f>SUMIF('Cjenik RS'!$C$11:$C$26,$B385,'Cjenik RS'!$D$11:$D$90)</f>
        <v>105.03</v>
      </c>
      <c r="M385" s="35">
        <f>+L385*K385</f>
        <v>1.7505350100000001</v>
      </c>
    </row>
    <row r="386" spans="1:13" ht="25.15" customHeight="1">
      <c r="A386" s="16"/>
      <c r="B386" s="17" t="str">
        <f>'Obrazac kalkulacije'!$B$11</f>
        <v>Vozila, strojevi i oprema:</v>
      </c>
      <c r="C386" s="17"/>
      <c r="D386" s="16"/>
      <c r="E386" s="16"/>
      <c r="F386" s="243"/>
      <c r="G386" s="18">
        <f>SUM(G387:G397)</f>
        <v>7.5276041666666673</v>
      </c>
      <c r="I386" s="17"/>
      <c r="J386" s="16"/>
      <c r="K386" s="16"/>
      <c r="L386" s="243"/>
      <c r="M386" s="18">
        <f>SUM(M387:M397)</f>
        <v>7.5388823800000004</v>
      </c>
    </row>
    <row r="387" spans="1:13" ht="25.15" customHeight="1">
      <c r="A387" s="56"/>
      <c r="B387" s="839" t="s">
        <v>75</v>
      </c>
      <c r="C387" s="839"/>
      <c r="D387" s="57" t="s">
        <v>51</v>
      </c>
      <c r="E387" s="34">
        <f t="shared" ref="E387:E397" si="21">E353*0.1</f>
        <v>4.1666666666666669E-4</v>
      </c>
      <c r="F387" s="241">
        <f>SUMIF('Cjenik VSO'!$B$9:$B$85,$B387,'Cjenik VSO'!$C$9:$C$85)</f>
        <v>718.97</v>
      </c>
      <c r="G387" s="59">
        <f t="shared" ref="G387:G397" si="22">E387*F387</f>
        <v>0.29957083333333334</v>
      </c>
      <c r="I387" s="707"/>
      <c r="J387" s="57" t="s">
        <v>51</v>
      </c>
      <c r="K387" s="92">
        <v>4.17E-4</v>
      </c>
      <c r="L387" s="241">
        <f>SUMIF('Cjenik VSO'!$B$9:$B$85,$B387,'Cjenik VSO'!$C$9:$C$85)</f>
        <v>718.97</v>
      </c>
      <c r="M387" s="59">
        <f t="shared" ref="M387:M397" si="23">K387*L387</f>
        <v>0.29981048999999999</v>
      </c>
    </row>
    <row r="388" spans="1:13" ht="25.15" customHeight="1">
      <c r="A388" s="56"/>
      <c r="B388" s="839" t="s">
        <v>60</v>
      </c>
      <c r="C388" s="839"/>
      <c r="D388" s="57" t="s">
        <v>51</v>
      </c>
      <c r="E388" s="34">
        <f t="shared" si="21"/>
        <v>8.3333333333333339E-4</v>
      </c>
      <c r="F388" s="241">
        <f>SUMIF('Cjenik VSO'!$B$9:$B$85,$B388,'Cjenik VSO'!$C$9:$C$85)</f>
        <v>328.73</v>
      </c>
      <c r="G388" s="59">
        <f t="shared" si="22"/>
        <v>0.27394166666666669</v>
      </c>
      <c r="I388" s="707"/>
      <c r="J388" s="57" t="s">
        <v>51</v>
      </c>
      <c r="K388" s="92">
        <v>8.2899999999999998E-4</v>
      </c>
      <c r="L388" s="241">
        <f>SUMIF('Cjenik VSO'!$B$9:$B$85,$B388,'Cjenik VSO'!$C$9:$C$85)</f>
        <v>328.73</v>
      </c>
      <c r="M388" s="59">
        <f t="shared" si="23"/>
        <v>0.27251717000000003</v>
      </c>
    </row>
    <row r="389" spans="1:13" ht="25.15" customHeight="1">
      <c r="A389" s="56"/>
      <c r="B389" s="839" t="s">
        <v>61</v>
      </c>
      <c r="C389" s="839"/>
      <c r="D389" s="57" t="s">
        <v>51</v>
      </c>
      <c r="E389" s="34">
        <f t="shared" si="21"/>
        <v>8.3333333333333339E-4</v>
      </c>
      <c r="F389" s="241">
        <f>SUMIF('Cjenik VSO'!$B$9:$B$85,$B389,'Cjenik VSO'!$C$9:$C$85)</f>
        <v>62.67</v>
      </c>
      <c r="G389" s="59">
        <f t="shared" si="22"/>
        <v>5.2225000000000008E-2</v>
      </c>
      <c r="I389" s="707"/>
      <c r="J389" s="57" t="s">
        <v>51</v>
      </c>
      <c r="K389" s="92">
        <v>8.2899999999999998E-4</v>
      </c>
      <c r="L389" s="241">
        <f>SUMIF('Cjenik VSO'!$B$9:$B$85,$B389,'Cjenik VSO'!$C$9:$C$85)</f>
        <v>62.67</v>
      </c>
      <c r="M389" s="59">
        <f t="shared" si="23"/>
        <v>5.1953430000000002E-2</v>
      </c>
    </row>
    <row r="390" spans="1:13" ht="25.15" customHeight="1">
      <c r="A390" s="56"/>
      <c r="B390" s="839" t="s">
        <v>73</v>
      </c>
      <c r="C390" s="839"/>
      <c r="D390" s="57" t="s">
        <v>51</v>
      </c>
      <c r="E390" s="34">
        <f t="shared" si="21"/>
        <v>8.3333333333333339E-4</v>
      </c>
      <c r="F390" s="241">
        <f>SUMIF('Cjenik VSO'!$B$9:$B$85,$B390,'Cjenik VSO'!$C$9:$C$85)</f>
        <v>291.72000000000003</v>
      </c>
      <c r="G390" s="59">
        <f t="shared" si="22"/>
        <v>0.24310000000000004</v>
      </c>
      <c r="I390" s="707"/>
      <c r="J390" s="57" t="s">
        <v>51</v>
      </c>
      <c r="K390" s="92">
        <v>9.3800000000000003E-4</v>
      </c>
      <c r="L390" s="241">
        <f>SUMIF('Cjenik VSO'!$B$9:$B$85,$B390,'Cjenik VSO'!$C$9:$C$85)</f>
        <v>291.72000000000003</v>
      </c>
      <c r="M390" s="59">
        <f t="shared" si="23"/>
        <v>0.27363336000000005</v>
      </c>
    </row>
    <row r="391" spans="1:13" ht="25.15" customHeight="1">
      <c r="A391" s="56"/>
      <c r="B391" s="839" t="s">
        <v>74</v>
      </c>
      <c r="C391" s="839"/>
      <c r="D391" s="57" t="s">
        <v>51</v>
      </c>
      <c r="E391" s="34">
        <f t="shared" si="21"/>
        <v>3.7499999999999999E-3</v>
      </c>
      <c r="F391" s="241">
        <f>SUMIF('Cjenik VSO'!$B$9:$B$85,$B391,'Cjenik VSO'!$C$9:$C$85)</f>
        <v>355.64</v>
      </c>
      <c r="G391" s="59">
        <f t="shared" si="22"/>
        <v>1.33365</v>
      </c>
      <c r="I391" s="707"/>
      <c r="J391" s="57" t="s">
        <v>51</v>
      </c>
      <c r="K391" s="92">
        <v>3.7499999999999999E-3</v>
      </c>
      <c r="L391" s="241">
        <f>SUMIF('Cjenik VSO'!$B$9:$B$85,$B391,'Cjenik VSO'!$C$9:$C$85)</f>
        <v>355.64</v>
      </c>
      <c r="M391" s="59">
        <f t="shared" si="23"/>
        <v>1.33365</v>
      </c>
    </row>
    <row r="392" spans="1:13" ht="25.15" customHeight="1">
      <c r="A392" s="56"/>
      <c r="B392" s="839" t="s">
        <v>104</v>
      </c>
      <c r="C392" s="839"/>
      <c r="D392" s="57" t="s">
        <v>51</v>
      </c>
      <c r="E392" s="34">
        <f t="shared" si="21"/>
        <v>3.3333333333333335E-3</v>
      </c>
      <c r="F392" s="241">
        <f>SUMIF('Cjenik VSO'!$B$9:$B$85,$B392,'Cjenik VSO'!$C$9:$C$85)</f>
        <v>693.43</v>
      </c>
      <c r="G392" s="59">
        <f t="shared" si="22"/>
        <v>2.3114333333333335</v>
      </c>
      <c r="I392" s="707"/>
      <c r="J392" s="57" t="s">
        <v>51</v>
      </c>
      <c r="K392" s="92">
        <v>3.333E-3</v>
      </c>
      <c r="L392" s="241">
        <f>SUMIF('Cjenik VSO'!$B$9:$B$85,$B392,'Cjenik VSO'!$C$9:$C$85)</f>
        <v>693.43</v>
      </c>
      <c r="M392" s="59">
        <f t="shared" si="23"/>
        <v>2.3112021899999999</v>
      </c>
    </row>
    <row r="393" spans="1:13" ht="25.15" customHeight="1">
      <c r="A393" s="56"/>
      <c r="B393" s="839" t="s">
        <v>87</v>
      </c>
      <c r="C393" s="839"/>
      <c r="D393" s="57" t="s">
        <v>51</v>
      </c>
      <c r="E393" s="34">
        <f t="shared" si="21"/>
        <v>1.6666666666666668E-3</v>
      </c>
      <c r="F393" s="241">
        <f>SUMIF('Cjenik VSO'!$B$9:$B$85,$B393,'Cjenik VSO'!$C$9:$C$85)</f>
        <v>240.85</v>
      </c>
      <c r="G393" s="59">
        <f t="shared" si="22"/>
        <v>0.4014166666666667</v>
      </c>
      <c r="I393" s="707"/>
      <c r="J393" s="57" t="s">
        <v>51</v>
      </c>
      <c r="K393" s="92">
        <v>1.6670000000000001E-3</v>
      </c>
      <c r="L393" s="241">
        <f>SUMIF('Cjenik VSO'!$B$9:$B$85,$B393,'Cjenik VSO'!$C$9:$C$85)</f>
        <v>240.85</v>
      </c>
      <c r="M393" s="59">
        <f t="shared" si="23"/>
        <v>0.40149695000000002</v>
      </c>
    </row>
    <row r="394" spans="1:13" ht="25.15" customHeight="1">
      <c r="A394" s="56"/>
      <c r="B394" s="839" t="s">
        <v>79</v>
      </c>
      <c r="C394" s="839"/>
      <c r="D394" s="57" t="s">
        <v>51</v>
      </c>
      <c r="E394" s="34">
        <f t="shared" si="21"/>
        <v>2.9166666666666668E-3</v>
      </c>
      <c r="F394" s="241">
        <f>SUMIF('Cjenik VSO'!$B$9:$B$85,$B394,'Cjenik VSO'!$C$9:$C$85)</f>
        <v>199.57</v>
      </c>
      <c r="G394" s="59">
        <f t="shared" si="22"/>
        <v>0.5820791666666667</v>
      </c>
      <c r="I394" s="707"/>
      <c r="J394" s="57" t="s">
        <v>51</v>
      </c>
      <c r="K394" s="92">
        <v>1.6670000000000001E-3</v>
      </c>
      <c r="L394" s="241">
        <f>SUMIF('Cjenik VSO'!$B$9:$B$85,$B394,'Cjenik VSO'!$C$9:$C$85)</f>
        <v>199.57</v>
      </c>
      <c r="M394" s="59">
        <f t="shared" si="23"/>
        <v>0.33268319000000002</v>
      </c>
    </row>
    <row r="395" spans="1:13" ht="25.15" customHeight="1">
      <c r="A395" s="56"/>
      <c r="B395" s="839" t="s">
        <v>88</v>
      </c>
      <c r="C395" s="839"/>
      <c r="D395" s="57" t="s">
        <v>51</v>
      </c>
      <c r="E395" s="34">
        <f t="shared" si="21"/>
        <v>5.8333333333333336E-3</v>
      </c>
      <c r="F395" s="241">
        <f>SUMIF('Cjenik VSO'!$B$9:$B$85,$B395,'Cjenik VSO'!$C$9:$C$85)</f>
        <v>269.36</v>
      </c>
      <c r="G395" s="59">
        <f t="shared" si="22"/>
        <v>1.5712666666666668</v>
      </c>
      <c r="I395" s="707"/>
      <c r="J395" s="57" t="s">
        <v>51</v>
      </c>
      <c r="K395" s="92">
        <v>6.6670000000000002E-3</v>
      </c>
      <c r="L395" s="241">
        <f>SUMIF('Cjenik VSO'!$B$9:$B$85,$B395,'Cjenik VSO'!$C$9:$C$85)</f>
        <v>269.36</v>
      </c>
      <c r="M395" s="59">
        <f t="shared" si="23"/>
        <v>1.7958231200000001</v>
      </c>
    </row>
    <row r="396" spans="1:13" ht="25.15" customHeight="1">
      <c r="A396" s="56"/>
      <c r="B396" s="839" t="s">
        <v>80</v>
      </c>
      <c r="C396" s="839"/>
      <c r="D396" s="57" t="s">
        <v>51</v>
      </c>
      <c r="E396" s="34">
        <f t="shared" si="21"/>
        <v>8.3333333333333339E-4</v>
      </c>
      <c r="F396" s="241">
        <f>SUMIF('Cjenik VSO'!$B$9:$B$85,$B396,'Cjenik VSO'!$C$9:$C$85)</f>
        <v>68.709999999999994</v>
      </c>
      <c r="G396" s="59">
        <f t="shared" si="22"/>
        <v>5.7258333333333335E-2</v>
      </c>
      <c r="I396" s="707"/>
      <c r="J396" s="57" t="s">
        <v>51</v>
      </c>
      <c r="K396" s="92">
        <v>9.3800000000000003E-4</v>
      </c>
      <c r="L396" s="241">
        <f>SUMIF('Cjenik VSO'!$B$9:$B$85,$B396,'Cjenik VSO'!$C$9:$C$85)</f>
        <v>68.709999999999994</v>
      </c>
      <c r="M396" s="59">
        <f t="shared" si="23"/>
        <v>6.444997999999999E-2</v>
      </c>
    </row>
    <row r="397" spans="1:13" ht="25.15" customHeight="1">
      <c r="A397" s="61"/>
      <c r="B397" s="855" t="s">
        <v>81</v>
      </c>
      <c r="C397" s="855"/>
      <c r="D397" s="62" t="s">
        <v>51</v>
      </c>
      <c r="E397" s="34">
        <f t="shared" si="21"/>
        <v>3.7499999999999999E-3</v>
      </c>
      <c r="F397" s="242">
        <f>SUMIF('Cjenik VSO'!$B$9:$B$85,$B397,'Cjenik VSO'!$C$9:$C$85)</f>
        <v>107.11</v>
      </c>
      <c r="G397" s="64">
        <f t="shared" si="22"/>
        <v>0.40166249999999998</v>
      </c>
      <c r="I397" s="708"/>
      <c r="J397" s="62" t="s">
        <v>51</v>
      </c>
      <c r="K397" s="87">
        <v>3.7499999999999999E-3</v>
      </c>
      <c r="L397" s="242">
        <f>SUMIF('Cjenik VSO'!$B$9:$B$85,$B397,'Cjenik VSO'!$C$9:$C$85)</f>
        <v>107.11</v>
      </c>
      <c r="M397" s="64">
        <f t="shared" si="23"/>
        <v>0.40166249999999998</v>
      </c>
    </row>
    <row r="398" spans="1:13" ht="25.15" customHeight="1">
      <c r="A398" s="16"/>
      <c r="B398" s="851" t="str">
        <f>'Obrazac kalkulacije'!$B$15</f>
        <v>Materijali:</v>
      </c>
      <c r="C398" s="851"/>
      <c r="D398" s="16"/>
      <c r="E398" s="16"/>
      <c r="F398" s="243"/>
      <c r="G398" s="18">
        <f>SUM(G399:G400)</f>
        <v>88</v>
      </c>
      <c r="I398" s="709"/>
      <c r="J398" s="16"/>
      <c r="K398" s="16"/>
      <c r="L398" s="243"/>
      <c r="M398" s="18">
        <f>SUM(M399:M400)</f>
        <v>88</v>
      </c>
    </row>
    <row r="399" spans="1:13" ht="25.15" customHeight="1">
      <c r="A399" s="77"/>
      <c r="B399" s="856" t="str">
        <f>'Cjenik M'!$B$16</f>
        <v>INP nosač za prometne ploče</v>
      </c>
      <c r="C399" s="856"/>
      <c r="D399" s="78" t="str">
        <f>'Cjenik M'!$C$16</f>
        <v>m</v>
      </c>
      <c r="E399" s="79">
        <v>0.1</v>
      </c>
      <c r="F399" s="254">
        <f>'Cjenik M'!$D$16</f>
        <v>280</v>
      </c>
      <c r="G399" s="80">
        <f>+F399*E399</f>
        <v>28</v>
      </c>
      <c r="I399" s="710"/>
      <c r="J399" s="78" t="str">
        <f>'Cjenik M'!$C$16</f>
        <v>m</v>
      </c>
      <c r="K399" s="79">
        <v>0.1</v>
      </c>
      <c r="L399" s="254">
        <f>'Cjenik M'!$D$16</f>
        <v>280</v>
      </c>
      <c r="M399" s="80">
        <f>+L399*K399</f>
        <v>28</v>
      </c>
    </row>
    <row r="400" spans="1:13" ht="25.15" customHeight="1" thickBot="1">
      <c r="A400" s="74"/>
      <c r="B400" s="853" t="str">
        <f>'Cjenik M'!$B$21</f>
        <v>Oznaka ulice</v>
      </c>
      <c r="C400" s="853"/>
      <c r="D400" s="67" t="str">
        <f>'Cjenik M'!$C$21</f>
        <v>kom</v>
      </c>
      <c r="E400" s="81">
        <v>0.4</v>
      </c>
      <c r="F400" s="249">
        <f>'Cjenik M'!$D$21</f>
        <v>150</v>
      </c>
      <c r="G400" s="70">
        <f>+F400*E400</f>
        <v>60</v>
      </c>
      <c r="I400" s="706"/>
      <c r="J400" s="67" t="str">
        <f>'Cjenik M'!$C$21</f>
        <v>kom</v>
      </c>
      <c r="K400" s="81">
        <v>0.4</v>
      </c>
      <c r="L400" s="249">
        <f>'Cjenik M'!$D$21</f>
        <v>150</v>
      </c>
      <c r="M400" s="70">
        <f>+L400*K400</f>
        <v>60</v>
      </c>
    </row>
    <row r="401" spans="1:13" ht="25.15" customHeight="1" thickTop="1" thickBot="1">
      <c r="B401" s="47"/>
      <c r="C401" s="24"/>
      <c r="D401" s="25"/>
      <c r="E401" s="147" t="str">
        <f>'Obrazac kalkulacije'!$E$18</f>
        <v>Ukupno (kn):</v>
      </c>
      <c r="F401" s="255"/>
      <c r="G401" s="26">
        <f>ROUND(SUM(G384+G386+G398),2)</f>
        <v>97.28</v>
      </c>
      <c r="H401" s="269"/>
      <c r="I401" s="24"/>
      <c r="J401" s="25"/>
      <c r="K401" s="147" t="str">
        <f>'Obrazac kalkulacije'!$E$18</f>
        <v>Ukupno (kn):</v>
      </c>
      <c r="L401" s="255"/>
      <c r="M401" s="26">
        <f>ROUND(SUM(M384+M386+M398),2)</f>
        <v>97.29</v>
      </c>
    </row>
    <row r="402" spans="1:13" ht="25.15" customHeight="1" thickTop="1" thickBot="1">
      <c r="E402" s="27" t="str">
        <f>'Obrazac kalkulacije'!$E$19</f>
        <v>PDV:</v>
      </c>
      <c r="F402" s="248">
        <f>'Obrazac kalkulacije'!$F$19</f>
        <v>0.25</v>
      </c>
      <c r="G402" s="29">
        <f>G401*F402</f>
        <v>24.32</v>
      </c>
      <c r="H402" s="561"/>
      <c r="K402" s="27" t="str">
        <f>'Obrazac kalkulacije'!$E$19</f>
        <v>PDV:</v>
      </c>
      <c r="L402" s="248">
        <f>'Obrazac kalkulacije'!$F$19</f>
        <v>0.25</v>
      </c>
      <c r="M402" s="29">
        <f>M401*L402</f>
        <v>24.322500000000002</v>
      </c>
    </row>
    <row r="403" spans="1:13" ht="25.15" customHeight="1" thickTop="1" thickBot="1">
      <c r="E403" s="148" t="str">
        <f>'Obrazac kalkulacije'!$E$20</f>
        <v>Sveukupno (kn):</v>
      </c>
      <c r="F403" s="256"/>
      <c r="G403" s="29">
        <f>ROUND(SUM(G401:G402),2)</f>
        <v>121.6</v>
      </c>
      <c r="H403" s="562"/>
      <c r="K403" s="148" t="str">
        <f>'Obrazac kalkulacije'!$E$20</f>
        <v>Sveukupno (kn):</v>
      </c>
      <c r="L403" s="256"/>
      <c r="M403" s="29">
        <f>ROUND(SUM(M401:M402),2)</f>
        <v>121.61</v>
      </c>
    </row>
    <row r="404" spans="1:13" ht="15" customHeight="1" thickTop="1"/>
    <row r="405" spans="1:13" ht="15" customHeight="1"/>
    <row r="406" spans="1:13" ht="15" customHeight="1"/>
    <row r="407" spans="1:13" ht="15" customHeight="1">
      <c r="C407" s="3" t="str">
        <f>'Obrazac kalkulacije'!$C$24</f>
        <v>IZVODITELJ:</v>
      </c>
      <c r="F407" s="841" t="str">
        <f>'Obrazac kalkulacije'!$F$24</f>
        <v>NARUČITELJ:</v>
      </c>
      <c r="G407" s="841"/>
      <c r="I407" s="3" t="str">
        <f>'Obrazac kalkulacije'!$C$24</f>
        <v>IZVODITELJ:</v>
      </c>
      <c r="L407" s="841" t="str">
        <f>'Obrazac kalkulacije'!$F$24</f>
        <v>NARUČITELJ:</v>
      </c>
      <c r="M407" s="841"/>
    </row>
    <row r="408" spans="1:13" ht="25.15" customHeight="1">
      <c r="C408" s="3" t="str">
        <f>'Obrazac kalkulacije'!$C$25</f>
        <v>__________________</v>
      </c>
      <c r="F408" s="841" t="str">
        <f>'Obrazac kalkulacije'!$F$25</f>
        <v>___________________</v>
      </c>
      <c r="G408" s="841"/>
      <c r="I408" s="3" t="str">
        <f>'Obrazac kalkulacije'!$C$25</f>
        <v>__________________</v>
      </c>
      <c r="L408" s="841" t="str">
        <f>'Obrazac kalkulacije'!$F$25</f>
        <v>___________________</v>
      </c>
      <c r="M408" s="841"/>
    </row>
    <row r="409" spans="1:13" ht="15" customHeight="1">
      <c r="F409" s="244">
        <f>'Obrazac kalkulacije'!$F$26</f>
        <v>0</v>
      </c>
      <c r="G409" s="30"/>
      <c r="L409" s="244">
        <f>'Obrazac kalkulacije'!$F$26</f>
        <v>0</v>
      </c>
      <c r="M409" s="30"/>
    </row>
    <row r="410" spans="1:13" ht="15" customHeight="1"/>
    <row r="411" spans="1:13" ht="15" customHeight="1">
      <c r="A411" s="144"/>
      <c r="B411" s="145" t="s">
        <v>17</v>
      </c>
      <c r="C411" s="146" t="s">
        <v>56</v>
      </c>
      <c r="D411" s="146"/>
      <c r="E411" s="146"/>
      <c r="F411" s="252"/>
      <c r="G411" s="146"/>
      <c r="I411" s="146" t="s">
        <v>56</v>
      </c>
      <c r="J411" s="146"/>
      <c r="K411" s="146"/>
      <c r="L411" s="252"/>
      <c r="M411" s="146"/>
    </row>
    <row r="412" spans="1:13" ht="15" customHeight="1">
      <c r="A412" s="38"/>
      <c r="B412" s="39" t="s">
        <v>64</v>
      </c>
      <c r="C412" s="8" t="s">
        <v>65</v>
      </c>
      <c r="D412" s="8"/>
      <c r="E412" s="8"/>
      <c r="F412" s="253"/>
      <c r="G412" s="8"/>
      <c r="I412" s="8" t="s">
        <v>65</v>
      </c>
      <c r="J412" s="8"/>
      <c r="K412" s="8"/>
      <c r="L412" s="253"/>
      <c r="M412" s="8"/>
    </row>
    <row r="413" spans="1:13" ht="15" customHeight="1">
      <c r="A413" s="48"/>
      <c r="B413" s="49" t="s">
        <v>98</v>
      </c>
      <c r="C413" s="50" t="s">
        <v>99</v>
      </c>
      <c r="D413" s="50"/>
      <c r="E413" s="50"/>
      <c r="F413" s="250"/>
      <c r="G413" s="50"/>
      <c r="I413" s="50" t="s">
        <v>99</v>
      </c>
      <c r="J413" s="50"/>
      <c r="K413" s="50"/>
      <c r="L413" s="250"/>
      <c r="M413" s="50"/>
    </row>
    <row r="414" spans="1:13" ht="150" customHeight="1">
      <c r="A414" s="40"/>
      <c r="B414" s="556" t="s">
        <v>115</v>
      </c>
      <c r="C414" s="857" t="s">
        <v>116</v>
      </c>
      <c r="D414" s="857"/>
      <c r="E414" s="857"/>
      <c r="F414" s="857"/>
      <c r="G414" s="857"/>
      <c r="I414" s="869" t="s">
        <v>117</v>
      </c>
      <c r="J414" s="869"/>
      <c r="K414" s="869"/>
      <c r="L414" s="869"/>
      <c r="M414" s="869"/>
    </row>
    <row r="415" spans="1:13" ht="15" customHeight="1" thickBot="1"/>
    <row r="416" spans="1:13" ht="30" customHeight="1" thickTop="1" thickBot="1">
      <c r="A416" s="10"/>
      <c r="B416" s="835" t="str">
        <f>'Obrazac kalkulacije'!$B$6:$C$6</f>
        <v>Opis</v>
      </c>
      <c r="C416" s="835"/>
      <c r="D416" s="10" t="str">
        <f>'Obrazac kalkulacije'!$D$6</f>
        <v>Jed.
mjere</v>
      </c>
      <c r="E416" s="10" t="str">
        <f>'Obrazac kalkulacije'!$E$6</f>
        <v>Normativ</v>
      </c>
      <c r="F416" s="10" t="str">
        <f>'Obrazac kalkulacije'!$F$6</f>
        <v>Jed.
cijena</v>
      </c>
      <c r="G416" s="10" t="str">
        <f>'Obrazac kalkulacije'!$G$6</f>
        <v>Iznos</v>
      </c>
      <c r="I416" s="703"/>
      <c r="J416" s="10" t="str">
        <f>'Obrazac kalkulacije'!$D$6</f>
        <v>Jed.
mjere</v>
      </c>
      <c r="K416" s="10" t="str">
        <f>'Obrazac kalkulacije'!$E$6</f>
        <v>Normativ</v>
      </c>
      <c r="L416" s="10" t="str">
        <f>'Obrazac kalkulacije'!$F$6</f>
        <v>Jed.
cijena</v>
      </c>
      <c r="M416" s="10" t="str">
        <f>'Obrazac kalkulacije'!$G$6</f>
        <v>Iznos</v>
      </c>
    </row>
    <row r="417" spans="1:13" ht="4.5" customHeight="1" thickTop="1">
      <c r="B417" s="42"/>
      <c r="C417" s="1"/>
      <c r="D417" s="11"/>
      <c r="E417" s="13"/>
      <c r="F417" s="245"/>
      <c r="G417" s="15"/>
      <c r="I417" s="1"/>
      <c r="J417" s="11"/>
      <c r="K417" s="13"/>
      <c r="L417" s="245"/>
      <c r="M417" s="15"/>
    </row>
    <row r="418" spans="1:13" ht="25.15" customHeight="1">
      <c r="A418" s="16"/>
      <c r="B418" s="17" t="str">
        <f>'Obrazac kalkulacije'!$B$8</f>
        <v>Radna snaga:</v>
      </c>
      <c r="C418" s="17"/>
      <c r="D418" s="16"/>
      <c r="E418" s="16"/>
      <c r="F418" s="246"/>
      <c r="G418" s="18">
        <f>SUM(G419:G419)</f>
        <v>2.1881249999999999</v>
      </c>
      <c r="I418" s="17"/>
      <c r="J418" s="16"/>
      <c r="K418" s="16"/>
      <c r="L418" s="246"/>
      <c r="M418" s="18">
        <f>SUM(M419:M419)</f>
        <v>2.1880899899999999</v>
      </c>
    </row>
    <row r="419" spans="1:13" ht="25.15" customHeight="1">
      <c r="A419" s="32"/>
      <c r="B419" s="854" t="s">
        <v>57</v>
      </c>
      <c r="C419" s="854"/>
      <c r="D419" s="33" t="s">
        <v>51</v>
      </c>
      <c r="E419" s="34">
        <f>E351*0.125</f>
        <v>2.0833333333333332E-2</v>
      </c>
      <c r="F419" s="243">
        <f>SUMIF('Cjenik RS'!$C$11:$C$26,$B419,'Cjenik RS'!$D$11:$D$90)</f>
        <v>105.03</v>
      </c>
      <c r="G419" s="35">
        <f>+F419*E419</f>
        <v>2.1881249999999999</v>
      </c>
      <c r="I419" s="701"/>
      <c r="J419" s="33" t="s">
        <v>51</v>
      </c>
      <c r="K419" s="34">
        <v>2.0833000000000001E-2</v>
      </c>
      <c r="L419" s="243">
        <f>SUMIF('Cjenik RS'!$C$11:$C$26,$B419,'Cjenik RS'!$D$11:$D$90)</f>
        <v>105.03</v>
      </c>
      <c r="M419" s="35">
        <f>+L419*K419</f>
        <v>2.1880899899999999</v>
      </c>
    </row>
    <row r="420" spans="1:13" ht="25.15" customHeight="1">
      <c r="A420" s="16"/>
      <c r="B420" s="17" t="str">
        <f>'Obrazac kalkulacije'!$B$11</f>
        <v>Vozila, strojevi i oprema:</v>
      </c>
      <c r="C420" s="17"/>
      <c r="D420" s="16"/>
      <c r="E420" s="16"/>
      <c r="F420" s="243"/>
      <c r="G420" s="18">
        <f>SUM(G421:G431)</f>
        <v>9.4095052083333321</v>
      </c>
      <c r="I420" s="17"/>
      <c r="J420" s="16"/>
      <c r="K420" s="16"/>
      <c r="L420" s="243"/>
      <c r="M420" s="18">
        <f>SUM(M421:M431)</f>
        <v>9.4135792800000004</v>
      </c>
    </row>
    <row r="421" spans="1:13" ht="25.15" customHeight="1">
      <c r="A421" s="56"/>
      <c r="B421" s="849" t="s">
        <v>75</v>
      </c>
      <c r="C421" s="849"/>
      <c r="D421" s="57" t="s">
        <v>51</v>
      </c>
      <c r="E421" s="34">
        <f t="shared" ref="E421:E431" si="24">E353*0.125</f>
        <v>5.2083333333333333E-4</v>
      </c>
      <c r="F421" s="241">
        <f>SUMIF('Cjenik VSO'!$B$9:$B$85,$B421,'Cjenik VSO'!$C$9:$C$85)</f>
        <v>718.97</v>
      </c>
      <c r="G421" s="59">
        <f t="shared" ref="G421:G431" si="25">E421*F421</f>
        <v>0.37446354166666668</v>
      </c>
      <c r="I421" s="707"/>
      <c r="J421" s="57" t="s">
        <v>51</v>
      </c>
      <c r="K421" s="92">
        <v>5.2099999999999998E-4</v>
      </c>
      <c r="L421" s="241">
        <f>SUMIF('Cjenik VSO'!$B$9:$B$85,$B421,'Cjenik VSO'!$C$9:$C$85)</f>
        <v>718.97</v>
      </c>
      <c r="M421" s="59">
        <f t="shared" ref="M421:M431" si="26">K421*L421</f>
        <v>0.37458337000000003</v>
      </c>
    </row>
    <row r="422" spans="1:13" ht="25.15" customHeight="1">
      <c r="A422" s="56"/>
      <c r="B422" s="839" t="s">
        <v>60</v>
      </c>
      <c r="C422" s="839"/>
      <c r="D422" s="57" t="s">
        <v>51</v>
      </c>
      <c r="E422" s="34">
        <f t="shared" si="24"/>
        <v>1.0416666666666667E-3</v>
      </c>
      <c r="F422" s="241">
        <f>SUMIF('Cjenik VSO'!$B$9:$B$85,$B422,'Cjenik VSO'!$C$9:$C$85)</f>
        <v>328.73</v>
      </c>
      <c r="G422" s="59">
        <f t="shared" si="25"/>
        <v>0.34242708333333333</v>
      </c>
      <c r="I422" s="707"/>
      <c r="J422" s="57" t="s">
        <v>51</v>
      </c>
      <c r="K422" s="92">
        <v>1.011E-3</v>
      </c>
      <c r="L422" s="241">
        <f>SUMIF('Cjenik VSO'!$B$9:$B$85,$B422,'Cjenik VSO'!$C$9:$C$85)</f>
        <v>328.73</v>
      </c>
      <c r="M422" s="59">
        <f t="shared" si="26"/>
        <v>0.33234603000000001</v>
      </c>
    </row>
    <row r="423" spans="1:13" ht="25.15" customHeight="1">
      <c r="A423" s="56"/>
      <c r="B423" s="839" t="s">
        <v>61</v>
      </c>
      <c r="C423" s="839"/>
      <c r="D423" s="57" t="s">
        <v>51</v>
      </c>
      <c r="E423" s="34">
        <f t="shared" si="24"/>
        <v>1.0416666666666667E-3</v>
      </c>
      <c r="F423" s="241">
        <f>SUMIF('Cjenik VSO'!$B$9:$B$85,$B423,'Cjenik VSO'!$C$9:$C$85)</f>
        <v>62.67</v>
      </c>
      <c r="G423" s="59">
        <f t="shared" si="25"/>
        <v>6.5281249999999999E-2</v>
      </c>
      <c r="I423" s="707"/>
      <c r="J423" s="57" t="s">
        <v>51</v>
      </c>
      <c r="K423" s="92">
        <v>1.011E-3</v>
      </c>
      <c r="L423" s="241">
        <f>SUMIF('Cjenik VSO'!$B$9:$B$85,$B423,'Cjenik VSO'!$C$9:$C$85)</f>
        <v>62.67</v>
      </c>
      <c r="M423" s="59">
        <f t="shared" si="26"/>
        <v>6.3359369999999998E-2</v>
      </c>
    </row>
    <row r="424" spans="1:13" ht="25.15" customHeight="1">
      <c r="A424" s="56"/>
      <c r="B424" s="839" t="s">
        <v>73</v>
      </c>
      <c r="C424" s="839"/>
      <c r="D424" s="57" t="s">
        <v>51</v>
      </c>
      <c r="E424" s="34">
        <f t="shared" si="24"/>
        <v>1.0416666666666667E-3</v>
      </c>
      <c r="F424" s="241">
        <f>SUMIF('Cjenik VSO'!$B$9:$B$85,$B424,'Cjenik VSO'!$C$9:$C$85)</f>
        <v>291.72000000000003</v>
      </c>
      <c r="G424" s="59">
        <f t="shared" si="25"/>
        <v>0.30387500000000001</v>
      </c>
      <c r="I424" s="707"/>
      <c r="J424" s="57" t="s">
        <v>51</v>
      </c>
      <c r="K424" s="92">
        <v>1.1720000000000001E-3</v>
      </c>
      <c r="L424" s="241">
        <f>SUMIF('Cjenik VSO'!$B$9:$B$85,$B424,'Cjenik VSO'!$C$9:$C$85)</f>
        <v>291.72000000000003</v>
      </c>
      <c r="M424" s="59">
        <f t="shared" si="26"/>
        <v>0.34189584000000006</v>
      </c>
    </row>
    <row r="425" spans="1:13" ht="25.15" customHeight="1">
      <c r="A425" s="56"/>
      <c r="B425" s="839" t="s">
        <v>74</v>
      </c>
      <c r="C425" s="839"/>
      <c r="D425" s="57" t="s">
        <v>51</v>
      </c>
      <c r="E425" s="34">
        <f t="shared" si="24"/>
        <v>4.6874999999999998E-3</v>
      </c>
      <c r="F425" s="241">
        <f>SUMIF('Cjenik VSO'!$B$9:$B$85,$B425,'Cjenik VSO'!$C$9:$C$85)</f>
        <v>355.64</v>
      </c>
      <c r="G425" s="59">
        <f t="shared" si="25"/>
        <v>1.6670624999999999</v>
      </c>
      <c r="I425" s="707"/>
      <c r="J425" s="57" t="s">
        <v>51</v>
      </c>
      <c r="K425" s="92">
        <v>4.6880000000000003E-3</v>
      </c>
      <c r="L425" s="241">
        <f>SUMIF('Cjenik VSO'!$B$9:$B$85,$B425,'Cjenik VSO'!$C$9:$C$85)</f>
        <v>355.64</v>
      </c>
      <c r="M425" s="59">
        <f t="shared" si="26"/>
        <v>1.6672403200000001</v>
      </c>
    </row>
    <row r="426" spans="1:13" ht="25.15" customHeight="1">
      <c r="A426" s="56"/>
      <c r="B426" s="839" t="s">
        <v>104</v>
      </c>
      <c r="C426" s="839"/>
      <c r="D426" s="57" t="s">
        <v>51</v>
      </c>
      <c r="E426" s="34">
        <f t="shared" si="24"/>
        <v>4.1666666666666666E-3</v>
      </c>
      <c r="F426" s="241">
        <f>SUMIF('Cjenik VSO'!$B$9:$B$85,$B426,'Cjenik VSO'!$C$9:$C$85)</f>
        <v>693.43</v>
      </c>
      <c r="G426" s="59">
        <f t="shared" si="25"/>
        <v>2.8892916666666664</v>
      </c>
      <c r="I426" s="707"/>
      <c r="J426" s="57" t="s">
        <v>51</v>
      </c>
      <c r="K426" s="92">
        <v>4.1669999999999997E-3</v>
      </c>
      <c r="L426" s="241">
        <f>SUMIF('Cjenik VSO'!$B$9:$B$85,$B426,'Cjenik VSO'!$C$9:$C$85)</f>
        <v>693.43</v>
      </c>
      <c r="M426" s="59">
        <f t="shared" si="26"/>
        <v>2.8895228099999994</v>
      </c>
    </row>
    <row r="427" spans="1:13" ht="25.15" customHeight="1">
      <c r="A427" s="56"/>
      <c r="B427" s="839" t="s">
        <v>87</v>
      </c>
      <c r="C427" s="839"/>
      <c r="D427" s="57" t="s">
        <v>51</v>
      </c>
      <c r="E427" s="34">
        <f t="shared" si="24"/>
        <v>2.0833333333333333E-3</v>
      </c>
      <c r="F427" s="241">
        <f>SUMIF('Cjenik VSO'!$B$9:$B$85,$B427,'Cjenik VSO'!$C$9:$C$85)</f>
        <v>240.85</v>
      </c>
      <c r="G427" s="59">
        <f t="shared" si="25"/>
        <v>0.50177083333333328</v>
      </c>
      <c r="I427" s="707"/>
      <c r="J427" s="57" t="s">
        <v>51</v>
      </c>
      <c r="K427" s="92">
        <v>2.0830000000000002E-3</v>
      </c>
      <c r="L427" s="241">
        <f>SUMIF('Cjenik VSO'!$B$9:$B$85,$B427,'Cjenik VSO'!$C$9:$C$85)</f>
        <v>240.85</v>
      </c>
      <c r="M427" s="59">
        <f t="shared" si="26"/>
        <v>0.50169055000000007</v>
      </c>
    </row>
    <row r="428" spans="1:13" ht="25.15" customHeight="1">
      <c r="A428" s="56"/>
      <c r="B428" s="839" t="s">
        <v>79</v>
      </c>
      <c r="C428" s="839"/>
      <c r="D428" s="57" t="s">
        <v>51</v>
      </c>
      <c r="E428" s="34">
        <f t="shared" si="24"/>
        <v>3.6458333333333334E-3</v>
      </c>
      <c r="F428" s="241">
        <f>SUMIF('Cjenik VSO'!$B$9:$B$85,$B428,'Cjenik VSO'!$C$9:$C$85)</f>
        <v>199.57</v>
      </c>
      <c r="G428" s="59">
        <f t="shared" si="25"/>
        <v>0.72759895833333332</v>
      </c>
      <c r="I428" s="707"/>
      <c r="J428" s="57" t="s">
        <v>51</v>
      </c>
      <c r="K428" s="92">
        <v>2.0830000000000002E-3</v>
      </c>
      <c r="L428" s="241">
        <f>SUMIF('Cjenik VSO'!$B$9:$B$85,$B428,'Cjenik VSO'!$C$9:$C$85)</f>
        <v>199.57</v>
      </c>
      <c r="M428" s="59">
        <f t="shared" si="26"/>
        <v>0.41570431000000002</v>
      </c>
    </row>
    <row r="429" spans="1:13" ht="25.15" customHeight="1">
      <c r="A429" s="56"/>
      <c r="B429" s="839" t="s">
        <v>88</v>
      </c>
      <c r="C429" s="839"/>
      <c r="D429" s="57" t="s">
        <v>51</v>
      </c>
      <c r="E429" s="34">
        <f t="shared" si="24"/>
        <v>7.2916666666666668E-3</v>
      </c>
      <c r="F429" s="241">
        <f>SUMIF('Cjenik VSO'!$B$9:$B$85,$B429,'Cjenik VSO'!$C$9:$C$85)</f>
        <v>269.36</v>
      </c>
      <c r="G429" s="59">
        <f t="shared" si="25"/>
        <v>1.9640833333333334</v>
      </c>
      <c r="I429" s="707"/>
      <c r="J429" s="57" t="s">
        <v>51</v>
      </c>
      <c r="K429" s="92">
        <v>8.3330000000000001E-3</v>
      </c>
      <c r="L429" s="241">
        <f>SUMIF('Cjenik VSO'!$B$9:$B$85,$B429,'Cjenik VSO'!$C$9:$C$85)</f>
        <v>269.36</v>
      </c>
      <c r="M429" s="59">
        <f t="shared" si="26"/>
        <v>2.2445768800000003</v>
      </c>
    </row>
    <row r="430" spans="1:13" ht="25.15" customHeight="1">
      <c r="A430" s="56"/>
      <c r="B430" s="839" t="s">
        <v>80</v>
      </c>
      <c r="C430" s="839"/>
      <c r="D430" s="57" t="s">
        <v>51</v>
      </c>
      <c r="E430" s="34">
        <f t="shared" si="24"/>
        <v>1.0416666666666667E-3</v>
      </c>
      <c r="F430" s="241">
        <f>SUMIF('Cjenik VSO'!$B$9:$B$85,$B430,'Cjenik VSO'!$C$9:$C$85)</f>
        <v>68.709999999999994</v>
      </c>
      <c r="G430" s="59">
        <f t="shared" si="25"/>
        <v>7.1572916666666653E-2</v>
      </c>
      <c r="I430" s="707"/>
      <c r="J430" s="57" t="s">
        <v>51</v>
      </c>
      <c r="K430" s="92">
        <v>1.1720000000000001E-3</v>
      </c>
      <c r="L430" s="241">
        <f>SUMIF('Cjenik VSO'!$B$9:$B$85,$B430,'Cjenik VSO'!$C$9:$C$85)</f>
        <v>68.709999999999994</v>
      </c>
      <c r="M430" s="59">
        <f t="shared" si="26"/>
        <v>8.0528119999999995E-2</v>
      </c>
    </row>
    <row r="431" spans="1:13" ht="25.15" customHeight="1">
      <c r="A431" s="61"/>
      <c r="B431" s="855" t="s">
        <v>81</v>
      </c>
      <c r="C431" s="855"/>
      <c r="D431" s="62" t="s">
        <v>51</v>
      </c>
      <c r="E431" s="34">
        <f t="shared" si="24"/>
        <v>4.6874999999999998E-3</v>
      </c>
      <c r="F431" s="242">
        <f>SUMIF('Cjenik VSO'!$B$9:$B$85,$B431,'Cjenik VSO'!$C$9:$C$85)</f>
        <v>107.11</v>
      </c>
      <c r="G431" s="64">
        <f t="shared" si="25"/>
        <v>0.50207812499999993</v>
      </c>
      <c r="I431" s="708"/>
      <c r="J431" s="62" t="s">
        <v>51</v>
      </c>
      <c r="K431" s="87">
        <v>4.6880000000000003E-3</v>
      </c>
      <c r="L431" s="242">
        <f>SUMIF('Cjenik VSO'!$B$9:$B$85,$B431,'Cjenik VSO'!$C$9:$C$85)</f>
        <v>107.11</v>
      </c>
      <c r="M431" s="64">
        <f t="shared" si="26"/>
        <v>0.50213168000000008</v>
      </c>
    </row>
    <row r="432" spans="1:13" ht="25.15" customHeight="1">
      <c r="A432" s="16"/>
      <c r="B432" s="851" t="str">
        <f>'Obrazac kalkulacije'!$B$15</f>
        <v>Materijali:</v>
      </c>
      <c r="C432" s="851"/>
      <c r="D432" s="16"/>
      <c r="E432" s="16"/>
      <c r="F432" s="243"/>
      <c r="G432" s="18">
        <f>SUM(G433:G434)</f>
        <v>83.7</v>
      </c>
      <c r="I432" s="709"/>
      <c r="J432" s="16"/>
      <c r="K432" s="16"/>
      <c r="L432" s="243"/>
      <c r="M432" s="18">
        <f>SUM(M433:M434)</f>
        <v>68.7</v>
      </c>
    </row>
    <row r="433" spans="1:13" ht="25.15" customHeight="1">
      <c r="A433" s="77"/>
      <c r="B433" s="856" t="str">
        <f>'Cjenik M'!$B$17</f>
        <v>Temeljni premaz za drvo</v>
      </c>
      <c r="C433" s="856"/>
      <c r="D433" s="78" t="str">
        <f>'Cjenik M'!$C$15</f>
        <v>kom</v>
      </c>
      <c r="E433" s="79">
        <v>0.125</v>
      </c>
      <c r="F433" s="254">
        <f>'Cjenik M'!$D$17</f>
        <v>69.599999999999994</v>
      </c>
      <c r="G433" s="80">
        <f>+F433*E433</f>
        <v>8.6999999999999993</v>
      </c>
      <c r="I433" s="710"/>
      <c r="J433" s="78" t="str">
        <f>'Cjenik M'!$C$17</f>
        <v>l</v>
      </c>
      <c r="K433" s="79">
        <v>0.125</v>
      </c>
      <c r="L433" s="254">
        <f>'Cjenik M'!$D$17</f>
        <v>69.599999999999994</v>
      </c>
      <c r="M433" s="80">
        <f>+L433*K433</f>
        <v>8.6999999999999993</v>
      </c>
    </row>
    <row r="434" spans="1:13" ht="25.15" customHeight="1" thickBot="1">
      <c r="A434" s="74"/>
      <c r="B434" s="853" t="str">
        <f>'Cjenik M'!$B$21</f>
        <v>Oznaka ulice</v>
      </c>
      <c r="C434" s="853"/>
      <c r="D434" s="67" t="str">
        <f>'Cjenik M'!$C$21</f>
        <v>kom</v>
      </c>
      <c r="E434" s="81">
        <v>0.5</v>
      </c>
      <c r="F434" s="249">
        <f>'Cjenik M'!$D$21</f>
        <v>150</v>
      </c>
      <c r="G434" s="70">
        <f>+F434*E434</f>
        <v>75</v>
      </c>
      <c r="I434" s="706"/>
      <c r="J434" s="67" t="str">
        <f>'Cjenik M'!$C$21</f>
        <v>kom</v>
      </c>
      <c r="K434" s="81">
        <v>0.4</v>
      </c>
      <c r="L434" s="249">
        <f>'Cjenik M'!$D$21</f>
        <v>150</v>
      </c>
      <c r="M434" s="70">
        <f>+L434*K434</f>
        <v>60</v>
      </c>
    </row>
    <row r="435" spans="1:13" ht="25.15" customHeight="1" thickTop="1" thickBot="1">
      <c r="B435" s="47"/>
      <c r="C435" s="24"/>
      <c r="D435" s="25"/>
      <c r="E435" s="147" t="str">
        <f>'Obrazac kalkulacije'!$E$18</f>
        <v>Ukupno (kn):</v>
      </c>
      <c r="F435" s="255"/>
      <c r="G435" s="26">
        <f>ROUND(SUM(G418+G420+G432),2)</f>
        <v>95.3</v>
      </c>
      <c r="H435" s="269"/>
      <c r="I435" s="24"/>
      <c r="J435" s="25"/>
      <c r="K435" s="147" t="str">
        <f>'Obrazac kalkulacije'!$E$18</f>
        <v>Ukupno (kn):</v>
      </c>
      <c r="L435" s="255"/>
      <c r="M435" s="26">
        <f>ROUND(SUM(M418+M420+M432),2)</f>
        <v>80.3</v>
      </c>
    </row>
    <row r="436" spans="1:13" ht="25.15" customHeight="1" thickTop="1" thickBot="1">
      <c r="D436" s="20" t="s">
        <v>118</v>
      </c>
      <c r="E436" s="147">
        <v>0.1</v>
      </c>
      <c r="F436" s="287">
        <f>ABS(G435*1)</f>
        <v>95.3</v>
      </c>
      <c r="G436" s="71">
        <f>ABS(E436*F436)</f>
        <v>9.5299999999999994</v>
      </c>
      <c r="H436" s="286"/>
      <c r="K436" s="147"/>
      <c r="L436" s="255"/>
      <c r="M436" s="71"/>
    </row>
    <row r="437" spans="1:13" ht="25.15" customHeight="1" thickTop="1" thickBot="1">
      <c r="E437" s="27" t="str">
        <f>'Obrazac kalkulacije'!$E$19</f>
        <v>PDV:</v>
      </c>
      <c r="F437" s="248">
        <f>'Obrazac kalkulacije'!$F$19</f>
        <v>0.25</v>
      </c>
      <c r="G437" s="29">
        <f>ABS(G436*0.25)</f>
        <v>2.3824999999999998</v>
      </c>
      <c r="H437" s="561"/>
      <c r="K437" s="27" t="str">
        <f>'Obrazac kalkulacije'!$E$19</f>
        <v>PDV:</v>
      </c>
      <c r="L437" s="248">
        <f>'Obrazac kalkulacije'!$F$19</f>
        <v>0.25</v>
      </c>
      <c r="M437" s="29">
        <f>M435*L437</f>
        <v>20.074999999999999</v>
      </c>
    </row>
    <row r="438" spans="1:13" ht="25.15" customHeight="1" thickTop="1" thickBot="1">
      <c r="E438" s="148" t="str">
        <f>'Obrazac kalkulacije'!$E$20</f>
        <v>Sveukupno (kn):</v>
      </c>
      <c r="F438" s="256"/>
      <c r="G438" s="29">
        <f>SUM(G436:G437)</f>
        <v>11.9125</v>
      </c>
      <c r="H438" s="562"/>
      <c r="K438" s="148" t="str">
        <f>'Obrazac kalkulacije'!$E$20</f>
        <v>Sveukupno (kn):</v>
      </c>
      <c r="L438" s="256"/>
      <c r="M438" s="29">
        <f>ROUND(SUM(M435:M437),2)</f>
        <v>100.38</v>
      </c>
    </row>
    <row r="439" spans="1:13" ht="15" customHeight="1" thickTop="1"/>
    <row r="440" spans="1:13" ht="15" customHeight="1"/>
    <row r="441" spans="1:13" ht="15" customHeight="1"/>
    <row r="442" spans="1:13" ht="15" customHeight="1">
      <c r="C442" s="3" t="str">
        <f>'Obrazac kalkulacije'!$C$24</f>
        <v>IZVODITELJ:</v>
      </c>
      <c r="F442" s="841" t="str">
        <f>'Obrazac kalkulacije'!$F$24</f>
        <v>NARUČITELJ:</v>
      </c>
      <c r="G442" s="841"/>
      <c r="I442" s="3" t="str">
        <f>'Obrazac kalkulacije'!$C$24</f>
        <v>IZVODITELJ:</v>
      </c>
      <c r="L442" s="841" t="str">
        <f>'Obrazac kalkulacije'!$F$24</f>
        <v>NARUČITELJ:</v>
      </c>
      <c r="M442" s="841"/>
    </row>
    <row r="443" spans="1:13" ht="25.15" customHeight="1">
      <c r="C443" s="3" t="str">
        <f>'Obrazac kalkulacije'!$C$25</f>
        <v>__________________</v>
      </c>
      <c r="F443" s="841" t="str">
        <f>'Obrazac kalkulacije'!$F$25</f>
        <v>___________________</v>
      </c>
      <c r="G443" s="841"/>
      <c r="I443" s="3" t="str">
        <f>'Obrazac kalkulacije'!$C$25</f>
        <v>__________________</v>
      </c>
      <c r="L443" s="841" t="str">
        <f>'Obrazac kalkulacije'!$F$25</f>
        <v>___________________</v>
      </c>
      <c r="M443" s="841"/>
    </row>
    <row r="444" spans="1:13" ht="15" customHeight="1">
      <c r="G444" s="30"/>
      <c r="M444" s="30"/>
    </row>
    <row r="445" spans="1:13" ht="15" customHeight="1"/>
    <row r="446" spans="1:13" ht="15" customHeight="1">
      <c r="A446" s="144"/>
      <c r="B446" s="145" t="s">
        <v>17</v>
      </c>
      <c r="C446" s="146" t="s">
        <v>56</v>
      </c>
      <c r="D446" s="146"/>
      <c r="E446" s="146"/>
      <c r="F446" s="252"/>
      <c r="G446" s="146"/>
      <c r="I446" s="146" t="s">
        <v>56</v>
      </c>
      <c r="J446" s="146"/>
      <c r="K446" s="146"/>
      <c r="L446" s="252"/>
      <c r="M446" s="146"/>
    </row>
    <row r="447" spans="1:13" ht="15" customHeight="1">
      <c r="A447" s="38"/>
      <c r="B447" s="39" t="s">
        <v>64</v>
      </c>
      <c r="C447" s="8" t="s">
        <v>65</v>
      </c>
      <c r="D447" s="8"/>
      <c r="E447" s="8"/>
      <c r="F447" s="253"/>
      <c r="G447" s="8"/>
      <c r="I447" s="8" t="s">
        <v>65</v>
      </c>
      <c r="J447" s="8"/>
      <c r="K447" s="8"/>
      <c r="L447" s="253"/>
      <c r="M447" s="8"/>
    </row>
    <row r="448" spans="1:13" ht="15" customHeight="1">
      <c r="A448" s="48"/>
      <c r="B448" s="49" t="s">
        <v>98</v>
      </c>
      <c r="C448" s="50" t="s">
        <v>99</v>
      </c>
      <c r="D448" s="50"/>
      <c r="E448" s="50"/>
      <c r="F448" s="250"/>
      <c r="G448" s="50"/>
      <c r="I448" s="50" t="s">
        <v>99</v>
      </c>
      <c r="J448" s="50"/>
      <c r="K448" s="50"/>
      <c r="L448" s="250"/>
      <c r="M448" s="50"/>
    </row>
    <row r="449" spans="1:13" ht="150" customHeight="1">
      <c r="A449" s="40"/>
      <c r="B449" s="556" t="s">
        <v>119</v>
      </c>
      <c r="C449" s="852" t="s">
        <v>120</v>
      </c>
      <c r="D449" s="852"/>
      <c r="E449" s="852"/>
      <c r="F449" s="852"/>
      <c r="G449" s="852"/>
      <c r="I449" s="869" t="s">
        <v>121</v>
      </c>
      <c r="J449" s="869"/>
      <c r="K449" s="869"/>
      <c r="L449" s="869"/>
      <c r="M449" s="869"/>
    </row>
    <row r="450" spans="1:13" ht="15" customHeight="1" thickBot="1"/>
    <row r="451" spans="1:13" ht="30" customHeight="1" thickTop="1" thickBot="1">
      <c r="A451" s="10"/>
      <c r="B451" s="835" t="str">
        <f>'Obrazac kalkulacije'!$B$6:$C$6</f>
        <v>Opis</v>
      </c>
      <c r="C451" s="835"/>
      <c r="D451" s="10" t="str">
        <f>'Obrazac kalkulacije'!$D$6</f>
        <v>Jed.
mjere</v>
      </c>
      <c r="E451" s="10" t="str">
        <f>'Obrazac kalkulacije'!$E$6</f>
        <v>Normativ</v>
      </c>
      <c r="F451" s="10" t="str">
        <f>'Obrazac kalkulacije'!$F$6</f>
        <v>Jed.
cijena</v>
      </c>
      <c r="G451" s="10" t="str">
        <f>'Obrazac kalkulacije'!$G$6</f>
        <v>Iznos</v>
      </c>
      <c r="I451" s="703"/>
      <c r="J451" s="10" t="str">
        <f>'Obrazac kalkulacije'!$D$6</f>
        <v>Jed.
mjere</v>
      </c>
      <c r="K451" s="10" t="str">
        <f>'Obrazac kalkulacije'!$E$6</f>
        <v>Normativ</v>
      </c>
      <c r="L451" s="10" t="str">
        <f>'Obrazac kalkulacije'!$F$6</f>
        <v>Jed.
cijena</v>
      </c>
      <c r="M451" s="10" t="str">
        <f>'Obrazac kalkulacije'!$G$6</f>
        <v>Iznos</v>
      </c>
    </row>
    <row r="452" spans="1:13" ht="4.5" customHeight="1" thickTop="1">
      <c r="B452" s="42"/>
      <c r="C452" s="1"/>
      <c r="D452" s="11"/>
      <c r="E452" s="13"/>
      <c r="F452" s="245"/>
      <c r="G452" s="15"/>
      <c r="I452" s="1"/>
      <c r="J452" s="11"/>
      <c r="K452" s="13"/>
      <c r="L452" s="245"/>
      <c r="M452" s="15"/>
    </row>
    <row r="453" spans="1:13" ht="25.15" customHeight="1">
      <c r="A453" s="16"/>
      <c r="B453" s="17" t="str">
        <f>'Obrazac kalkulacije'!$B$8</f>
        <v>Radna snaga:</v>
      </c>
      <c r="C453" s="17"/>
      <c r="D453" s="16"/>
      <c r="E453" s="16"/>
      <c r="F453" s="246"/>
      <c r="G453" s="18">
        <f>SUM(G454:G454)</f>
        <v>1.7504999999999999</v>
      </c>
      <c r="I453" s="17"/>
      <c r="J453" s="16"/>
      <c r="K453" s="16"/>
      <c r="L453" s="246"/>
      <c r="M453" s="18">
        <f>SUM(M454:M454)</f>
        <v>1.7505350100000001</v>
      </c>
    </row>
    <row r="454" spans="1:13" ht="25.15" customHeight="1">
      <c r="A454" s="32"/>
      <c r="B454" s="854" t="s">
        <v>57</v>
      </c>
      <c r="C454" s="854"/>
      <c r="D454" s="33" t="s">
        <v>51</v>
      </c>
      <c r="E454" s="34">
        <v>1.6666666666666666E-2</v>
      </c>
      <c r="F454" s="243">
        <f>SUMIF('Cjenik RS'!$C$11:$C$26,$B454,'Cjenik RS'!$D$11:$D$90)</f>
        <v>105.03</v>
      </c>
      <c r="G454" s="35">
        <f>+F454*E454</f>
        <v>1.7504999999999999</v>
      </c>
      <c r="I454" s="701"/>
      <c r="J454" s="33" t="s">
        <v>51</v>
      </c>
      <c r="K454" s="34">
        <v>1.6667000000000001E-2</v>
      </c>
      <c r="L454" s="243">
        <f>SUMIF('Cjenik RS'!$C$11:$C$26,$B454,'Cjenik RS'!$D$11:$D$90)</f>
        <v>105.03</v>
      </c>
      <c r="M454" s="35">
        <f>+L454*K454</f>
        <v>1.7505350100000001</v>
      </c>
    </row>
    <row r="455" spans="1:13" ht="25.15" customHeight="1">
      <c r="A455" s="16"/>
      <c r="B455" s="17" t="str">
        <f>'Obrazac kalkulacije'!$B$11</f>
        <v>Vozila, strojevi i oprema:</v>
      </c>
      <c r="C455" s="17"/>
      <c r="D455" s="16"/>
      <c r="E455" s="16"/>
      <c r="F455" s="243"/>
      <c r="G455" s="18">
        <f>SUM(G456:G466)</f>
        <v>7.5276041666666673</v>
      </c>
      <c r="I455" s="17"/>
      <c r="J455" s="16"/>
      <c r="K455" s="16"/>
      <c r="L455" s="243"/>
      <c r="M455" s="18">
        <f>SUM(M456:M466)</f>
        <v>7.5388823800000004</v>
      </c>
    </row>
    <row r="456" spans="1:13" ht="25.15" customHeight="1">
      <c r="A456" s="56"/>
      <c r="B456" s="839" t="s">
        <v>75</v>
      </c>
      <c r="C456" s="839"/>
      <c r="D456" s="57" t="s">
        <v>51</v>
      </c>
      <c r="E456" s="92">
        <v>4.1666666666666669E-4</v>
      </c>
      <c r="F456" s="241">
        <f>SUMIF('Cjenik VSO'!$B$9:$B$85,$B456,'Cjenik VSO'!$C$9:$C$85)</f>
        <v>718.97</v>
      </c>
      <c r="G456" s="59">
        <f t="shared" ref="G456:G466" si="27">E456*F456</f>
        <v>0.29957083333333334</v>
      </c>
      <c r="I456" s="707"/>
      <c r="J456" s="57" t="s">
        <v>51</v>
      </c>
      <c r="K456" s="92">
        <v>4.17E-4</v>
      </c>
      <c r="L456" s="241">
        <f>SUMIF('Cjenik VSO'!$B$9:$B$85,$B456,'Cjenik VSO'!$C$9:$C$85)</f>
        <v>718.97</v>
      </c>
      <c r="M456" s="59">
        <f t="shared" ref="M456:M466" si="28">K456*L456</f>
        <v>0.29981048999999999</v>
      </c>
    </row>
    <row r="457" spans="1:13" ht="25.15" customHeight="1">
      <c r="A457" s="56"/>
      <c r="B457" s="839" t="s">
        <v>60</v>
      </c>
      <c r="C457" s="839"/>
      <c r="D457" s="57" t="s">
        <v>51</v>
      </c>
      <c r="E457" s="92">
        <v>8.3333333333333339E-4</v>
      </c>
      <c r="F457" s="241">
        <f>SUMIF('Cjenik VSO'!$B$9:$B$85,$B457,'Cjenik VSO'!$C$9:$C$85)</f>
        <v>328.73</v>
      </c>
      <c r="G457" s="59">
        <f t="shared" si="27"/>
        <v>0.27394166666666669</v>
      </c>
      <c r="I457" s="707"/>
      <c r="J457" s="57" t="s">
        <v>51</v>
      </c>
      <c r="K457" s="92">
        <v>8.2899999999999998E-4</v>
      </c>
      <c r="L457" s="241">
        <f>SUMIF('Cjenik VSO'!$B$9:$B$85,$B457,'Cjenik VSO'!$C$9:$C$85)</f>
        <v>328.73</v>
      </c>
      <c r="M457" s="59">
        <f t="shared" si="28"/>
        <v>0.27251717000000003</v>
      </c>
    </row>
    <row r="458" spans="1:13" ht="25.15" customHeight="1">
      <c r="A458" s="56"/>
      <c r="B458" s="839" t="s">
        <v>61</v>
      </c>
      <c r="C458" s="839"/>
      <c r="D458" s="57" t="s">
        <v>51</v>
      </c>
      <c r="E458" s="92">
        <v>8.3333333333333339E-4</v>
      </c>
      <c r="F458" s="241">
        <f>SUMIF('Cjenik VSO'!$B$9:$B$85,$B458,'Cjenik VSO'!$C$9:$C$85)</f>
        <v>62.67</v>
      </c>
      <c r="G458" s="59">
        <f t="shared" si="27"/>
        <v>5.2225000000000008E-2</v>
      </c>
      <c r="I458" s="707"/>
      <c r="J458" s="57" t="s">
        <v>51</v>
      </c>
      <c r="K458" s="92">
        <v>8.2899999999999998E-4</v>
      </c>
      <c r="L458" s="241">
        <f>SUMIF('Cjenik VSO'!$B$9:$B$85,$B458,'Cjenik VSO'!$C$9:$C$85)</f>
        <v>62.67</v>
      </c>
      <c r="M458" s="59">
        <f t="shared" si="28"/>
        <v>5.1953430000000002E-2</v>
      </c>
    </row>
    <row r="459" spans="1:13" ht="25.15" customHeight="1">
      <c r="A459" s="56"/>
      <c r="B459" s="839" t="s">
        <v>73</v>
      </c>
      <c r="C459" s="839"/>
      <c r="D459" s="57" t="s">
        <v>51</v>
      </c>
      <c r="E459" s="92">
        <v>8.3333333333333339E-4</v>
      </c>
      <c r="F459" s="241">
        <f>SUMIF('Cjenik VSO'!$B$9:$B$85,$B459,'Cjenik VSO'!$C$9:$C$85)</f>
        <v>291.72000000000003</v>
      </c>
      <c r="G459" s="59">
        <f t="shared" si="27"/>
        <v>0.24310000000000004</v>
      </c>
      <c r="I459" s="707"/>
      <c r="J459" s="57" t="s">
        <v>51</v>
      </c>
      <c r="K459" s="92">
        <v>9.3800000000000003E-4</v>
      </c>
      <c r="L459" s="241">
        <f>SUMIF('Cjenik VSO'!$B$9:$B$85,$B459,'Cjenik VSO'!$C$9:$C$85)</f>
        <v>291.72000000000003</v>
      </c>
      <c r="M459" s="59">
        <f t="shared" si="28"/>
        <v>0.27363336000000005</v>
      </c>
    </row>
    <row r="460" spans="1:13" ht="25.15" customHeight="1">
      <c r="A460" s="56"/>
      <c r="B460" s="839" t="s">
        <v>74</v>
      </c>
      <c r="C460" s="839"/>
      <c r="D460" s="57" t="s">
        <v>51</v>
      </c>
      <c r="E460" s="92">
        <v>3.7499999999999999E-3</v>
      </c>
      <c r="F460" s="241">
        <f>SUMIF('Cjenik VSO'!$B$9:$B$85,$B460,'Cjenik VSO'!$C$9:$C$85)</f>
        <v>355.64</v>
      </c>
      <c r="G460" s="59">
        <f t="shared" si="27"/>
        <v>1.33365</v>
      </c>
      <c r="I460" s="707"/>
      <c r="J460" s="57" t="s">
        <v>51</v>
      </c>
      <c r="K460" s="92">
        <v>3.7499999999999999E-3</v>
      </c>
      <c r="L460" s="241">
        <f>SUMIF('Cjenik VSO'!$B$9:$B$85,$B460,'Cjenik VSO'!$C$9:$C$85)</f>
        <v>355.64</v>
      </c>
      <c r="M460" s="59">
        <f t="shared" si="28"/>
        <v>1.33365</v>
      </c>
    </row>
    <row r="461" spans="1:13" ht="25.15" customHeight="1">
      <c r="A461" s="56"/>
      <c r="B461" s="839" t="s">
        <v>104</v>
      </c>
      <c r="C461" s="839"/>
      <c r="D461" s="57" t="s">
        <v>51</v>
      </c>
      <c r="E461" s="92">
        <v>3.3333333333333335E-3</v>
      </c>
      <c r="F461" s="241">
        <f>SUMIF('Cjenik VSO'!$B$9:$B$85,$B461,'Cjenik VSO'!$C$9:$C$85)</f>
        <v>693.43</v>
      </c>
      <c r="G461" s="59">
        <f t="shared" si="27"/>
        <v>2.3114333333333335</v>
      </c>
      <c r="I461" s="707"/>
      <c r="J461" s="57" t="s">
        <v>51</v>
      </c>
      <c r="K461" s="92">
        <v>3.333E-3</v>
      </c>
      <c r="L461" s="241">
        <f>SUMIF('Cjenik VSO'!$B$9:$B$85,$B461,'Cjenik VSO'!$C$9:$C$85)</f>
        <v>693.43</v>
      </c>
      <c r="M461" s="59">
        <f t="shared" si="28"/>
        <v>2.3112021899999999</v>
      </c>
    </row>
    <row r="462" spans="1:13" ht="25.15" customHeight="1">
      <c r="A462" s="56"/>
      <c r="B462" s="839" t="s">
        <v>87</v>
      </c>
      <c r="C462" s="839"/>
      <c r="D462" s="57" t="s">
        <v>51</v>
      </c>
      <c r="E462" s="92">
        <v>1.6666666666666668E-3</v>
      </c>
      <c r="F462" s="241">
        <f>SUMIF('Cjenik VSO'!$B$9:$B$85,$B462,'Cjenik VSO'!$C$9:$C$85)</f>
        <v>240.85</v>
      </c>
      <c r="G462" s="59">
        <f t="shared" si="27"/>
        <v>0.4014166666666667</v>
      </c>
      <c r="I462" s="707"/>
      <c r="J462" s="57" t="s">
        <v>51</v>
      </c>
      <c r="K462" s="92">
        <v>1.6670000000000001E-3</v>
      </c>
      <c r="L462" s="241">
        <f>SUMIF('Cjenik VSO'!$B$9:$B$85,$B462,'Cjenik VSO'!$C$9:$C$85)</f>
        <v>240.85</v>
      </c>
      <c r="M462" s="59">
        <f t="shared" si="28"/>
        <v>0.40149695000000002</v>
      </c>
    </row>
    <row r="463" spans="1:13" ht="25.15" customHeight="1">
      <c r="A463" s="56"/>
      <c r="B463" s="839" t="s">
        <v>79</v>
      </c>
      <c r="C463" s="839"/>
      <c r="D463" s="57" t="s">
        <v>51</v>
      </c>
      <c r="E463" s="92">
        <v>2.9166666666666668E-3</v>
      </c>
      <c r="F463" s="241">
        <f>SUMIF('Cjenik VSO'!$B$9:$B$85,$B463,'Cjenik VSO'!$C$9:$C$85)</f>
        <v>199.57</v>
      </c>
      <c r="G463" s="59">
        <f t="shared" si="27"/>
        <v>0.5820791666666667</v>
      </c>
      <c r="I463" s="707"/>
      <c r="J463" s="57" t="s">
        <v>51</v>
      </c>
      <c r="K463" s="92">
        <v>1.6670000000000001E-3</v>
      </c>
      <c r="L463" s="241">
        <f>SUMIF('Cjenik VSO'!$B$9:$B$85,$B463,'Cjenik VSO'!$C$9:$C$85)</f>
        <v>199.57</v>
      </c>
      <c r="M463" s="59">
        <f t="shared" si="28"/>
        <v>0.33268319000000002</v>
      </c>
    </row>
    <row r="464" spans="1:13" ht="25.15" customHeight="1">
      <c r="A464" s="56"/>
      <c r="B464" s="839" t="s">
        <v>88</v>
      </c>
      <c r="C464" s="839"/>
      <c r="D464" s="57" t="s">
        <v>51</v>
      </c>
      <c r="E464" s="92">
        <v>5.8333333333333336E-3</v>
      </c>
      <c r="F464" s="241">
        <f>SUMIF('Cjenik VSO'!$B$9:$B$85,$B464,'Cjenik VSO'!$C$9:$C$85)</f>
        <v>269.36</v>
      </c>
      <c r="G464" s="59">
        <f t="shared" si="27"/>
        <v>1.5712666666666668</v>
      </c>
      <c r="I464" s="707"/>
      <c r="J464" s="57" t="s">
        <v>51</v>
      </c>
      <c r="K464" s="92">
        <v>6.6670000000000002E-3</v>
      </c>
      <c r="L464" s="241">
        <f>SUMIF('Cjenik VSO'!$B$9:$B$85,$B464,'Cjenik VSO'!$C$9:$C$85)</f>
        <v>269.36</v>
      </c>
      <c r="M464" s="59">
        <f t="shared" si="28"/>
        <v>1.7958231200000001</v>
      </c>
    </row>
    <row r="465" spans="1:13" ht="25.15" customHeight="1">
      <c r="A465" s="56"/>
      <c r="B465" s="839" t="s">
        <v>80</v>
      </c>
      <c r="C465" s="839"/>
      <c r="D465" s="57" t="s">
        <v>51</v>
      </c>
      <c r="E465" s="92">
        <v>8.3333333333333339E-4</v>
      </c>
      <c r="F465" s="241">
        <f>SUMIF('Cjenik VSO'!$B$9:$B$85,$B465,'Cjenik VSO'!$C$9:$C$85)</f>
        <v>68.709999999999994</v>
      </c>
      <c r="G465" s="59">
        <f t="shared" si="27"/>
        <v>5.7258333333333335E-2</v>
      </c>
      <c r="I465" s="707"/>
      <c r="J465" s="57" t="s">
        <v>51</v>
      </c>
      <c r="K465" s="92">
        <v>9.3800000000000003E-4</v>
      </c>
      <c r="L465" s="241">
        <f>SUMIF('Cjenik VSO'!$B$9:$B$85,$B465,'Cjenik VSO'!$C$9:$C$85)</f>
        <v>68.709999999999994</v>
      </c>
      <c r="M465" s="59">
        <f t="shared" si="28"/>
        <v>6.444997999999999E-2</v>
      </c>
    </row>
    <row r="466" spans="1:13" ht="25.15" customHeight="1">
      <c r="A466" s="61"/>
      <c r="B466" s="855" t="s">
        <v>81</v>
      </c>
      <c r="C466" s="855"/>
      <c r="D466" s="62" t="s">
        <v>51</v>
      </c>
      <c r="E466" s="87">
        <v>3.7499999999999999E-3</v>
      </c>
      <c r="F466" s="242">
        <f>SUMIF('Cjenik VSO'!$B$9:$B$85,$B466,'Cjenik VSO'!$C$9:$C$85)</f>
        <v>107.11</v>
      </c>
      <c r="G466" s="64">
        <f t="shared" si="27"/>
        <v>0.40166249999999998</v>
      </c>
      <c r="I466" s="708"/>
      <c r="J466" s="62" t="s">
        <v>51</v>
      </c>
      <c r="K466" s="87">
        <v>3.7499999999999999E-3</v>
      </c>
      <c r="L466" s="242">
        <f>SUMIF('Cjenik VSO'!$B$9:$B$85,$B466,'Cjenik VSO'!$C$9:$C$85)</f>
        <v>107.11</v>
      </c>
      <c r="M466" s="64">
        <f t="shared" si="28"/>
        <v>0.40166249999999998</v>
      </c>
    </row>
    <row r="467" spans="1:13" ht="25.15" customHeight="1">
      <c r="A467" s="16"/>
      <c r="B467" s="851" t="str">
        <f>'Obrazac kalkulacije'!$B$15</f>
        <v>Materijali:</v>
      </c>
      <c r="C467" s="851"/>
      <c r="D467" s="16"/>
      <c r="E467" s="16"/>
      <c r="F467" s="243"/>
      <c r="G467" s="18">
        <f>SUM(G468:G469)</f>
        <v>70.988</v>
      </c>
      <c r="I467" s="709"/>
      <c r="J467" s="16"/>
      <c r="K467" s="16"/>
      <c r="L467" s="243"/>
      <c r="M467" s="18">
        <f>SUM(M468:M469)</f>
        <v>70.988</v>
      </c>
    </row>
    <row r="468" spans="1:13" ht="25.15" customHeight="1">
      <c r="A468" s="77"/>
      <c r="B468" s="856" t="str">
        <f>'Cjenik M'!$B$19</f>
        <v>Premaz za metal</v>
      </c>
      <c r="C468" s="856"/>
      <c r="D468" s="78" t="str">
        <f>'Cjenik M'!$C$19</f>
        <v>l</v>
      </c>
      <c r="E468" s="79">
        <v>0.1</v>
      </c>
      <c r="F468" s="254">
        <f>'Cjenik M'!$D$19</f>
        <v>109.88</v>
      </c>
      <c r="G468" s="80">
        <f>+F468*E468</f>
        <v>10.988</v>
      </c>
      <c r="I468" s="710"/>
      <c r="J468" s="78" t="str">
        <f>'Cjenik M'!$C$19</f>
        <v>l</v>
      </c>
      <c r="K468" s="79">
        <v>0.1</v>
      </c>
      <c r="L468" s="254">
        <f>'Cjenik M'!$D$19</f>
        <v>109.88</v>
      </c>
      <c r="M468" s="80">
        <f>+L468*K468</f>
        <v>10.988</v>
      </c>
    </row>
    <row r="469" spans="1:13" ht="25.15" customHeight="1" thickBot="1">
      <c r="A469" s="74"/>
      <c r="B469" s="853" t="str">
        <f>'Cjenik M'!$B$21</f>
        <v>Oznaka ulice</v>
      </c>
      <c r="C469" s="853"/>
      <c r="D469" s="67" t="str">
        <f>'Cjenik M'!$C$21</f>
        <v>kom</v>
      </c>
      <c r="E469" s="81">
        <v>0.4</v>
      </c>
      <c r="F469" s="249">
        <f>'Cjenik M'!$D$21</f>
        <v>150</v>
      </c>
      <c r="G469" s="70">
        <f>+F469*E469</f>
        <v>60</v>
      </c>
      <c r="I469" s="706"/>
      <c r="J469" s="67" t="str">
        <f>'Cjenik M'!$C$21</f>
        <v>kom</v>
      </c>
      <c r="K469" s="81">
        <v>0.4</v>
      </c>
      <c r="L469" s="249">
        <f>'Cjenik M'!$D$21</f>
        <v>150</v>
      </c>
      <c r="M469" s="70">
        <f>+L469*K469</f>
        <v>60</v>
      </c>
    </row>
    <row r="470" spans="1:13" ht="25.15" customHeight="1" thickTop="1" thickBot="1">
      <c r="B470" s="47"/>
      <c r="C470" s="24"/>
      <c r="D470" s="25"/>
      <c r="E470" s="147" t="str">
        <f>'Obrazac kalkulacije'!$E$18</f>
        <v>Ukupno (kn):</v>
      </c>
      <c r="F470" s="255"/>
      <c r="G470" s="26">
        <f>ROUND(SUM(G453+G455+G467),2)</f>
        <v>80.27</v>
      </c>
      <c r="H470" s="269"/>
      <c r="I470" s="24"/>
      <c r="J470" s="25"/>
      <c r="K470" s="147" t="str">
        <f>'Obrazac kalkulacije'!$E$18</f>
        <v>Ukupno (kn):</v>
      </c>
      <c r="L470" s="255"/>
      <c r="M470" s="26">
        <f>ROUND(SUM(M453+M455+M467),2)</f>
        <v>80.28</v>
      </c>
    </row>
    <row r="471" spans="1:13" ht="25.15" customHeight="1" thickTop="1" thickBot="1">
      <c r="E471" s="27" t="str">
        <f>'Obrazac kalkulacije'!$E$19</f>
        <v>PDV:</v>
      </c>
      <c r="F471" s="248">
        <f>'Obrazac kalkulacije'!$F$19</f>
        <v>0.25</v>
      </c>
      <c r="G471" s="29">
        <f>G470*F471</f>
        <v>20.067499999999999</v>
      </c>
      <c r="H471" s="561"/>
      <c r="K471" s="27" t="str">
        <f>'Obrazac kalkulacije'!$E$19</f>
        <v>PDV:</v>
      </c>
      <c r="L471" s="248">
        <f>'Obrazac kalkulacije'!$F$19</f>
        <v>0.25</v>
      </c>
      <c r="M471" s="29">
        <f>M470*L471</f>
        <v>20.07</v>
      </c>
    </row>
    <row r="472" spans="1:13" ht="25.15" customHeight="1" thickTop="1" thickBot="1">
      <c r="E472" s="148" t="str">
        <f>'Obrazac kalkulacije'!$E$20</f>
        <v>Sveukupno (kn):</v>
      </c>
      <c r="F472" s="256"/>
      <c r="G472" s="29">
        <f>ROUND(SUM(G470:G471),2)</f>
        <v>100.34</v>
      </c>
      <c r="H472" s="562"/>
      <c r="K472" s="148" t="str">
        <f>'Obrazac kalkulacije'!$E$20</f>
        <v>Sveukupno (kn):</v>
      </c>
      <c r="L472" s="256"/>
      <c r="M472" s="29">
        <f>ROUND(SUM(M470:M471),2)</f>
        <v>100.35</v>
      </c>
    </row>
    <row r="473" spans="1:13" ht="15" customHeight="1" thickTop="1"/>
    <row r="474" spans="1:13" ht="15" customHeight="1"/>
    <row r="475" spans="1:13" ht="15" customHeight="1"/>
    <row r="476" spans="1:13" ht="15" customHeight="1">
      <c r="C476" s="3" t="str">
        <f>'Obrazac kalkulacije'!$C$24</f>
        <v>IZVODITELJ:</v>
      </c>
      <c r="F476" s="841" t="str">
        <f>'Obrazac kalkulacije'!$F$24</f>
        <v>NARUČITELJ:</v>
      </c>
      <c r="G476" s="841"/>
      <c r="I476" s="3" t="str">
        <f>'Obrazac kalkulacije'!$C$24</f>
        <v>IZVODITELJ:</v>
      </c>
      <c r="L476" s="841" t="str">
        <f>'Obrazac kalkulacije'!$F$24</f>
        <v>NARUČITELJ:</v>
      </c>
      <c r="M476" s="841"/>
    </row>
    <row r="477" spans="1:13" ht="25.15" customHeight="1">
      <c r="C477" s="3" t="str">
        <f>'Obrazac kalkulacije'!$C$25</f>
        <v>__________________</v>
      </c>
      <c r="F477" s="841" t="str">
        <f>'Obrazac kalkulacije'!$F$25</f>
        <v>___________________</v>
      </c>
      <c r="G477" s="841"/>
      <c r="I477" s="3" t="str">
        <f>'Obrazac kalkulacije'!$C$25</f>
        <v>__________________</v>
      </c>
      <c r="L477" s="841" t="str">
        <f>'Obrazac kalkulacije'!$F$25</f>
        <v>___________________</v>
      </c>
      <c r="M477" s="841"/>
    </row>
    <row r="478" spans="1:13" ht="15" customHeight="1">
      <c r="G478" s="30"/>
      <c r="M478" s="30"/>
    </row>
    <row r="479" spans="1:13" ht="15" customHeight="1"/>
    <row r="480" spans="1:13" ht="15" customHeight="1">
      <c r="A480" s="144"/>
      <c r="B480" s="145" t="s">
        <v>17</v>
      </c>
      <c r="C480" s="146" t="s">
        <v>56</v>
      </c>
      <c r="D480" s="146"/>
      <c r="E480" s="146"/>
      <c r="F480" s="252"/>
      <c r="G480" s="146"/>
      <c r="I480" s="146" t="s">
        <v>56</v>
      </c>
      <c r="J480" s="146"/>
      <c r="K480" s="146"/>
      <c r="L480" s="252"/>
      <c r="M480" s="146"/>
    </row>
    <row r="481" spans="1:13" ht="15" customHeight="1">
      <c r="A481" s="38"/>
      <c r="B481" s="39" t="s">
        <v>64</v>
      </c>
      <c r="C481" s="8" t="s">
        <v>65</v>
      </c>
      <c r="D481" s="8"/>
      <c r="E481" s="8"/>
      <c r="F481" s="253"/>
      <c r="G481" s="8"/>
      <c r="I481" s="8" t="s">
        <v>65</v>
      </c>
      <c r="J481" s="8"/>
      <c r="K481" s="8"/>
      <c r="L481" s="253"/>
      <c r="M481" s="8"/>
    </row>
    <row r="482" spans="1:13" ht="15" customHeight="1">
      <c r="A482" s="48"/>
      <c r="B482" s="49" t="s">
        <v>98</v>
      </c>
      <c r="C482" s="50" t="s">
        <v>99</v>
      </c>
      <c r="D482" s="50"/>
      <c r="E482" s="50"/>
      <c r="F482" s="250"/>
      <c r="G482" s="50"/>
      <c r="I482" s="50" t="s">
        <v>99</v>
      </c>
      <c r="J482" s="50"/>
      <c r="K482" s="50"/>
      <c r="L482" s="250"/>
      <c r="M482" s="50"/>
    </row>
    <row r="483" spans="1:13" ht="150" customHeight="1">
      <c r="A483" s="40"/>
      <c r="B483" s="556" t="s">
        <v>122</v>
      </c>
      <c r="C483" s="852" t="s">
        <v>123</v>
      </c>
      <c r="D483" s="852"/>
      <c r="E483" s="852"/>
      <c r="F483" s="852"/>
      <c r="G483" s="852"/>
      <c r="I483" s="869" t="s">
        <v>124</v>
      </c>
      <c r="J483" s="869"/>
      <c r="K483" s="869"/>
      <c r="L483" s="869"/>
      <c r="M483" s="869"/>
    </row>
    <row r="484" spans="1:13" ht="15" customHeight="1" thickBot="1"/>
    <row r="485" spans="1:13" ht="30" customHeight="1" thickTop="1" thickBot="1">
      <c r="A485" s="10"/>
      <c r="B485" s="835" t="str">
        <f>'Obrazac kalkulacije'!$B$6:$C$6</f>
        <v>Opis</v>
      </c>
      <c r="C485" s="835"/>
      <c r="D485" s="10" t="str">
        <f>'Obrazac kalkulacije'!$D$6</f>
        <v>Jed.
mjere</v>
      </c>
      <c r="E485" s="10" t="str">
        <f>'Obrazac kalkulacije'!$E$6</f>
        <v>Normativ</v>
      </c>
      <c r="F485" s="10" t="str">
        <f>'Obrazac kalkulacije'!$F$6</f>
        <v>Jed.
cijena</v>
      </c>
      <c r="G485" s="10" t="str">
        <f>'Obrazac kalkulacije'!$G$6</f>
        <v>Iznos</v>
      </c>
      <c r="I485" s="703"/>
      <c r="J485" s="10" t="str">
        <f>'Obrazac kalkulacije'!$D$6</f>
        <v>Jed.
mjere</v>
      </c>
      <c r="K485" s="10" t="str">
        <f>'Obrazac kalkulacije'!$E$6</f>
        <v>Normativ</v>
      </c>
      <c r="L485" s="10" t="str">
        <f>'Obrazac kalkulacije'!$F$6</f>
        <v>Jed.
cijena</v>
      </c>
      <c r="M485" s="10" t="str">
        <f>'Obrazac kalkulacije'!$G$6</f>
        <v>Iznos</v>
      </c>
    </row>
    <row r="486" spans="1:13" ht="4.5" customHeight="1" thickTop="1">
      <c r="B486" s="42"/>
      <c r="C486" s="1"/>
      <c r="D486" s="11"/>
      <c r="E486" s="13"/>
      <c r="F486" s="245"/>
      <c r="G486" s="15"/>
      <c r="I486" s="1"/>
      <c r="J486" s="11"/>
      <c r="K486" s="13"/>
      <c r="L486" s="245"/>
      <c r="M486" s="15"/>
    </row>
    <row r="487" spans="1:13" ht="25.15" customHeight="1">
      <c r="A487" s="16"/>
      <c r="B487" s="17" t="str">
        <f>'Obrazac kalkulacije'!$B$8</f>
        <v>Radna snaga:</v>
      </c>
      <c r="C487" s="17"/>
      <c r="D487" s="16"/>
      <c r="E487" s="16"/>
      <c r="F487" s="246"/>
      <c r="G487" s="18">
        <f>SUM(G488:G488)</f>
        <v>2.1881249999999999</v>
      </c>
      <c r="I487" s="17"/>
      <c r="J487" s="16"/>
      <c r="K487" s="16"/>
      <c r="L487" s="246"/>
      <c r="M487" s="18">
        <f>SUM(M488:M488)</f>
        <v>2.1880899899999999</v>
      </c>
    </row>
    <row r="488" spans="1:13" ht="25.15" customHeight="1">
      <c r="A488" s="32"/>
      <c r="B488" s="854" t="s">
        <v>57</v>
      </c>
      <c r="C488" s="854"/>
      <c r="D488" s="33" t="s">
        <v>51</v>
      </c>
      <c r="E488" s="34">
        <v>2.0833333333333332E-2</v>
      </c>
      <c r="F488" s="243">
        <f>SUMIF('Cjenik RS'!$C$11:$C$26,$B488,'Cjenik RS'!$D$11:$D$90)</f>
        <v>105.03</v>
      </c>
      <c r="G488" s="35">
        <f>+F488*E488</f>
        <v>2.1881249999999999</v>
      </c>
      <c r="I488" s="701"/>
      <c r="J488" s="33" t="s">
        <v>51</v>
      </c>
      <c r="K488" s="34">
        <v>2.0833000000000001E-2</v>
      </c>
      <c r="L488" s="243">
        <f>SUMIF('Cjenik RS'!$C$11:$C$26,$B488,'Cjenik RS'!$D$11:$D$90)</f>
        <v>105.03</v>
      </c>
      <c r="M488" s="35">
        <f>+L488*K488</f>
        <v>2.1880899899999999</v>
      </c>
    </row>
    <row r="489" spans="1:13" ht="25.15" customHeight="1">
      <c r="A489" s="16"/>
      <c r="B489" s="17" t="str">
        <f>'Obrazac kalkulacije'!$B$11</f>
        <v>Vozila, strojevi i oprema:</v>
      </c>
      <c r="C489" s="17"/>
      <c r="D489" s="16"/>
      <c r="E489" s="16"/>
      <c r="F489" s="243"/>
      <c r="G489" s="18">
        <f>SUM(G490:G500)</f>
        <v>9.4095052083333321</v>
      </c>
      <c r="I489" s="17"/>
      <c r="J489" s="16"/>
      <c r="K489" s="16"/>
      <c r="L489" s="243"/>
      <c r="M489" s="18">
        <f>SUM(M490:M500)</f>
        <v>9.4135792800000004</v>
      </c>
    </row>
    <row r="490" spans="1:13" ht="25.15" customHeight="1">
      <c r="A490" s="56"/>
      <c r="B490" s="839" t="s">
        <v>75</v>
      </c>
      <c r="C490" s="839"/>
      <c r="D490" s="57" t="s">
        <v>51</v>
      </c>
      <c r="E490" s="92">
        <v>5.2083333333333333E-4</v>
      </c>
      <c r="F490" s="241">
        <f>SUMIF('Cjenik VSO'!$B$9:$B$85,$B490,'Cjenik VSO'!$C$9:$C$85)</f>
        <v>718.97</v>
      </c>
      <c r="G490" s="59">
        <f t="shared" ref="G490:G500" si="29">E490*F490</f>
        <v>0.37446354166666668</v>
      </c>
      <c r="I490" s="707"/>
      <c r="J490" s="57" t="s">
        <v>51</v>
      </c>
      <c r="K490" s="92">
        <v>5.2099999999999998E-4</v>
      </c>
      <c r="L490" s="241">
        <f>SUMIF('Cjenik VSO'!$B$9:$B$85,$B490,'Cjenik VSO'!$C$9:$C$85)</f>
        <v>718.97</v>
      </c>
      <c r="M490" s="59">
        <f t="shared" ref="M490:M500" si="30">K490*L490</f>
        <v>0.37458337000000003</v>
      </c>
    </row>
    <row r="491" spans="1:13" ht="25.15" customHeight="1">
      <c r="A491" s="56"/>
      <c r="B491" s="839" t="s">
        <v>60</v>
      </c>
      <c r="C491" s="839"/>
      <c r="D491" s="57" t="s">
        <v>51</v>
      </c>
      <c r="E491" s="92">
        <v>1.0416666666666667E-3</v>
      </c>
      <c r="F491" s="241">
        <f>SUMIF('Cjenik VSO'!$B$9:$B$85,$B491,'Cjenik VSO'!$C$9:$C$85)</f>
        <v>328.73</v>
      </c>
      <c r="G491" s="59">
        <f t="shared" si="29"/>
        <v>0.34242708333333333</v>
      </c>
      <c r="I491" s="707"/>
      <c r="J491" s="57" t="s">
        <v>51</v>
      </c>
      <c r="K491" s="92">
        <v>1.011E-3</v>
      </c>
      <c r="L491" s="241">
        <f>SUMIF('Cjenik VSO'!$B$9:$B$85,$B491,'Cjenik VSO'!$C$9:$C$85)</f>
        <v>328.73</v>
      </c>
      <c r="M491" s="59">
        <f t="shared" si="30"/>
        <v>0.33234603000000001</v>
      </c>
    </row>
    <row r="492" spans="1:13" ht="25.15" customHeight="1">
      <c r="A492" s="56"/>
      <c r="B492" s="839" t="s">
        <v>61</v>
      </c>
      <c r="C492" s="839"/>
      <c r="D492" s="57" t="s">
        <v>51</v>
      </c>
      <c r="E492" s="92">
        <v>1.0416666666666667E-3</v>
      </c>
      <c r="F492" s="241">
        <f>SUMIF('Cjenik VSO'!$B$9:$B$85,$B492,'Cjenik VSO'!$C$9:$C$85)</f>
        <v>62.67</v>
      </c>
      <c r="G492" s="59">
        <f t="shared" si="29"/>
        <v>6.5281249999999999E-2</v>
      </c>
      <c r="I492" s="707"/>
      <c r="J492" s="57" t="s">
        <v>51</v>
      </c>
      <c r="K492" s="92">
        <v>1.011E-3</v>
      </c>
      <c r="L492" s="241">
        <f>SUMIF('Cjenik VSO'!$B$9:$B$85,$B492,'Cjenik VSO'!$C$9:$C$85)</f>
        <v>62.67</v>
      </c>
      <c r="M492" s="59">
        <f t="shared" si="30"/>
        <v>6.3359369999999998E-2</v>
      </c>
    </row>
    <row r="493" spans="1:13" ht="25.15" customHeight="1">
      <c r="A493" s="56"/>
      <c r="B493" s="839" t="s">
        <v>73</v>
      </c>
      <c r="C493" s="839"/>
      <c r="D493" s="57" t="s">
        <v>51</v>
      </c>
      <c r="E493" s="92">
        <v>1.0416666666666667E-3</v>
      </c>
      <c r="F493" s="241">
        <f>SUMIF('Cjenik VSO'!$B$9:$B$85,$B493,'Cjenik VSO'!$C$9:$C$85)</f>
        <v>291.72000000000003</v>
      </c>
      <c r="G493" s="59">
        <f t="shared" si="29"/>
        <v>0.30387500000000001</v>
      </c>
      <c r="I493" s="707"/>
      <c r="J493" s="57" t="s">
        <v>51</v>
      </c>
      <c r="K493" s="92">
        <v>1.1720000000000001E-3</v>
      </c>
      <c r="L493" s="241">
        <f>SUMIF('Cjenik VSO'!$B$9:$B$85,$B493,'Cjenik VSO'!$C$9:$C$85)</f>
        <v>291.72000000000003</v>
      </c>
      <c r="M493" s="59">
        <f t="shared" si="30"/>
        <v>0.34189584000000006</v>
      </c>
    </row>
    <row r="494" spans="1:13" ht="25.15" customHeight="1">
      <c r="A494" s="56"/>
      <c r="B494" s="839" t="s">
        <v>74</v>
      </c>
      <c r="C494" s="839"/>
      <c r="D494" s="57" t="s">
        <v>51</v>
      </c>
      <c r="E494" s="92">
        <v>4.6874999999999998E-3</v>
      </c>
      <c r="F494" s="241">
        <f>SUMIF('Cjenik VSO'!$B$9:$B$85,$B494,'Cjenik VSO'!$C$9:$C$85)</f>
        <v>355.64</v>
      </c>
      <c r="G494" s="59">
        <f t="shared" si="29"/>
        <v>1.6670624999999999</v>
      </c>
      <c r="I494" s="707"/>
      <c r="J494" s="57" t="s">
        <v>51</v>
      </c>
      <c r="K494" s="92">
        <v>4.6880000000000003E-3</v>
      </c>
      <c r="L494" s="241">
        <f>SUMIF('Cjenik VSO'!$B$9:$B$85,$B494,'Cjenik VSO'!$C$9:$C$85)</f>
        <v>355.64</v>
      </c>
      <c r="M494" s="59">
        <f t="shared" si="30"/>
        <v>1.6672403200000001</v>
      </c>
    </row>
    <row r="495" spans="1:13" ht="25.15" customHeight="1">
      <c r="A495" s="56"/>
      <c r="B495" s="839" t="s">
        <v>104</v>
      </c>
      <c r="C495" s="839"/>
      <c r="D495" s="57" t="s">
        <v>51</v>
      </c>
      <c r="E495" s="92">
        <v>4.1666666666666666E-3</v>
      </c>
      <c r="F495" s="241">
        <f>SUMIF('Cjenik VSO'!$B$9:$B$85,$B495,'Cjenik VSO'!$C$9:$C$85)</f>
        <v>693.43</v>
      </c>
      <c r="G495" s="59">
        <f t="shared" si="29"/>
        <v>2.8892916666666664</v>
      </c>
      <c r="I495" s="707"/>
      <c r="J495" s="57" t="s">
        <v>51</v>
      </c>
      <c r="K495" s="92">
        <v>4.1669999999999997E-3</v>
      </c>
      <c r="L495" s="241">
        <f>SUMIF('Cjenik VSO'!$B$9:$B$85,$B495,'Cjenik VSO'!$C$9:$C$85)</f>
        <v>693.43</v>
      </c>
      <c r="M495" s="59">
        <f t="shared" si="30"/>
        <v>2.8895228099999994</v>
      </c>
    </row>
    <row r="496" spans="1:13" ht="25.15" customHeight="1">
      <c r="A496" s="56"/>
      <c r="B496" s="839" t="s">
        <v>87</v>
      </c>
      <c r="C496" s="839"/>
      <c r="D496" s="57" t="s">
        <v>51</v>
      </c>
      <c r="E496" s="92">
        <v>2.0833333333333333E-3</v>
      </c>
      <c r="F496" s="241">
        <f>SUMIF('Cjenik VSO'!$B$9:$B$85,$B496,'Cjenik VSO'!$C$9:$C$85)</f>
        <v>240.85</v>
      </c>
      <c r="G496" s="59">
        <f t="shared" si="29"/>
        <v>0.50177083333333328</v>
      </c>
      <c r="I496" s="707"/>
      <c r="J496" s="57" t="s">
        <v>51</v>
      </c>
      <c r="K496" s="92">
        <v>2.0830000000000002E-3</v>
      </c>
      <c r="L496" s="241">
        <f>SUMIF('Cjenik VSO'!$B$9:$B$85,$B496,'Cjenik VSO'!$C$9:$C$85)</f>
        <v>240.85</v>
      </c>
      <c r="M496" s="59">
        <f t="shared" si="30"/>
        <v>0.50169055000000007</v>
      </c>
    </row>
    <row r="497" spans="1:13" ht="25.15" customHeight="1">
      <c r="A497" s="56"/>
      <c r="B497" s="839" t="s">
        <v>79</v>
      </c>
      <c r="C497" s="839"/>
      <c r="D497" s="57" t="s">
        <v>51</v>
      </c>
      <c r="E497" s="92">
        <v>3.6458333333333334E-3</v>
      </c>
      <c r="F497" s="241">
        <f>SUMIF('Cjenik VSO'!$B$9:$B$85,$B497,'Cjenik VSO'!$C$9:$C$85)</f>
        <v>199.57</v>
      </c>
      <c r="G497" s="59">
        <f t="shared" si="29"/>
        <v>0.72759895833333332</v>
      </c>
      <c r="I497" s="707"/>
      <c r="J497" s="57" t="s">
        <v>51</v>
      </c>
      <c r="K497" s="92">
        <v>2.0830000000000002E-3</v>
      </c>
      <c r="L497" s="241">
        <f>SUMIF('Cjenik VSO'!$B$9:$B$85,$B497,'Cjenik VSO'!$C$9:$C$85)</f>
        <v>199.57</v>
      </c>
      <c r="M497" s="59">
        <f t="shared" si="30"/>
        <v>0.41570431000000002</v>
      </c>
    </row>
    <row r="498" spans="1:13" ht="25.15" customHeight="1">
      <c r="A498" s="56"/>
      <c r="B498" s="839" t="s">
        <v>88</v>
      </c>
      <c r="C498" s="839"/>
      <c r="D498" s="57" t="s">
        <v>51</v>
      </c>
      <c r="E498" s="92">
        <v>7.2916666666666668E-3</v>
      </c>
      <c r="F498" s="241">
        <f>SUMIF('Cjenik VSO'!$B$9:$B$85,$B498,'Cjenik VSO'!$C$9:$C$85)</f>
        <v>269.36</v>
      </c>
      <c r="G498" s="59">
        <f t="shared" si="29"/>
        <v>1.9640833333333334</v>
      </c>
      <c r="I498" s="707"/>
      <c r="J498" s="57" t="s">
        <v>51</v>
      </c>
      <c r="K498" s="92">
        <v>8.3330000000000001E-3</v>
      </c>
      <c r="L498" s="241">
        <f>SUMIF('Cjenik VSO'!$B$9:$B$85,$B498,'Cjenik VSO'!$C$9:$C$85)</f>
        <v>269.36</v>
      </c>
      <c r="M498" s="59">
        <f t="shared" si="30"/>
        <v>2.2445768800000003</v>
      </c>
    </row>
    <row r="499" spans="1:13" ht="25.15" customHeight="1">
      <c r="A499" s="56"/>
      <c r="B499" s="839" t="s">
        <v>80</v>
      </c>
      <c r="C499" s="839"/>
      <c r="D499" s="57" t="s">
        <v>51</v>
      </c>
      <c r="E499" s="92">
        <v>1.0416666666666667E-3</v>
      </c>
      <c r="F499" s="241">
        <f>SUMIF('Cjenik VSO'!$B$9:$B$85,$B499,'Cjenik VSO'!$C$9:$C$85)</f>
        <v>68.709999999999994</v>
      </c>
      <c r="G499" s="59">
        <f t="shared" si="29"/>
        <v>7.1572916666666653E-2</v>
      </c>
      <c r="I499" s="707"/>
      <c r="J499" s="57" t="s">
        <v>51</v>
      </c>
      <c r="K499" s="92">
        <v>1.1720000000000001E-3</v>
      </c>
      <c r="L499" s="241">
        <f>SUMIF('Cjenik VSO'!$B$9:$B$85,$B499,'Cjenik VSO'!$C$9:$C$85)</f>
        <v>68.709999999999994</v>
      </c>
      <c r="M499" s="59">
        <f t="shared" si="30"/>
        <v>8.0528119999999995E-2</v>
      </c>
    </row>
    <row r="500" spans="1:13" ht="25.15" customHeight="1">
      <c r="A500" s="61"/>
      <c r="B500" s="855" t="s">
        <v>81</v>
      </c>
      <c r="C500" s="855"/>
      <c r="D500" s="62" t="s">
        <v>51</v>
      </c>
      <c r="E500" s="87">
        <v>4.6874999999999998E-3</v>
      </c>
      <c r="F500" s="242">
        <f>SUMIF('Cjenik VSO'!$B$9:$B$85,$B500,'Cjenik VSO'!$C$9:$C$85)</f>
        <v>107.11</v>
      </c>
      <c r="G500" s="64">
        <f t="shared" si="29"/>
        <v>0.50207812499999993</v>
      </c>
      <c r="I500" s="708"/>
      <c r="J500" s="62" t="s">
        <v>51</v>
      </c>
      <c r="K500" s="87">
        <v>4.6880000000000003E-3</v>
      </c>
      <c r="L500" s="242">
        <f>SUMIF('Cjenik VSO'!$B$9:$B$85,$B500,'Cjenik VSO'!$C$9:$C$85)</f>
        <v>107.11</v>
      </c>
      <c r="M500" s="64">
        <f t="shared" si="30"/>
        <v>0.50213168000000008</v>
      </c>
    </row>
    <row r="501" spans="1:13" ht="25.15" customHeight="1">
      <c r="A501" s="16"/>
      <c r="B501" s="851" t="str">
        <f>'Obrazac kalkulacije'!$B$15</f>
        <v>Materijali:</v>
      </c>
      <c r="C501" s="851"/>
      <c r="D501" s="16"/>
      <c r="E501" s="16"/>
      <c r="F501" s="243"/>
      <c r="G501" s="18">
        <f>SUM(G502:G503)</f>
        <v>62.85</v>
      </c>
      <c r="I501" s="709"/>
      <c r="J501" s="16"/>
      <c r="K501" s="16"/>
      <c r="L501" s="243"/>
      <c r="M501" s="18">
        <f>SUM(M502:M503)</f>
        <v>62.85</v>
      </c>
    </row>
    <row r="502" spans="1:13" ht="25.15" customHeight="1">
      <c r="A502" s="77"/>
      <c r="B502" s="856" t="str">
        <f>'Cjenik M'!$B$20</f>
        <v>Razrjeđivač za drvo</v>
      </c>
      <c r="C502" s="856"/>
      <c r="D502" s="78" t="str">
        <f>'Cjenik M'!$C$20</f>
        <v>l</v>
      </c>
      <c r="E502" s="79">
        <v>0.125</v>
      </c>
      <c r="F502" s="254">
        <f>'Cjenik M'!$D$20</f>
        <v>22.8</v>
      </c>
      <c r="G502" s="80">
        <f>+F502*E502</f>
        <v>2.85</v>
      </c>
      <c r="I502" s="710"/>
      <c r="J502" s="78" t="str">
        <f>'Cjenik M'!$C$20</f>
        <v>l</v>
      </c>
      <c r="K502" s="79">
        <v>0.125</v>
      </c>
      <c r="L502" s="254">
        <f>'Cjenik M'!$D$20</f>
        <v>22.8</v>
      </c>
      <c r="M502" s="80">
        <f>+L502*K502</f>
        <v>2.85</v>
      </c>
    </row>
    <row r="503" spans="1:13" ht="25.15" customHeight="1" thickBot="1">
      <c r="A503" s="74"/>
      <c r="B503" s="853" t="str">
        <f>'Cjenik M'!$B$21</f>
        <v>Oznaka ulice</v>
      </c>
      <c r="C503" s="853"/>
      <c r="D503" s="67" t="str">
        <f>'Cjenik M'!$C$21</f>
        <v>kom</v>
      </c>
      <c r="E503" s="81">
        <v>0.4</v>
      </c>
      <c r="F503" s="249">
        <f>'Cjenik M'!$D$21</f>
        <v>150</v>
      </c>
      <c r="G503" s="70">
        <f>+F503*E503</f>
        <v>60</v>
      </c>
      <c r="I503" s="706"/>
      <c r="J503" s="67" t="str">
        <f>'Cjenik M'!$C$21</f>
        <v>kom</v>
      </c>
      <c r="K503" s="81">
        <v>0.4</v>
      </c>
      <c r="L503" s="249">
        <f>'Cjenik M'!$D$21</f>
        <v>150</v>
      </c>
      <c r="M503" s="70">
        <f>+L503*K503</f>
        <v>60</v>
      </c>
    </row>
    <row r="504" spans="1:13" ht="25.15" customHeight="1" thickTop="1" thickBot="1">
      <c r="B504" s="47"/>
      <c r="C504" s="24"/>
      <c r="D504" s="25"/>
      <c r="E504" s="147" t="str">
        <f>'Obrazac kalkulacije'!$E$18</f>
        <v>Ukupno (kn):</v>
      </c>
      <c r="F504" s="255"/>
      <c r="G504" s="26">
        <f>ROUND(SUM(G487+G489+G501),2)</f>
        <v>74.45</v>
      </c>
      <c r="H504" s="269"/>
      <c r="I504" s="24"/>
      <c r="J504" s="25"/>
      <c r="K504" s="147" t="str">
        <f>'Obrazac kalkulacije'!$E$18</f>
        <v>Ukupno (kn):</v>
      </c>
      <c r="L504" s="255"/>
      <c r="M504" s="26">
        <f>ROUND(SUM(M487+M489+M501),2)</f>
        <v>74.45</v>
      </c>
    </row>
    <row r="505" spans="1:13" ht="25.15" customHeight="1" thickTop="1" thickBot="1">
      <c r="E505" s="27" t="str">
        <f>'Obrazac kalkulacije'!$E$19</f>
        <v>PDV:</v>
      </c>
      <c r="F505" s="248">
        <f>'Obrazac kalkulacije'!$F$19</f>
        <v>0.25</v>
      </c>
      <c r="G505" s="29">
        <f>G504*F505</f>
        <v>18.612500000000001</v>
      </c>
      <c r="H505" s="561"/>
      <c r="K505" s="27" t="str">
        <f>'Obrazac kalkulacije'!$E$19</f>
        <v>PDV:</v>
      </c>
      <c r="L505" s="248">
        <f>'Obrazac kalkulacije'!$F$19</f>
        <v>0.25</v>
      </c>
      <c r="M505" s="29">
        <f>M504*L505</f>
        <v>18.612500000000001</v>
      </c>
    </row>
    <row r="506" spans="1:13" ht="25.15" customHeight="1" thickTop="1" thickBot="1">
      <c r="E506" s="148" t="str">
        <f>'Obrazac kalkulacije'!$E$20</f>
        <v>Sveukupno (kn):</v>
      </c>
      <c r="F506" s="256"/>
      <c r="G506" s="29">
        <f>ROUND(SUM(G504:G505),2)</f>
        <v>93.06</v>
      </c>
      <c r="H506" s="562"/>
      <c r="K506" s="148" t="str">
        <f>'Obrazac kalkulacije'!$E$20</f>
        <v>Sveukupno (kn):</v>
      </c>
      <c r="L506" s="256"/>
      <c r="M506" s="29">
        <f>ROUND(SUM(M504:M505),2)</f>
        <v>93.06</v>
      </c>
    </row>
    <row r="507" spans="1:13" ht="15" customHeight="1" thickTop="1"/>
    <row r="508" spans="1:13" ht="15" customHeight="1"/>
    <row r="509" spans="1:13" ht="15" customHeight="1"/>
    <row r="510" spans="1:13" ht="15" customHeight="1">
      <c r="C510" s="3" t="str">
        <f>'Obrazac kalkulacije'!$C$24</f>
        <v>IZVODITELJ:</v>
      </c>
      <c r="F510" s="841" t="str">
        <f>'Obrazac kalkulacije'!$F$24</f>
        <v>NARUČITELJ:</v>
      </c>
      <c r="G510" s="841"/>
      <c r="I510" s="3" t="str">
        <f>'Obrazac kalkulacije'!$C$24</f>
        <v>IZVODITELJ:</v>
      </c>
      <c r="L510" s="841" t="str">
        <f>'Obrazac kalkulacije'!$F$24</f>
        <v>NARUČITELJ:</v>
      </c>
      <c r="M510" s="841"/>
    </row>
    <row r="511" spans="1:13" ht="25.15" customHeight="1">
      <c r="C511" s="3" t="str">
        <f>'Obrazac kalkulacije'!$C$25</f>
        <v>__________________</v>
      </c>
      <c r="F511" s="841" t="str">
        <f>'Obrazac kalkulacije'!$F$25</f>
        <v>___________________</v>
      </c>
      <c r="G511" s="841"/>
      <c r="I511" s="3" t="str">
        <f>'Obrazac kalkulacije'!$C$25</f>
        <v>__________________</v>
      </c>
      <c r="L511" s="841" t="str">
        <f>'Obrazac kalkulacije'!$F$25</f>
        <v>___________________</v>
      </c>
      <c r="M511" s="841"/>
    </row>
    <row r="512" spans="1:13" ht="15" customHeight="1">
      <c r="G512" s="30"/>
      <c r="M512" s="30"/>
    </row>
    <row r="513" spans="1:13" ht="15" customHeight="1"/>
    <row r="514" spans="1:13" ht="15" customHeight="1">
      <c r="A514" s="144"/>
      <c r="B514" s="145" t="s">
        <v>17</v>
      </c>
      <c r="C514" s="146" t="s">
        <v>56</v>
      </c>
      <c r="D514" s="146"/>
      <c r="E514" s="146"/>
      <c r="F514" s="252"/>
      <c r="G514" s="146"/>
      <c r="I514" s="146" t="s">
        <v>56</v>
      </c>
      <c r="J514" s="146"/>
      <c r="K514" s="146"/>
      <c r="L514" s="252"/>
      <c r="M514" s="146"/>
    </row>
    <row r="515" spans="1:13" ht="15" customHeight="1">
      <c r="A515" s="38"/>
      <c r="B515" s="39" t="s">
        <v>64</v>
      </c>
      <c r="C515" s="8" t="s">
        <v>65</v>
      </c>
      <c r="D515" s="8"/>
      <c r="E515" s="8"/>
      <c r="F515" s="253"/>
      <c r="G515" s="8"/>
      <c r="I515" s="8" t="s">
        <v>65</v>
      </c>
      <c r="J515" s="8"/>
      <c r="K515" s="8"/>
      <c r="L515" s="253"/>
      <c r="M515" s="8"/>
    </row>
    <row r="516" spans="1:13" ht="15" customHeight="1">
      <c r="A516" s="48"/>
      <c r="B516" s="49" t="s">
        <v>98</v>
      </c>
      <c r="C516" s="50" t="s">
        <v>99</v>
      </c>
      <c r="D516" s="50"/>
      <c r="E516" s="50"/>
      <c r="F516" s="250"/>
      <c r="G516" s="50"/>
      <c r="I516" s="50" t="s">
        <v>99</v>
      </c>
      <c r="J516" s="50"/>
      <c r="K516" s="50"/>
      <c r="L516" s="250"/>
      <c r="M516" s="50"/>
    </row>
    <row r="517" spans="1:13" ht="150" customHeight="1">
      <c r="A517" s="40"/>
      <c r="B517" s="556" t="s">
        <v>125</v>
      </c>
      <c r="C517" s="852" t="s">
        <v>126</v>
      </c>
      <c r="D517" s="852"/>
      <c r="E517" s="852"/>
      <c r="F517" s="852"/>
      <c r="G517" s="852"/>
      <c r="I517" s="869" t="s">
        <v>127</v>
      </c>
      <c r="J517" s="869"/>
      <c r="K517" s="869"/>
      <c r="L517" s="869"/>
      <c r="M517" s="869"/>
    </row>
    <row r="518" spans="1:13" ht="15" customHeight="1" thickBot="1"/>
    <row r="519" spans="1:13" ht="30" customHeight="1" thickTop="1" thickBot="1">
      <c r="A519" s="10"/>
      <c r="B519" s="835" t="str">
        <f>'Obrazac kalkulacije'!$B$6:$C$6</f>
        <v>Opis</v>
      </c>
      <c r="C519" s="835"/>
      <c r="D519" s="10" t="str">
        <f>'Obrazac kalkulacije'!$D$6</f>
        <v>Jed.
mjere</v>
      </c>
      <c r="E519" s="10" t="str">
        <f>'Obrazac kalkulacije'!$E$6</f>
        <v>Normativ</v>
      </c>
      <c r="F519" s="10" t="str">
        <f>'Obrazac kalkulacije'!$F$6</f>
        <v>Jed.
cijena</v>
      </c>
      <c r="G519" s="10" t="str">
        <f>'Obrazac kalkulacije'!$G$6</f>
        <v>Iznos</v>
      </c>
      <c r="H519" s="3">
        <v>3000</v>
      </c>
      <c r="I519" s="703"/>
      <c r="J519" s="10" t="str">
        <f>'Obrazac kalkulacije'!$D$6</f>
        <v>Jed.
mjere</v>
      </c>
      <c r="K519" s="10" t="str">
        <f>'Obrazac kalkulacije'!$E$6</f>
        <v>Normativ</v>
      </c>
      <c r="L519" s="10" t="str">
        <f>'Obrazac kalkulacije'!$F$6</f>
        <v>Jed.
cijena</v>
      </c>
      <c r="M519" s="10" t="str">
        <f>'Obrazac kalkulacije'!$G$6</f>
        <v>Iznos</v>
      </c>
    </row>
    <row r="520" spans="1:13" ht="4.5" customHeight="1" thickTop="1">
      <c r="B520" s="42"/>
      <c r="C520" s="1"/>
      <c r="D520" s="11"/>
      <c r="E520" s="13"/>
      <c r="F520" s="245"/>
      <c r="G520" s="15"/>
      <c r="I520" s="1"/>
      <c r="J520" s="11"/>
      <c r="K520" s="13"/>
      <c r="L520" s="245"/>
      <c r="M520" s="15"/>
    </row>
    <row r="521" spans="1:13" ht="25.15" customHeight="1">
      <c r="A521" s="16"/>
      <c r="B521" s="17" t="str">
        <f>'Obrazac kalkulacije'!$B$8</f>
        <v>Radna snaga:</v>
      </c>
      <c r="C521" s="17"/>
      <c r="D521" s="16"/>
      <c r="E521" s="16"/>
      <c r="F521" s="246"/>
      <c r="G521" s="18">
        <f>SUM(G522:G522)</f>
        <v>1.4004000000000001</v>
      </c>
      <c r="I521" s="17"/>
      <c r="J521" s="16"/>
      <c r="K521" s="16"/>
      <c r="L521" s="246"/>
      <c r="M521" s="18">
        <f>SUM(M522:M522)</f>
        <v>1.312875</v>
      </c>
    </row>
    <row r="522" spans="1:13" ht="25.15" customHeight="1">
      <c r="A522" s="32"/>
      <c r="B522" s="854" t="s">
        <v>57</v>
      </c>
      <c r="C522" s="854"/>
      <c r="D522" s="33" t="s">
        <v>51</v>
      </c>
      <c r="E522" s="34">
        <f>H522/H$519</f>
        <v>1.3333333333333334E-2</v>
      </c>
      <c r="F522" s="243">
        <f>SUMIF('Cjenik RS'!$C$11:$C$26,$B522,'Cjenik RS'!$D$11:$D$90)</f>
        <v>105.03</v>
      </c>
      <c r="G522" s="35">
        <f>+F522*E522</f>
        <v>1.4004000000000001</v>
      </c>
      <c r="H522" s="560">
        <v>40</v>
      </c>
      <c r="I522" s="701"/>
      <c r="J522" s="33" t="s">
        <v>51</v>
      </c>
      <c r="K522" s="34">
        <v>1.2500000000000001E-2</v>
      </c>
      <c r="L522" s="243">
        <f>SUMIF('Cjenik RS'!$C$11:$C$26,$B522,'Cjenik RS'!$D$11:$D$90)</f>
        <v>105.03</v>
      </c>
      <c r="M522" s="35">
        <f>+L522*K522</f>
        <v>1.312875</v>
      </c>
    </row>
    <row r="523" spans="1:13" ht="25.15" customHeight="1">
      <c r="A523" s="16"/>
      <c r="B523" s="17" t="str">
        <f>'Obrazac kalkulacije'!$B$11</f>
        <v>Vozila, strojevi i oprema:</v>
      </c>
      <c r="C523" s="17"/>
      <c r="D523" s="16"/>
      <c r="E523" s="16"/>
      <c r="F523" s="243"/>
      <c r="G523" s="18">
        <f>SUM(G524:G534)</f>
        <v>6.0220833333333337</v>
      </c>
      <c r="I523" s="17"/>
      <c r="J523" s="16"/>
      <c r="K523" s="16"/>
      <c r="L523" s="243"/>
      <c r="M523" s="18">
        <f>SUM(M524:M534)</f>
        <v>5.6642714499999993</v>
      </c>
    </row>
    <row r="524" spans="1:13" ht="25.15" customHeight="1">
      <c r="A524" s="56"/>
      <c r="B524" s="839" t="s">
        <v>75</v>
      </c>
      <c r="C524" s="839"/>
      <c r="D524" s="57" t="s">
        <v>51</v>
      </c>
      <c r="E524" s="34">
        <f t="shared" ref="E524:E534" si="31">H524/H$519</f>
        <v>3.3333333333333332E-4</v>
      </c>
      <c r="F524" s="241">
        <f>SUMIF('Cjenik VSO'!$B$9:$B$85,$B524,'Cjenik VSO'!$C$9:$C$85)</f>
        <v>718.97</v>
      </c>
      <c r="G524" s="59">
        <f t="shared" ref="G524:G534" si="32">E524*F524</f>
        <v>0.23965666666666666</v>
      </c>
      <c r="H524" s="560">
        <v>1</v>
      </c>
      <c r="I524" s="707"/>
      <c r="J524" s="57" t="s">
        <v>51</v>
      </c>
      <c r="K524" s="92">
        <v>3.1300000000000002E-4</v>
      </c>
      <c r="L524" s="241">
        <f>SUMIF('Cjenik VSO'!$B$9:$B$85,$B524,'Cjenik VSO'!$C$9:$C$85)</f>
        <v>718.97</v>
      </c>
      <c r="M524" s="59">
        <f t="shared" ref="M524:M534" si="33">K524*L524</f>
        <v>0.22503761000000003</v>
      </c>
    </row>
    <row r="525" spans="1:13" ht="25.15" customHeight="1">
      <c r="A525" s="56"/>
      <c r="B525" s="839" t="s">
        <v>60</v>
      </c>
      <c r="C525" s="839"/>
      <c r="D525" s="57" t="s">
        <v>51</v>
      </c>
      <c r="E525" s="34">
        <f t="shared" si="31"/>
        <v>6.6666666666666664E-4</v>
      </c>
      <c r="F525" s="241">
        <f>SUMIF('Cjenik VSO'!$B$9:$B$85,$B525,'Cjenik VSO'!$C$9:$C$85)</f>
        <v>328.73</v>
      </c>
      <c r="G525" s="59">
        <f t="shared" si="32"/>
        <v>0.21915333333333334</v>
      </c>
      <c r="H525" s="560">
        <v>2</v>
      </c>
      <c r="I525" s="707"/>
      <c r="J525" s="57" t="s">
        <v>51</v>
      </c>
      <c r="K525" s="92">
        <v>6.4700000000000001E-4</v>
      </c>
      <c r="L525" s="241">
        <f>SUMIF('Cjenik VSO'!$B$9:$B$85,$B525,'Cjenik VSO'!$C$9:$C$85)</f>
        <v>328.73</v>
      </c>
      <c r="M525" s="59">
        <f t="shared" si="33"/>
        <v>0.21268831000000002</v>
      </c>
    </row>
    <row r="526" spans="1:13" ht="25.15" customHeight="1">
      <c r="A526" s="56"/>
      <c r="B526" s="839" t="s">
        <v>61</v>
      </c>
      <c r="C526" s="839"/>
      <c r="D526" s="57" t="s">
        <v>51</v>
      </c>
      <c r="E526" s="34">
        <f t="shared" si="31"/>
        <v>6.6666666666666664E-4</v>
      </c>
      <c r="F526" s="241">
        <f>SUMIF('Cjenik VSO'!$B$9:$B$85,$B526,'Cjenik VSO'!$C$9:$C$85)</f>
        <v>62.67</v>
      </c>
      <c r="G526" s="59">
        <f t="shared" si="32"/>
        <v>4.1779999999999998E-2</v>
      </c>
      <c r="H526" s="560">
        <v>2</v>
      </c>
      <c r="I526" s="707"/>
      <c r="J526" s="57" t="s">
        <v>51</v>
      </c>
      <c r="K526" s="92">
        <v>6.4700000000000001E-4</v>
      </c>
      <c r="L526" s="241">
        <f>SUMIF('Cjenik VSO'!$B$9:$B$85,$B526,'Cjenik VSO'!$C$9:$C$85)</f>
        <v>62.67</v>
      </c>
      <c r="M526" s="59">
        <f t="shared" si="33"/>
        <v>4.0547489999999999E-2</v>
      </c>
    </row>
    <row r="527" spans="1:13" ht="25.15" customHeight="1">
      <c r="A527" s="56"/>
      <c r="B527" s="839" t="s">
        <v>73</v>
      </c>
      <c r="C527" s="839"/>
      <c r="D527" s="57" t="s">
        <v>51</v>
      </c>
      <c r="E527" s="34">
        <f t="shared" si="31"/>
        <v>6.6666666666666664E-4</v>
      </c>
      <c r="F527" s="241">
        <f>SUMIF('Cjenik VSO'!$B$9:$B$85,$B527,'Cjenik VSO'!$C$9:$C$85)</f>
        <v>291.72000000000003</v>
      </c>
      <c r="G527" s="59">
        <f t="shared" si="32"/>
        <v>0.19448000000000001</v>
      </c>
      <c r="H527" s="560">
        <v>2</v>
      </c>
      <c r="I527" s="707"/>
      <c r="J527" s="57" t="s">
        <v>51</v>
      </c>
      <c r="K527" s="92">
        <v>7.0299999999999996E-4</v>
      </c>
      <c r="L527" s="241">
        <f>SUMIF('Cjenik VSO'!$B$9:$B$85,$B527,'Cjenik VSO'!$C$9:$C$85)</f>
        <v>291.72000000000003</v>
      </c>
      <c r="M527" s="59">
        <f t="shared" si="33"/>
        <v>0.20507916000000001</v>
      </c>
    </row>
    <row r="528" spans="1:13" ht="25.15" customHeight="1">
      <c r="A528" s="56"/>
      <c r="B528" s="839" t="s">
        <v>74</v>
      </c>
      <c r="C528" s="839"/>
      <c r="D528" s="57" t="s">
        <v>51</v>
      </c>
      <c r="E528" s="34">
        <f t="shared" si="31"/>
        <v>3.0000000000000001E-3</v>
      </c>
      <c r="F528" s="241">
        <f>SUMIF('Cjenik VSO'!$B$9:$B$85,$B528,'Cjenik VSO'!$C$9:$C$85)</f>
        <v>355.64</v>
      </c>
      <c r="G528" s="59">
        <f t="shared" si="32"/>
        <v>1.0669200000000001</v>
      </c>
      <c r="H528" s="560">
        <v>9</v>
      </c>
      <c r="I528" s="707"/>
      <c r="J528" s="57" t="s">
        <v>51</v>
      </c>
      <c r="K528" s="92">
        <v>2.813E-3</v>
      </c>
      <c r="L528" s="241">
        <f>SUMIF('Cjenik VSO'!$B$9:$B$85,$B528,'Cjenik VSO'!$C$9:$C$85)</f>
        <v>355.64</v>
      </c>
      <c r="M528" s="59">
        <f t="shared" si="33"/>
        <v>1.0004153199999999</v>
      </c>
    </row>
    <row r="529" spans="1:13" ht="25.15" customHeight="1">
      <c r="A529" s="56"/>
      <c r="B529" s="839" t="s">
        <v>104</v>
      </c>
      <c r="C529" s="839"/>
      <c r="D529" s="57" t="s">
        <v>51</v>
      </c>
      <c r="E529" s="34">
        <f t="shared" si="31"/>
        <v>2.6666666666666666E-3</v>
      </c>
      <c r="F529" s="241">
        <f>SUMIF('Cjenik VSO'!$B$9:$B$85,$B529,'Cjenik VSO'!$C$9:$C$85)</f>
        <v>693.43</v>
      </c>
      <c r="G529" s="59">
        <f t="shared" si="32"/>
        <v>1.8491466666666665</v>
      </c>
      <c r="H529" s="560">
        <v>8</v>
      </c>
      <c r="I529" s="707"/>
      <c r="J529" s="57" t="s">
        <v>51</v>
      </c>
      <c r="K529" s="92">
        <v>2.5000000000000001E-3</v>
      </c>
      <c r="L529" s="241">
        <f>SUMIF('Cjenik VSO'!$B$9:$B$85,$B529,'Cjenik VSO'!$C$9:$C$85)</f>
        <v>693.43</v>
      </c>
      <c r="M529" s="59">
        <f t="shared" si="33"/>
        <v>1.7335749999999999</v>
      </c>
    </row>
    <row r="530" spans="1:13" ht="25.15" customHeight="1">
      <c r="A530" s="56"/>
      <c r="B530" s="839" t="s">
        <v>87</v>
      </c>
      <c r="C530" s="839"/>
      <c r="D530" s="57" t="s">
        <v>51</v>
      </c>
      <c r="E530" s="34">
        <f t="shared" si="31"/>
        <v>1.3333333333333333E-3</v>
      </c>
      <c r="F530" s="241">
        <f>SUMIF('Cjenik VSO'!$B$9:$B$85,$B530,'Cjenik VSO'!$C$9:$C$85)</f>
        <v>240.85</v>
      </c>
      <c r="G530" s="59">
        <f t="shared" si="32"/>
        <v>0.32113333333333333</v>
      </c>
      <c r="H530" s="560">
        <v>4</v>
      </c>
      <c r="I530" s="707"/>
      <c r="J530" s="57" t="s">
        <v>51</v>
      </c>
      <c r="K530" s="92">
        <v>1.25E-3</v>
      </c>
      <c r="L530" s="241">
        <f>SUMIF('Cjenik VSO'!$B$9:$B$85,$B530,'Cjenik VSO'!$C$9:$C$85)</f>
        <v>240.85</v>
      </c>
      <c r="M530" s="59">
        <f t="shared" si="33"/>
        <v>0.30106250000000001</v>
      </c>
    </row>
    <row r="531" spans="1:13" ht="25.15" customHeight="1">
      <c r="A531" s="56"/>
      <c r="B531" s="839" t="s">
        <v>79</v>
      </c>
      <c r="C531" s="839"/>
      <c r="D531" s="57" t="s">
        <v>51</v>
      </c>
      <c r="E531" s="34">
        <f t="shared" si="31"/>
        <v>2.3333333333333335E-3</v>
      </c>
      <c r="F531" s="241">
        <f>SUMIF('Cjenik VSO'!$B$9:$B$85,$B531,'Cjenik VSO'!$C$9:$C$85)</f>
        <v>199.57</v>
      </c>
      <c r="G531" s="59">
        <f t="shared" si="32"/>
        <v>0.46566333333333337</v>
      </c>
      <c r="H531" s="560">
        <v>7</v>
      </c>
      <c r="I531" s="707"/>
      <c r="J531" s="57" t="s">
        <v>51</v>
      </c>
      <c r="K531" s="92">
        <v>1.25E-3</v>
      </c>
      <c r="L531" s="241">
        <f>SUMIF('Cjenik VSO'!$B$9:$B$85,$B531,'Cjenik VSO'!$C$9:$C$85)</f>
        <v>199.57</v>
      </c>
      <c r="M531" s="59">
        <f t="shared" si="33"/>
        <v>0.2494625</v>
      </c>
    </row>
    <row r="532" spans="1:13" ht="25.15" customHeight="1">
      <c r="A532" s="56"/>
      <c r="B532" s="839" t="s">
        <v>88</v>
      </c>
      <c r="C532" s="839"/>
      <c r="D532" s="57" t="s">
        <v>51</v>
      </c>
      <c r="E532" s="34">
        <f t="shared" si="31"/>
        <v>4.6666666666666671E-3</v>
      </c>
      <c r="F532" s="241">
        <f>SUMIF('Cjenik VSO'!$B$9:$B$85,$B532,'Cjenik VSO'!$C$9:$C$85)</f>
        <v>269.36</v>
      </c>
      <c r="G532" s="59">
        <f t="shared" si="32"/>
        <v>1.2570133333333335</v>
      </c>
      <c r="H532" s="560">
        <v>14</v>
      </c>
      <c r="I532" s="707"/>
      <c r="J532" s="57" t="s">
        <v>51</v>
      </c>
      <c r="K532" s="92">
        <v>5.0000000000000001E-3</v>
      </c>
      <c r="L532" s="241">
        <f>SUMIF('Cjenik VSO'!$B$9:$B$85,$B532,'Cjenik VSO'!$C$9:$C$85)</f>
        <v>269.36</v>
      </c>
      <c r="M532" s="59">
        <f t="shared" si="33"/>
        <v>1.3468</v>
      </c>
    </row>
    <row r="533" spans="1:13" ht="25.15" customHeight="1">
      <c r="A533" s="56"/>
      <c r="B533" s="839" t="s">
        <v>80</v>
      </c>
      <c r="C533" s="839"/>
      <c r="D533" s="57" t="s">
        <v>51</v>
      </c>
      <c r="E533" s="34">
        <f t="shared" si="31"/>
        <v>6.6666666666666664E-4</v>
      </c>
      <c r="F533" s="241">
        <f>SUMIF('Cjenik VSO'!$B$9:$B$85,$B533,'Cjenik VSO'!$C$9:$C$85)</f>
        <v>68.709999999999994</v>
      </c>
      <c r="G533" s="59">
        <f t="shared" si="32"/>
        <v>4.5806666666666662E-2</v>
      </c>
      <c r="H533" s="560">
        <v>2</v>
      </c>
      <c r="I533" s="707"/>
      <c r="J533" s="57" t="s">
        <v>51</v>
      </c>
      <c r="K533" s="92">
        <v>7.0299999999999996E-4</v>
      </c>
      <c r="L533" s="241">
        <f>SUMIF('Cjenik VSO'!$B$9:$B$85,$B533,'Cjenik VSO'!$C$9:$C$85)</f>
        <v>68.709999999999994</v>
      </c>
      <c r="M533" s="59">
        <f t="shared" si="33"/>
        <v>4.8303129999999993E-2</v>
      </c>
    </row>
    <row r="534" spans="1:13" ht="25.15" customHeight="1">
      <c r="A534" s="61"/>
      <c r="B534" s="855" t="s">
        <v>81</v>
      </c>
      <c r="C534" s="855"/>
      <c r="D534" s="62" t="s">
        <v>51</v>
      </c>
      <c r="E534" s="34">
        <f t="shared" si="31"/>
        <v>3.0000000000000001E-3</v>
      </c>
      <c r="F534" s="242">
        <f>SUMIF('Cjenik VSO'!$B$9:$B$85,$B534,'Cjenik VSO'!$C$9:$C$85)</f>
        <v>107.11</v>
      </c>
      <c r="G534" s="64">
        <f t="shared" si="32"/>
        <v>0.32133</v>
      </c>
      <c r="H534" s="560">
        <v>9</v>
      </c>
      <c r="I534" s="708"/>
      <c r="J534" s="62" t="s">
        <v>51</v>
      </c>
      <c r="K534" s="87">
        <v>2.813E-3</v>
      </c>
      <c r="L534" s="242">
        <f>SUMIF('Cjenik VSO'!$B$9:$B$85,$B534,'Cjenik VSO'!$C$9:$C$85)</f>
        <v>107.11</v>
      </c>
      <c r="M534" s="64">
        <f t="shared" si="33"/>
        <v>0.30130043000000001</v>
      </c>
    </row>
    <row r="535" spans="1:13" ht="25.15" customHeight="1">
      <c r="A535" s="16"/>
      <c r="B535" s="851" t="str">
        <f>'Obrazac kalkulacije'!$B$15</f>
        <v>Materijali:</v>
      </c>
      <c r="C535" s="851"/>
      <c r="D535" s="16"/>
      <c r="E535" s="16"/>
      <c r="F535" s="243"/>
      <c r="G535" s="18">
        <f>SUM(G536:G537)</f>
        <v>60.922499999999999</v>
      </c>
      <c r="I535" s="709"/>
      <c r="J535" s="16"/>
      <c r="K535" s="16"/>
      <c r="L535" s="243"/>
      <c r="M535" s="18">
        <f>SUM(M536:M537)</f>
        <v>60.922499999999999</v>
      </c>
    </row>
    <row r="536" spans="1:13" ht="25.15" customHeight="1">
      <c r="A536" s="77"/>
      <c r="B536" s="856" t="str">
        <f>'Cjenik M'!$B$18</f>
        <v>Mikrokomplex balance za fontanu</v>
      </c>
      <c r="C536" s="856"/>
      <c r="D536" s="78" t="str">
        <f>'Cjenik M'!$C$18</f>
        <v>l</v>
      </c>
      <c r="E536" s="79">
        <v>7.4999999999999997E-2</v>
      </c>
      <c r="F536" s="254">
        <f>'Cjenik M'!$D$18</f>
        <v>12.3</v>
      </c>
      <c r="G536" s="80">
        <f>+F536*E536</f>
        <v>0.92249999999999999</v>
      </c>
      <c r="I536" s="710"/>
      <c r="J536" s="78" t="str">
        <f>'Cjenik M'!$C$18</f>
        <v>l</v>
      </c>
      <c r="K536" s="79">
        <v>7.4999999999999997E-2</v>
      </c>
      <c r="L536" s="254">
        <f>'Cjenik M'!$D$18</f>
        <v>12.3</v>
      </c>
      <c r="M536" s="80">
        <f>+L536*K536</f>
        <v>0.92249999999999999</v>
      </c>
    </row>
    <row r="537" spans="1:13" ht="25.15" customHeight="1" thickBot="1">
      <c r="A537" s="74"/>
      <c r="B537" s="853" t="str">
        <f>'Cjenik M'!$B$21</f>
        <v>Oznaka ulice</v>
      </c>
      <c r="C537" s="853"/>
      <c r="D537" s="67" t="str">
        <f>'Cjenik M'!$C$21</f>
        <v>kom</v>
      </c>
      <c r="E537" s="81">
        <v>0.4</v>
      </c>
      <c r="F537" s="249">
        <f>'Cjenik M'!$D$21</f>
        <v>150</v>
      </c>
      <c r="G537" s="70">
        <f>+F537*E537</f>
        <v>60</v>
      </c>
      <c r="I537" s="706"/>
      <c r="J537" s="67" t="str">
        <f>'Cjenik M'!$C$21</f>
        <v>kom</v>
      </c>
      <c r="K537" s="81">
        <v>0.4</v>
      </c>
      <c r="L537" s="249">
        <f>'Cjenik M'!$D$21</f>
        <v>150</v>
      </c>
      <c r="M537" s="70">
        <f>+L537*K537</f>
        <v>60</v>
      </c>
    </row>
    <row r="538" spans="1:13" ht="25.15" customHeight="1" thickTop="1" thickBot="1">
      <c r="B538" s="47"/>
      <c r="C538" s="24"/>
      <c r="D538" s="25"/>
      <c r="E538" s="147" t="str">
        <f>'Obrazac kalkulacije'!$E$18</f>
        <v>Ukupno (kn):</v>
      </c>
      <c r="F538" s="255"/>
      <c r="G538" s="26">
        <f>ROUND(SUM(G521+G523+G535),2)</f>
        <v>68.34</v>
      </c>
      <c r="H538" s="269"/>
      <c r="I538" s="24"/>
      <c r="J538" s="25"/>
      <c r="K538" s="147" t="str">
        <f>'Obrazac kalkulacije'!$E$18</f>
        <v>Ukupno (kn):</v>
      </c>
      <c r="L538" s="255"/>
      <c r="M538" s="26">
        <f>ROUND(SUM(M521+M523+M535),2)</f>
        <v>67.900000000000006</v>
      </c>
    </row>
    <row r="539" spans="1:13" ht="25.15" customHeight="1" thickTop="1" thickBot="1">
      <c r="E539" s="27" t="str">
        <f>'Obrazac kalkulacije'!$E$19</f>
        <v>PDV:</v>
      </c>
      <c r="F539" s="248">
        <f>'Obrazac kalkulacije'!$F$19</f>
        <v>0.25</v>
      </c>
      <c r="G539" s="29">
        <f>G538*F539</f>
        <v>17.085000000000001</v>
      </c>
      <c r="H539" s="561"/>
      <c r="K539" s="27" t="str">
        <f>'Obrazac kalkulacije'!$E$19</f>
        <v>PDV:</v>
      </c>
      <c r="L539" s="248">
        <f>'Obrazac kalkulacije'!$F$19</f>
        <v>0.25</v>
      </c>
      <c r="M539" s="29">
        <f>M538*L539</f>
        <v>16.975000000000001</v>
      </c>
    </row>
    <row r="540" spans="1:13" ht="25.15" customHeight="1" thickTop="1" thickBot="1">
      <c r="E540" s="148" t="str">
        <f>'Obrazac kalkulacije'!$E$20</f>
        <v>Sveukupno (kn):</v>
      </c>
      <c r="F540" s="256"/>
      <c r="G540" s="29">
        <f>ROUND(SUM(G538:G539),2)</f>
        <v>85.43</v>
      </c>
      <c r="H540" s="562"/>
      <c r="K540" s="148" t="str">
        <f>'Obrazac kalkulacije'!$E$20</f>
        <v>Sveukupno (kn):</v>
      </c>
      <c r="L540" s="256"/>
      <c r="M540" s="29">
        <f>ROUND(SUM(M538:M539),2)</f>
        <v>84.88</v>
      </c>
    </row>
    <row r="541" spans="1:13" ht="15" customHeight="1" thickTop="1"/>
    <row r="542" spans="1:13" ht="15" customHeight="1"/>
    <row r="543" spans="1:13" ht="15" customHeight="1"/>
    <row r="544" spans="1:13" ht="15" customHeight="1">
      <c r="C544" s="3" t="str">
        <f>'Obrazac kalkulacije'!$C$24</f>
        <v>IZVODITELJ:</v>
      </c>
      <c r="F544" s="841" t="str">
        <f>'Obrazac kalkulacije'!$F$24</f>
        <v>NARUČITELJ:</v>
      </c>
      <c r="G544" s="841"/>
      <c r="I544" s="3" t="str">
        <f>'Obrazac kalkulacije'!$C$24</f>
        <v>IZVODITELJ:</v>
      </c>
      <c r="L544" s="841" t="str">
        <f>'Obrazac kalkulacije'!$F$24</f>
        <v>NARUČITELJ:</v>
      </c>
      <c r="M544" s="841"/>
    </row>
    <row r="545" spans="1:16" ht="25.15" customHeight="1">
      <c r="C545" s="3" t="str">
        <f>'Obrazac kalkulacije'!$C$25</f>
        <v>__________________</v>
      </c>
      <c r="F545" s="841" t="str">
        <f>'Obrazac kalkulacije'!$F$25</f>
        <v>___________________</v>
      </c>
      <c r="G545" s="841"/>
      <c r="I545" s="3" t="str">
        <f>'Obrazac kalkulacije'!$C$25</f>
        <v>__________________</v>
      </c>
      <c r="L545" s="841" t="str">
        <f>'Obrazac kalkulacije'!$F$25</f>
        <v>___________________</v>
      </c>
      <c r="M545" s="841"/>
    </row>
    <row r="546" spans="1:16" ht="15" customHeight="1">
      <c r="G546" s="30"/>
      <c r="M546" s="30"/>
    </row>
    <row r="547" spans="1:16" ht="15" customHeight="1"/>
    <row r="548" spans="1:16" ht="15" customHeight="1">
      <c r="A548" s="144"/>
      <c r="B548" s="145" t="s">
        <v>17</v>
      </c>
      <c r="C548" s="146" t="s">
        <v>56</v>
      </c>
      <c r="D548" s="146"/>
      <c r="E548" s="146"/>
      <c r="F548" s="252"/>
      <c r="G548" s="146"/>
      <c r="I548" s="146" t="s">
        <v>56</v>
      </c>
      <c r="J548" s="146"/>
      <c r="K548" s="146"/>
      <c r="L548" s="252"/>
      <c r="M548" s="146"/>
    </row>
    <row r="549" spans="1:16" ht="15" customHeight="1">
      <c r="A549" s="38"/>
      <c r="B549" s="39" t="s">
        <v>64</v>
      </c>
      <c r="C549" s="8" t="s">
        <v>65</v>
      </c>
      <c r="D549" s="8"/>
      <c r="E549" s="8"/>
      <c r="F549" s="253"/>
      <c r="G549" s="8"/>
      <c r="I549" s="8" t="s">
        <v>65</v>
      </c>
      <c r="J549" s="8"/>
      <c r="K549" s="8"/>
      <c r="L549" s="253"/>
      <c r="M549" s="8"/>
    </row>
    <row r="550" spans="1:16" ht="15" customHeight="1">
      <c r="A550" s="48"/>
      <c r="B550" s="49" t="s">
        <v>128</v>
      </c>
      <c r="C550" s="50" t="s">
        <v>129</v>
      </c>
      <c r="D550" s="50"/>
      <c r="E550" s="50"/>
      <c r="F550" s="250"/>
      <c r="G550" s="50"/>
      <c r="I550" s="50" t="s">
        <v>129</v>
      </c>
      <c r="J550" s="50"/>
      <c r="K550" s="50"/>
      <c r="L550" s="250"/>
      <c r="M550" s="50"/>
    </row>
    <row r="551" spans="1:16" ht="150" customHeight="1">
      <c r="A551" s="40"/>
      <c r="B551" s="556" t="s">
        <v>130</v>
      </c>
      <c r="C551" s="852" t="s">
        <v>131</v>
      </c>
      <c r="D551" s="852"/>
      <c r="E551" s="852"/>
      <c r="F551" s="852"/>
      <c r="G551" s="852"/>
      <c r="I551" s="869" t="s">
        <v>132</v>
      </c>
      <c r="J551" s="869"/>
      <c r="K551" s="869"/>
      <c r="L551" s="869"/>
      <c r="M551" s="869"/>
    </row>
    <row r="552" spans="1:16" ht="15" customHeight="1" thickBot="1"/>
    <row r="553" spans="1:16" ht="30" customHeight="1" thickTop="1" thickBot="1">
      <c r="A553" s="10"/>
      <c r="B553" s="835" t="str">
        <f>'Obrazac kalkulacije'!$B$6:$C$6</f>
        <v>Opis</v>
      </c>
      <c r="C553" s="835"/>
      <c r="D553" s="10" t="str">
        <f>'Obrazac kalkulacije'!$D$6</f>
        <v>Jed.
mjere</v>
      </c>
      <c r="E553" s="10" t="str">
        <f>'Obrazac kalkulacije'!$E$6</f>
        <v>Normativ</v>
      </c>
      <c r="F553" s="10" t="str">
        <f>'Obrazac kalkulacije'!$F$6</f>
        <v>Jed.
cijena</v>
      </c>
      <c r="G553" s="10" t="str">
        <f>'Obrazac kalkulacije'!$G$6</f>
        <v>Iznos</v>
      </c>
      <c r="H553" s="3">
        <v>350</v>
      </c>
      <c r="I553" s="703"/>
      <c r="J553" s="10" t="str">
        <f>'Obrazac kalkulacije'!$D$6</f>
        <v>Jed.
mjere</v>
      </c>
      <c r="K553" s="10" t="str">
        <f>'Obrazac kalkulacije'!$E$6</f>
        <v>Normativ</v>
      </c>
      <c r="L553" s="10" t="str">
        <f>'Obrazac kalkulacije'!$F$6</f>
        <v>Jed.
cijena</v>
      </c>
      <c r="M553" s="10" t="str">
        <f>'Obrazac kalkulacije'!$G$6</f>
        <v>Iznos</v>
      </c>
    </row>
    <row r="554" spans="1:16" ht="4.5" customHeight="1" thickTop="1">
      <c r="B554" s="42"/>
      <c r="C554" s="1"/>
      <c r="D554" s="11"/>
      <c r="E554" s="13"/>
      <c r="F554" s="245"/>
      <c r="G554" s="15"/>
      <c r="I554" s="1"/>
      <c r="J554" s="11"/>
      <c r="K554" s="13"/>
      <c r="L554" s="245"/>
      <c r="M554" s="15"/>
    </row>
    <row r="555" spans="1:16" ht="25.15" customHeight="1">
      <c r="A555" s="16"/>
      <c r="B555" s="837" t="str">
        <f>'Obrazac kalkulacije'!$B$8</f>
        <v>Radna snaga:</v>
      </c>
      <c r="C555" s="837"/>
      <c r="D555" s="16"/>
      <c r="E555" s="16"/>
      <c r="F555" s="246"/>
      <c r="G555" s="18">
        <f>SUM(G556:G556)</f>
        <v>12.003428571428572</v>
      </c>
      <c r="I555" s="702"/>
      <c r="J555" s="16"/>
      <c r="K555" s="16"/>
      <c r="L555" s="246"/>
      <c r="M555" s="18">
        <f>SUM(M556:M556)</f>
        <v>10.503</v>
      </c>
    </row>
    <row r="556" spans="1:16" ht="25.15" customHeight="1">
      <c r="A556" s="32"/>
      <c r="B556" s="854" t="s">
        <v>57</v>
      </c>
      <c r="C556" s="854"/>
      <c r="D556" s="33" t="s">
        <v>51</v>
      </c>
      <c r="E556" s="34">
        <f>H556/H$553</f>
        <v>0.11428571428571428</v>
      </c>
      <c r="F556" s="243">
        <f>SUMIF('Cjenik RS'!$C$11:$C$26,$B556,'Cjenik RS'!$D$11:$D$90)</f>
        <v>105.03</v>
      </c>
      <c r="G556" s="35">
        <f>+F556*E556</f>
        <v>12.003428571428572</v>
      </c>
      <c r="H556" s="560">
        <v>40</v>
      </c>
      <c r="I556" s="701"/>
      <c r="J556" s="33" t="s">
        <v>51</v>
      </c>
      <c r="K556" s="34">
        <v>0.1</v>
      </c>
      <c r="L556" s="243">
        <f>SUMIF('Cjenik RS'!$C$11:$C$26,$B556,'Cjenik RS'!$D$11:$D$90)</f>
        <v>105.03</v>
      </c>
      <c r="M556" s="35">
        <f>+L556*K556</f>
        <v>10.503</v>
      </c>
    </row>
    <row r="557" spans="1:16" ht="25.15" customHeight="1">
      <c r="A557" s="16"/>
      <c r="B557" s="837" t="str">
        <f>'Obrazac kalkulacije'!$B$11</f>
        <v>Vozila, strojevi i oprema:</v>
      </c>
      <c r="C557" s="837"/>
      <c r="D557" s="16"/>
      <c r="E557" s="16"/>
      <c r="F557" s="243"/>
      <c r="G557" s="18">
        <f>SUM(G558:G568)</f>
        <v>51.61785714285714</v>
      </c>
      <c r="I557" s="702"/>
      <c r="J557" s="16"/>
      <c r="K557" s="16"/>
      <c r="L557" s="243"/>
      <c r="M557" s="18">
        <f>SUM(M558:M568)</f>
        <v>45.387693749999997</v>
      </c>
    </row>
    <row r="558" spans="1:16" ht="25.15" customHeight="1">
      <c r="A558" s="56"/>
      <c r="B558" s="839" t="s">
        <v>75</v>
      </c>
      <c r="C558" s="839"/>
      <c r="D558" s="57" t="s">
        <v>51</v>
      </c>
      <c r="E558" s="34">
        <f t="shared" ref="E558:E568" si="34">H558/H$553</f>
        <v>2.8571428571428571E-3</v>
      </c>
      <c r="F558" s="241">
        <f>SUMIF('Cjenik VSO'!$B$9:$B$85,$B558,'Cjenik VSO'!$C$9:$C$85)</f>
        <v>718.97</v>
      </c>
      <c r="G558" s="59">
        <f t="shared" ref="G558:G568" si="35">E558*F558</f>
        <v>2.0542000000000002</v>
      </c>
      <c r="H558" s="560">
        <v>1</v>
      </c>
      <c r="I558" s="707"/>
      <c r="J558" s="57" t="s">
        <v>51</v>
      </c>
      <c r="K558" s="92">
        <v>2.5000000000000001E-3</v>
      </c>
      <c r="L558" s="241">
        <f>SUMIF('Cjenik VSO'!$B$9:$B$85,$B558,'Cjenik VSO'!$C$9:$C$85)</f>
        <v>718.97</v>
      </c>
      <c r="M558" s="59">
        <f t="shared" ref="M558:M568" si="36">K558*L558</f>
        <v>1.7974250000000001</v>
      </c>
      <c r="O558" s="2">
        <f>G558*1.6</f>
        <v>3.2867200000000008</v>
      </c>
      <c r="P558" s="270">
        <f t="shared" ref="P558:P568" si="37">O558-G558</f>
        <v>1.2325200000000005</v>
      </c>
    </row>
    <row r="559" spans="1:16" ht="25.15" customHeight="1">
      <c r="A559" s="56"/>
      <c r="B559" s="839" t="s">
        <v>60</v>
      </c>
      <c r="C559" s="839"/>
      <c r="D559" s="57" t="s">
        <v>51</v>
      </c>
      <c r="E559" s="34">
        <f t="shared" si="34"/>
        <v>5.7142857142857143E-3</v>
      </c>
      <c r="F559" s="241">
        <f>SUMIF('Cjenik VSO'!$B$9:$B$85,$B559,'Cjenik VSO'!$C$9:$C$85)</f>
        <v>328.73</v>
      </c>
      <c r="G559" s="59">
        <f t="shared" si="35"/>
        <v>1.878457142857143</v>
      </c>
      <c r="H559" s="560">
        <v>2</v>
      </c>
      <c r="I559" s="707"/>
      <c r="J559" s="57" t="s">
        <v>51</v>
      </c>
      <c r="K559" s="92">
        <v>5.3749999999999996E-3</v>
      </c>
      <c r="L559" s="241">
        <f>SUMIF('Cjenik VSO'!$B$9:$B$85,$B559,'Cjenik VSO'!$C$9:$C$85)</f>
        <v>328.73</v>
      </c>
      <c r="M559" s="59">
        <f t="shared" si="36"/>
        <v>1.7669237499999999</v>
      </c>
      <c r="O559" s="2">
        <f t="shared" ref="O559:O568" si="38">G559*1.6</f>
        <v>3.005531428571429</v>
      </c>
      <c r="P559" s="270">
        <f t="shared" si="37"/>
        <v>1.1270742857142859</v>
      </c>
    </row>
    <row r="560" spans="1:16" ht="25.15" customHeight="1">
      <c r="A560" s="56"/>
      <c r="B560" s="839" t="s">
        <v>61</v>
      </c>
      <c r="C560" s="839"/>
      <c r="D560" s="57" t="s">
        <v>51</v>
      </c>
      <c r="E560" s="34">
        <f t="shared" si="34"/>
        <v>5.7142857142857143E-3</v>
      </c>
      <c r="F560" s="241">
        <f>SUMIF('Cjenik VSO'!$B$9:$B$85,$B560,'Cjenik VSO'!$C$9:$C$85)</f>
        <v>62.67</v>
      </c>
      <c r="G560" s="59">
        <f t="shared" si="35"/>
        <v>0.35811428571428572</v>
      </c>
      <c r="H560" s="560">
        <v>2</v>
      </c>
      <c r="I560" s="707"/>
      <c r="J560" s="57" t="s">
        <v>51</v>
      </c>
      <c r="K560" s="92">
        <v>5.3749999999999996E-3</v>
      </c>
      <c r="L560" s="241">
        <f>SUMIF('Cjenik VSO'!$B$9:$B$85,$B560,'Cjenik VSO'!$C$9:$C$85)</f>
        <v>62.67</v>
      </c>
      <c r="M560" s="59">
        <f t="shared" si="36"/>
        <v>0.33685124999999999</v>
      </c>
      <c r="O560" s="2">
        <f t="shared" si="38"/>
        <v>0.57298285714285713</v>
      </c>
      <c r="P560" s="270">
        <f t="shared" si="37"/>
        <v>0.21486857142857141</v>
      </c>
    </row>
    <row r="561" spans="1:16" ht="25.15" customHeight="1">
      <c r="A561" s="56"/>
      <c r="B561" s="839" t="s">
        <v>73</v>
      </c>
      <c r="C561" s="839"/>
      <c r="D561" s="57" t="s">
        <v>51</v>
      </c>
      <c r="E561" s="34">
        <f t="shared" si="34"/>
        <v>5.7142857142857143E-3</v>
      </c>
      <c r="F561" s="241">
        <f>SUMIF('Cjenik VSO'!$B$9:$B$85,$B561,'Cjenik VSO'!$C$9:$C$85)</f>
        <v>291.72000000000003</v>
      </c>
      <c r="G561" s="59">
        <f t="shared" si="35"/>
        <v>1.6669714285714288</v>
      </c>
      <c r="H561" s="560">
        <v>2</v>
      </c>
      <c r="I561" s="707"/>
      <c r="J561" s="57" t="s">
        <v>51</v>
      </c>
      <c r="K561" s="92">
        <v>5.6249999999999998E-3</v>
      </c>
      <c r="L561" s="241">
        <f>SUMIF('Cjenik VSO'!$B$9:$B$85,$B561,'Cjenik VSO'!$C$9:$C$85)</f>
        <v>291.72000000000003</v>
      </c>
      <c r="M561" s="59">
        <f t="shared" si="36"/>
        <v>1.6409250000000002</v>
      </c>
      <c r="O561" s="2">
        <f t="shared" si="38"/>
        <v>2.667154285714286</v>
      </c>
      <c r="P561" s="270">
        <f t="shared" si="37"/>
        <v>1.0001828571428573</v>
      </c>
    </row>
    <row r="562" spans="1:16" ht="25.15" customHeight="1">
      <c r="A562" s="56"/>
      <c r="B562" s="839" t="s">
        <v>74</v>
      </c>
      <c r="C562" s="839"/>
      <c r="D562" s="57" t="s">
        <v>51</v>
      </c>
      <c r="E562" s="34">
        <f t="shared" si="34"/>
        <v>2.5714285714285714E-2</v>
      </c>
      <c r="F562" s="241">
        <f>SUMIF('Cjenik VSO'!$B$9:$B$85,$B562,'Cjenik VSO'!$C$9:$C$85)</f>
        <v>355.64</v>
      </c>
      <c r="G562" s="59">
        <f t="shared" si="35"/>
        <v>9.1450285714285702</v>
      </c>
      <c r="H562" s="560">
        <v>9</v>
      </c>
      <c r="I562" s="707"/>
      <c r="J562" s="57" t="s">
        <v>51</v>
      </c>
      <c r="K562" s="92">
        <v>2.2499999999999999E-2</v>
      </c>
      <c r="L562" s="241">
        <f>SUMIF('Cjenik VSO'!$B$9:$B$85,$B562,'Cjenik VSO'!$C$9:$C$85)</f>
        <v>355.64</v>
      </c>
      <c r="M562" s="59">
        <f t="shared" si="36"/>
        <v>8.0018999999999991</v>
      </c>
      <c r="O562" s="2">
        <f t="shared" si="38"/>
        <v>14.632045714285713</v>
      </c>
      <c r="P562" s="270">
        <f t="shared" si="37"/>
        <v>5.4870171428571428</v>
      </c>
    </row>
    <row r="563" spans="1:16" ht="25.15" customHeight="1">
      <c r="A563" s="56"/>
      <c r="B563" s="839" t="s">
        <v>104</v>
      </c>
      <c r="C563" s="839"/>
      <c r="D563" s="57" t="s">
        <v>51</v>
      </c>
      <c r="E563" s="34">
        <f t="shared" si="34"/>
        <v>2.2857142857142857E-2</v>
      </c>
      <c r="F563" s="241">
        <f>SUMIF('Cjenik VSO'!$B$9:$B$85,$B563,'Cjenik VSO'!$C$9:$C$85)</f>
        <v>693.43</v>
      </c>
      <c r="G563" s="59">
        <f t="shared" si="35"/>
        <v>15.849828571428571</v>
      </c>
      <c r="H563" s="560">
        <v>8</v>
      </c>
      <c r="I563" s="707"/>
      <c r="J563" s="57" t="s">
        <v>51</v>
      </c>
      <c r="K563" s="92">
        <v>0.02</v>
      </c>
      <c r="L563" s="241">
        <f>SUMIF('Cjenik VSO'!$B$9:$B$85,$B563,'Cjenik VSO'!$C$9:$C$85)</f>
        <v>693.43</v>
      </c>
      <c r="M563" s="59">
        <f t="shared" si="36"/>
        <v>13.868599999999999</v>
      </c>
      <c r="O563" s="2">
        <f t="shared" si="38"/>
        <v>25.359725714285716</v>
      </c>
      <c r="P563" s="270">
        <f t="shared" si="37"/>
        <v>9.5098971428571453</v>
      </c>
    </row>
    <row r="564" spans="1:16" ht="25.15" customHeight="1">
      <c r="A564" s="56"/>
      <c r="B564" s="839" t="s">
        <v>87</v>
      </c>
      <c r="C564" s="839"/>
      <c r="D564" s="57" t="s">
        <v>51</v>
      </c>
      <c r="E564" s="34">
        <f t="shared" si="34"/>
        <v>1.1428571428571429E-2</v>
      </c>
      <c r="F564" s="241">
        <f>SUMIF('Cjenik VSO'!$B$9:$B$85,$B564,'Cjenik VSO'!$C$9:$C$85)</f>
        <v>240.85</v>
      </c>
      <c r="G564" s="59">
        <f t="shared" si="35"/>
        <v>2.7525714285714287</v>
      </c>
      <c r="H564" s="560">
        <v>4</v>
      </c>
      <c r="I564" s="707"/>
      <c r="J564" s="57" t="s">
        <v>51</v>
      </c>
      <c r="K564" s="92">
        <v>0.01</v>
      </c>
      <c r="L564" s="241">
        <f>SUMIF('Cjenik VSO'!$B$9:$B$85,$B564,'Cjenik VSO'!$C$9:$C$85)</f>
        <v>240.85</v>
      </c>
      <c r="M564" s="59">
        <f t="shared" si="36"/>
        <v>2.4085000000000001</v>
      </c>
      <c r="O564" s="2">
        <f t="shared" si="38"/>
        <v>4.4041142857142859</v>
      </c>
      <c r="P564" s="270">
        <f t="shared" si="37"/>
        <v>1.6515428571428572</v>
      </c>
    </row>
    <row r="565" spans="1:16" ht="25.15" customHeight="1">
      <c r="A565" s="56"/>
      <c r="B565" s="839" t="s">
        <v>79</v>
      </c>
      <c r="C565" s="839"/>
      <c r="D565" s="57" t="s">
        <v>51</v>
      </c>
      <c r="E565" s="34">
        <f t="shared" si="34"/>
        <v>0.02</v>
      </c>
      <c r="F565" s="241">
        <f>SUMIF('Cjenik VSO'!$B$9:$B$85,$B565,'Cjenik VSO'!$C$9:$C$85)</f>
        <v>199.57</v>
      </c>
      <c r="G565" s="59">
        <f t="shared" si="35"/>
        <v>3.9914000000000001</v>
      </c>
      <c r="H565" s="560">
        <v>7</v>
      </c>
      <c r="I565" s="707"/>
      <c r="J565" s="57" t="s">
        <v>51</v>
      </c>
      <c r="K565" s="92">
        <v>0.01</v>
      </c>
      <c r="L565" s="241">
        <f>SUMIF('Cjenik VSO'!$B$9:$B$85,$B565,'Cjenik VSO'!$C$9:$C$85)</f>
        <v>199.57</v>
      </c>
      <c r="M565" s="59">
        <f t="shared" si="36"/>
        <v>1.9957</v>
      </c>
      <c r="O565" s="2">
        <f t="shared" si="38"/>
        <v>6.3862400000000008</v>
      </c>
      <c r="P565" s="270">
        <f t="shared" si="37"/>
        <v>2.3948400000000007</v>
      </c>
    </row>
    <row r="566" spans="1:16" ht="25.15" customHeight="1">
      <c r="A566" s="56"/>
      <c r="B566" s="839" t="s">
        <v>88</v>
      </c>
      <c r="C566" s="839"/>
      <c r="D566" s="57" t="s">
        <v>51</v>
      </c>
      <c r="E566" s="34">
        <f t="shared" si="34"/>
        <v>0.04</v>
      </c>
      <c r="F566" s="241">
        <f>SUMIF('Cjenik VSO'!$B$9:$B$85,$B566,'Cjenik VSO'!$C$9:$C$85)</f>
        <v>269.36</v>
      </c>
      <c r="G566" s="59">
        <f t="shared" si="35"/>
        <v>10.7744</v>
      </c>
      <c r="H566" s="560">
        <v>14</v>
      </c>
      <c r="I566" s="707"/>
      <c r="J566" s="57" t="s">
        <v>51</v>
      </c>
      <c r="K566" s="92">
        <v>0.04</v>
      </c>
      <c r="L566" s="241">
        <f>SUMIF('Cjenik VSO'!$B$9:$B$85,$B566,'Cjenik VSO'!$C$9:$C$85)</f>
        <v>269.36</v>
      </c>
      <c r="M566" s="59">
        <f t="shared" si="36"/>
        <v>10.7744</v>
      </c>
      <c r="O566" s="2">
        <f t="shared" si="38"/>
        <v>17.239039999999999</v>
      </c>
      <c r="P566" s="270">
        <f t="shared" si="37"/>
        <v>6.4646399999999993</v>
      </c>
    </row>
    <row r="567" spans="1:16" ht="25.15" customHeight="1">
      <c r="A567" s="56"/>
      <c r="B567" s="839" t="s">
        <v>80</v>
      </c>
      <c r="C567" s="839"/>
      <c r="D567" s="57" t="s">
        <v>51</v>
      </c>
      <c r="E567" s="34">
        <f t="shared" si="34"/>
        <v>5.7142857142857143E-3</v>
      </c>
      <c r="F567" s="241">
        <f>SUMIF('Cjenik VSO'!$B$9:$B$85,$B567,'Cjenik VSO'!$C$9:$C$85)</f>
        <v>68.709999999999994</v>
      </c>
      <c r="G567" s="59">
        <f t="shared" si="35"/>
        <v>0.39262857142857138</v>
      </c>
      <c r="H567" s="560">
        <v>2</v>
      </c>
      <c r="I567" s="707"/>
      <c r="J567" s="57" t="s">
        <v>51</v>
      </c>
      <c r="K567" s="92">
        <v>5.6249999999999998E-3</v>
      </c>
      <c r="L567" s="241">
        <f>SUMIF('Cjenik VSO'!$B$9:$B$85,$B567,'Cjenik VSO'!$C$9:$C$85)</f>
        <v>68.709999999999994</v>
      </c>
      <c r="M567" s="59">
        <f t="shared" si="36"/>
        <v>0.38649374999999997</v>
      </c>
      <c r="O567" s="2">
        <f t="shared" si="38"/>
        <v>0.62820571428571426</v>
      </c>
      <c r="P567" s="270">
        <f t="shared" si="37"/>
        <v>0.23557714285714287</v>
      </c>
    </row>
    <row r="568" spans="1:16" ht="25.15" customHeight="1">
      <c r="A568" s="61"/>
      <c r="B568" s="855" t="s">
        <v>81</v>
      </c>
      <c r="C568" s="855"/>
      <c r="D568" s="62" t="s">
        <v>51</v>
      </c>
      <c r="E568" s="34">
        <f t="shared" si="34"/>
        <v>2.5714285714285714E-2</v>
      </c>
      <c r="F568" s="242">
        <f>SUMIF('Cjenik VSO'!$B$9:$B$85,$B568,'Cjenik VSO'!$C$9:$C$85)</f>
        <v>107.11</v>
      </c>
      <c r="G568" s="64">
        <f t="shared" si="35"/>
        <v>2.754257142857143</v>
      </c>
      <c r="H568" s="560">
        <v>9</v>
      </c>
      <c r="I568" s="708"/>
      <c r="J568" s="62" t="s">
        <v>51</v>
      </c>
      <c r="K568" s="87">
        <v>2.2499999999999999E-2</v>
      </c>
      <c r="L568" s="242">
        <f>SUMIF('Cjenik VSO'!$B$9:$B$85,$B568,'Cjenik VSO'!$C$9:$C$85)</f>
        <v>107.11</v>
      </c>
      <c r="M568" s="64">
        <f t="shared" si="36"/>
        <v>2.4099749999999998</v>
      </c>
      <c r="O568" s="2">
        <f t="shared" si="38"/>
        <v>4.4068114285714293</v>
      </c>
      <c r="P568" s="270">
        <f t="shared" si="37"/>
        <v>1.6525542857142863</v>
      </c>
    </row>
    <row r="569" spans="1:16" ht="25.15" customHeight="1">
      <c r="A569" s="16"/>
      <c r="B569" s="837" t="str">
        <f>'Obrazac kalkulacije'!$B$15</f>
        <v>Materijali:</v>
      </c>
      <c r="C569" s="837"/>
      <c r="D569" s="16"/>
      <c r="E569" s="16"/>
      <c r="F569" s="243"/>
      <c r="G569" s="18">
        <f>SUM(G570:G571)</f>
        <v>5600</v>
      </c>
      <c r="I569" s="702"/>
      <c r="J569" s="16"/>
      <c r="K569" s="16"/>
      <c r="L569" s="243"/>
      <c r="M569" s="18">
        <f>SUM(M570:M571)</f>
        <v>5600</v>
      </c>
      <c r="P569" s="270">
        <f>SUM(P558:P568)</f>
        <v>30.970714285714294</v>
      </c>
    </row>
    <row r="570" spans="1:16" ht="25.15" customHeight="1">
      <c r="A570" s="12"/>
      <c r="B570" s="849" t="str">
        <f>'Cjenik M'!$B$14</f>
        <v>Prometna ploča površine od 2,00 do 8,00 m2</v>
      </c>
      <c r="C570" s="849"/>
      <c r="D570" s="20" t="str">
        <f>'Cjenik M'!$C$14</f>
        <v>kom</v>
      </c>
      <c r="E570" s="141">
        <v>1</v>
      </c>
      <c r="F570" s="251">
        <f>'Cjenik M'!$D$14</f>
        <v>5000</v>
      </c>
      <c r="G570" s="22">
        <f>E570*F570</f>
        <v>5000</v>
      </c>
      <c r="I570" s="705"/>
      <c r="J570" s="20" t="str">
        <f>'Cjenik M'!$C$14</f>
        <v>kom</v>
      </c>
      <c r="K570" s="76">
        <v>1</v>
      </c>
      <c r="L570" s="251">
        <f>'Cjenik M'!$D$14</f>
        <v>5000</v>
      </c>
      <c r="M570" s="22">
        <f>K570*L570</f>
        <v>5000</v>
      </c>
    </row>
    <row r="571" spans="1:16" ht="25.15" customHeight="1" thickBot="1">
      <c r="A571" s="74"/>
      <c r="B571" s="853" t="str">
        <f>'Cjenik M'!$B$21</f>
        <v>Oznaka ulice</v>
      </c>
      <c r="C571" s="853"/>
      <c r="D571" s="57" t="str">
        <f>'Cjenik M'!$C$21</f>
        <v>kom</v>
      </c>
      <c r="E571" s="75">
        <v>4</v>
      </c>
      <c r="F571" s="241">
        <f>'Cjenik M'!$D$21</f>
        <v>150</v>
      </c>
      <c r="G571" s="60">
        <f>+F571*E571</f>
        <v>600</v>
      </c>
      <c r="I571" s="706"/>
      <c r="J571" s="57" t="str">
        <f>'Cjenik M'!$C$21</f>
        <v>kom</v>
      </c>
      <c r="K571" s="75">
        <v>4</v>
      </c>
      <c r="L571" s="241">
        <f>'Cjenik M'!$D$21</f>
        <v>150</v>
      </c>
      <c r="M571" s="60">
        <f>+L571*K571</f>
        <v>600</v>
      </c>
    </row>
    <row r="572" spans="1:16" ht="25.15" customHeight="1" thickTop="1" thickBot="1">
      <c r="B572" s="47"/>
      <c r="C572" s="24"/>
      <c r="D572" s="25"/>
      <c r="E572" s="147" t="str">
        <f>'Obrazac kalkulacije'!$E$18</f>
        <v>Ukupno (kn):</v>
      </c>
      <c r="F572" s="255"/>
      <c r="G572" s="26">
        <f>ROUND(SUM(G555+G557+G569),2)</f>
        <v>5663.62</v>
      </c>
      <c r="H572" s="269"/>
      <c r="I572" s="24"/>
      <c r="J572" s="25"/>
      <c r="K572" s="147" t="str">
        <f>'Obrazac kalkulacije'!$E$18</f>
        <v>Ukupno (kn):</v>
      </c>
      <c r="L572" s="255"/>
      <c r="M572" s="26">
        <f>ROUND(SUM(M555+M557+M569),2)</f>
        <v>5655.89</v>
      </c>
    </row>
    <row r="573" spans="1:16" ht="25.15" customHeight="1" thickTop="1" thickBot="1">
      <c r="E573" s="27" t="str">
        <f>'Obrazac kalkulacije'!$E$19</f>
        <v>PDV:</v>
      </c>
      <c r="F573" s="248">
        <f>'Obrazac kalkulacije'!$F$19</f>
        <v>0.25</v>
      </c>
      <c r="G573" s="29">
        <f>G572*F573</f>
        <v>1415.905</v>
      </c>
      <c r="H573" s="561"/>
      <c r="K573" s="27" t="str">
        <f>'Obrazac kalkulacije'!$E$19</f>
        <v>PDV:</v>
      </c>
      <c r="L573" s="248">
        <f>'Obrazac kalkulacije'!$F$19</f>
        <v>0.25</v>
      </c>
      <c r="M573" s="29">
        <f>M572*L573</f>
        <v>1413.9725000000001</v>
      </c>
    </row>
    <row r="574" spans="1:16" ht="25.15" customHeight="1" thickTop="1" thickBot="1">
      <c r="E574" s="148" t="str">
        <f>'Obrazac kalkulacije'!$E$20</f>
        <v>Sveukupno (kn):</v>
      </c>
      <c r="F574" s="256"/>
      <c r="G574" s="29">
        <f>ROUND(SUM(G572:G573),2)</f>
        <v>7079.53</v>
      </c>
      <c r="H574" s="562"/>
      <c r="K574" s="148" t="str">
        <f>'Obrazac kalkulacije'!$E$20</f>
        <v>Sveukupno (kn):</v>
      </c>
      <c r="L574" s="256"/>
      <c r="M574" s="29">
        <f>ROUND(SUM(M572:M573),2)</f>
        <v>7069.86</v>
      </c>
    </row>
    <row r="575" spans="1:16" ht="15" customHeight="1" thickTop="1"/>
    <row r="576" spans="1:16" ht="15" customHeight="1"/>
    <row r="577" spans="1:13" ht="15" customHeight="1"/>
    <row r="578" spans="1:13" ht="15" customHeight="1">
      <c r="C578" s="3" t="str">
        <f>'Obrazac kalkulacije'!$C$24</f>
        <v>IZVODITELJ:</v>
      </c>
      <c r="F578" s="841" t="str">
        <f>'Obrazac kalkulacije'!$F$24</f>
        <v>NARUČITELJ:</v>
      </c>
      <c r="G578" s="841"/>
      <c r="I578" s="3" t="str">
        <f>'Obrazac kalkulacije'!$C$24</f>
        <v>IZVODITELJ:</v>
      </c>
      <c r="L578" s="841" t="str">
        <f>'Obrazac kalkulacije'!$F$24</f>
        <v>NARUČITELJ:</v>
      </c>
      <c r="M578" s="841"/>
    </row>
    <row r="579" spans="1:13" ht="25.15" customHeight="1">
      <c r="C579" s="3" t="str">
        <f>'Obrazac kalkulacije'!$C$25</f>
        <v>__________________</v>
      </c>
      <c r="F579" s="841" t="str">
        <f>'Obrazac kalkulacije'!$F$25</f>
        <v>___________________</v>
      </c>
      <c r="G579" s="841"/>
      <c r="I579" s="3" t="str">
        <f>'Obrazac kalkulacije'!$C$25</f>
        <v>__________________</v>
      </c>
      <c r="L579" s="841" t="str">
        <f>'Obrazac kalkulacije'!$F$25</f>
        <v>___________________</v>
      </c>
      <c r="M579" s="841"/>
    </row>
    <row r="580" spans="1:13" ht="15" customHeight="1">
      <c r="G580" s="30"/>
      <c r="M580" s="30"/>
    </row>
    <row r="581" spans="1:13" ht="15" customHeight="1"/>
    <row r="582" spans="1:13" ht="15" customHeight="1">
      <c r="A582" s="144"/>
      <c r="B582" s="145" t="s">
        <v>17</v>
      </c>
      <c r="C582" s="146" t="s">
        <v>56</v>
      </c>
      <c r="D582" s="146"/>
      <c r="E582" s="146"/>
      <c r="F582" s="252"/>
      <c r="G582" s="146"/>
      <c r="I582" s="146" t="s">
        <v>56</v>
      </c>
      <c r="J582" s="146"/>
      <c r="K582" s="146"/>
      <c r="L582" s="252"/>
      <c r="M582" s="146"/>
    </row>
    <row r="583" spans="1:13" ht="15" customHeight="1">
      <c r="A583" s="38"/>
      <c r="B583" s="39" t="s">
        <v>64</v>
      </c>
      <c r="C583" s="8" t="s">
        <v>65</v>
      </c>
      <c r="D583" s="8"/>
      <c r="E583" s="8"/>
      <c r="F583" s="253"/>
      <c r="G583" s="8"/>
      <c r="I583" s="8" t="s">
        <v>65</v>
      </c>
      <c r="J583" s="8"/>
      <c r="K583" s="8"/>
      <c r="L583" s="253"/>
      <c r="M583" s="8"/>
    </row>
    <row r="584" spans="1:13" ht="15" customHeight="1">
      <c r="A584" s="48"/>
      <c r="B584" s="49" t="s">
        <v>128</v>
      </c>
      <c r="C584" s="50" t="s">
        <v>129</v>
      </c>
      <c r="D584" s="50"/>
      <c r="E584" s="50"/>
      <c r="F584" s="250"/>
      <c r="G584" s="50"/>
      <c r="I584" s="50" t="s">
        <v>129</v>
      </c>
      <c r="J584" s="50"/>
      <c r="K584" s="50"/>
      <c r="L584" s="250"/>
      <c r="M584" s="50"/>
    </row>
    <row r="585" spans="1:13" ht="150" customHeight="1">
      <c r="A585" s="40"/>
      <c r="B585" s="556" t="s">
        <v>133</v>
      </c>
      <c r="C585" s="852" t="s">
        <v>134</v>
      </c>
      <c r="D585" s="852"/>
      <c r="E585" s="852"/>
      <c r="F585" s="852"/>
      <c r="G585" s="852"/>
      <c r="I585" s="869" t="s">
        <v>135</v>
      </c>
      <c r="J585" s="869"/>
      <c r="K585" s="869"/>
      <c r="L585" s="869"/>
      <c r="M585" s="869"/>
    </row>
    <row r="586" spans="1:13" ht="15" customHeight="1" thickBot="1"/>
    <row r="587" spans="1:13" ht="30" customHeight="1" thickTop="1" thickBot="1">
      <c r="A587" s="10"/>
      <c r="B587" s="835" t="str">
        <f>'Obrazac kalkulacije'!$B$6:$C$6</f>
        <v>Opis</v>
      </c>
      <c r="C587" s="835"/>
      <c r="D587" s="10" t="str">
        <f>'Obrazac kalkulacije'!$D$6</f>
        <v>Jed.
mjere</v>
      </c>
      <c r="E587" s="10" t="str">
        <f>'Obrazac kalkulacije'!$E$6</f>
        <v>Normativ</v>
      </c>
      <c r="F587" s="10" t="str">
        <f>'Obrazac kalkulacije'!$F$6</f>
        <v>Jed.
cijena</v>
      </c>
      <c r="G587" s="10" t="str">
        <f>'Obrazac kalkulacije'!$G$6</f>
        <v>Iznos</v>
      </c>
      <c r="I587" s="703"/>
      <c r="J587" s="10" t="str">
        <f>'Obrazac kalkulacije'!$D$6</f>
        <v>Jed.
mjere</v>
      </c>
      <c r="K587" s="10" t="str">
        <f>'Obrazac kalkulacije'!$E$6</f>
        <v>Normativ</v>
      </c>
      <c r="L587" s="10" t="str">
        <f>'Obrazac kalkulacije'!$F$6</f>
        <v>Jed.
cijena</v>
      </c>
      <c r="M587" s="10" t="str">
        <f>'Obrazac kalkulacije'!$G$6</f>
        <v>Iznos</v>
      </c>
    </row>
    <row r="588" spans="1:13" ht="4.5" customHeight="1" thickTop="1">
      <c r="B588" s="42"/>
      <c r="C588" s="1"/>
      <c r="D588" s="11"/>
      <c r="E588" s="13"/>
      <c r="F588" s="245"/>
      <c r="G588" s="15"/>
      <c r="I588" s="1"/>
      <c r="J588" s="11"/>
      <c r="K588" s="13"/>
      <c r="L588" s="245"/>
      <c r="M588" s="15"/>
    </row>
    <row r="589" spans="1:13" ht="25.15" customHeight="1">
      <c r="A589" s="16"/>
      <c r="B589" s="17" t="str">
        <f>'Obrazac kalkulacije'!$B$8</f>
        <v>Radna snaga:</v>
      </c>
      <c r="C589" s="17"/>
      <c r="D589" s="16"/>
      <c r="E589" s="16"/>
      <c r="F589" s="246"/>
      <c r="G589" s="18">
        <f>SUM(G590:G590)</f>
        <v>12.003428571428572</v>
      </c>
      <c r="I589" s="17"/>
      <c r="J589" s="16"/>
      <c r="K589" s="16"/>
      <c r="L589" s="246"/>
      <c r="M589" s="18">
        <f>SUM(M590:M590)</f>
        <v>10.503</v>
      </c>
    </row>
    <row r="590" spans="1:13" ht="25.15" customHeight="1">
      <c r="A590" s="32"/>
      <c r="B590" s="854" t="s">
        <v>57</v>
      </c>
      <c r="C590" s="854"/>
      <c r="D590" s="33" t="s">
        <v>51</v>
      </c>
      <c r="E590" s="34">
        <v>0.11428571428571428</v>
      </c>
      <c r="F590" s="243">
        <f>SUMIF('Cjenik RS'!$C$11:$C$26,$B590,'Cjenik RS'!$D$11:$D$90)</f>
        <v>105.03</v>
      </c>
      <c r="G590" s="35">
        <f>+F590*E590</f>
        <v>12.003428571428572</v>
      </c>
      <c r="I590" s="701"/>
      <c r="J590" s="33" t="s">
        <v>51</v>
      </c>
      <c r="K590" s="34">
        <v>0.1</v>
      </c>
      <c r="L590" s="243">
        <f>SUMIF('Cjenik RS'!$C$11:$C$26,$B590,'Cjenik RS'!$D$11:$D$90)</f>
        <v>105.03</v>
      </c>
      <c r="M590" s="35">
        <f>+L590*K590</f>
        <v>10.503</v>
      </c>
    </row>
    <row r="591" spans="1:13" ht="25.15" customHeight="1">
      <c r="A591" s="16"/>
      <c r="B591" s="17" t="str">
        <f>'Obrazac kalkulacije'!$B$11</f>
        <v>Vozila, strojevi i oprema:</v>
      </c>
      <c r="C591" s="17"/>
      <c r="D591" s="16"/>
      <c r="E591" s="16"/>
      <c r="F591" s="243"/>
      <c r="G591" s="18">
        <f>SUM(G592:G602)</f>
        <v>51.61785714285714</v>
      </c>
      <c r="I591" s="17"/>
      <c r="J591" s="16"/>
      <c r="K591" s="16"/>
      <c r="L591" s="243"/>
      <c r="M591" s="18">
        <f>SUM(M592:M602)</f>
        <v>45.387693749999997</v>
      </c>
    </row>
    <row r="592" spans="1:13" ht="25.15" customHeight="1">
      <c r="A592" s="56"/>
      <c r="B592" s="839" t="s">
        <v>75</v>
      </c>
      <c r="C592" s="839"/>
      <c r="D592" s="57" t="s">
        <v>51</v>
      </c>
      <c r="E592" s="92">
        <v>2.8571428571428571E-3</v>
      </c>
      <c r="F592" s="241">
        <f>SUMIF('Cjenik VSO'!$B$9:$B$85,$B592,'Cjenik VSO'!$C$9:$C$85)</f>
        <v>718.97</v>
      </c>
      <c r="G592" s="59">
        <f t="shared" ref="G592:G602" si="39">E592*F592</f>
        <v>2.0542000000000002</v>
      </c>
      <c r="I592" s="707"/>
      <c r="J592" s="57" t="s">
        <v>51</v>
      </c>
      <c r="K592" s="92">
        <v>2.5000000000000001E-3</v>
      </c>
      <c r="L592" s="241">
        <f>SUMIF('Cjenik VSO'!$B$9:$B$85,$B592,'Cjenik VSO'!$C$9:$C$85)</f>
        <v>718.97</v>
      </c>
      <c r="M592" s="59">
        <f t="shared" ref="M592:M602" si="40">K592*L592</f>
        <v>1.7974250000000001</v>
      </c>
    </row>
    <row r="593" spans="1:13" ht="25.15" customHeight="1">
      <c r="A593" s="56"/>
      <c r="B593" s="839" t="s">
        <v>60</v>
      </c>
      <c r="C593" s="839"/>
      <c r="D593" s="57" t="s">
        <v>51</v>
      </c>
      <c r="E593" s="92">
        <v>5.7142857142857143E-3</v>
      </c>
      <c r="F593" s="241">
        <f>SUMIF('Cjenik VSO'!$B$9:$B$85,$B593,'Cjenik VSO'!$C$9:$C$85)</f>
        <v>328.73</v>
      </c>
      <c r="G593" s="59">
        <f t="shared" si="39"/>
        <v>1.878457142857143</v>
      </c>
      <c r="I593" s="707"/>
      <c r="J593" s="57" t="s">
        <v>51</v>
      </c>
      <c r="K593" s="92">
        <v>5.3749999999999996E-3</v>
      </c>
      <c r="L593" s="241">
        <f>SUMIF('Cjenik VSO'!$B$9:$B$85,$B593,'Cjenik VSO'!$C$9:$C$85)</f>
        <v>328.73</v>
      </c>
      <c r="M593" s="59">
        <f t="shared" si="40"/>
        <v>1.7669237499999999</v>
      </c>
    </row>
    <row r="594" spans="1:13" ht="25.15" customHeight="1">
      <c r="A594" s="56"/>
      <c r="B594" s="839" t="s">
        <v>61</v>
      </c>
      <c r="C594" s="839"/>
      <c r="D594" s="57" t="s">
        <v>51</v>
      </c>
      <c r="E594" s="92">
        <v>5.7142857142857143E-3</v>
      </c>
      <c r="F594" s="241">
        <f>SUMIF('Cjenik VSO'!$B$9:$B$85,$B594,'Cjenik VSO'!$C$9:$C$85)</f>
        <v>62.67</v>
      </c>
      <c r="G594" s="59">
        <f t="shared" si="39"/>
        <v>0.35811428571428572</v>
      </c>
      <c r="I594" s="707"/>
      <c r="J594" s="57" t="s">
        <v>51</v>
      </c>
      <c r="K594" s="92">
        <v>5.3749999999999996E-3</v>
      </c>
      <c r="L594" s="241">
        <f>SUMIF('Cjenik VSO'!$B$9:$B$85,$B594,'Cjenik VSO'!$C$9:$C$85)</f>
        <v>62.67</v>
      </c>
      <c r="M594" s="59">
        <f t="shared" si="40"/>
        <v>0.33685124999999999</v>
      </c>
    </row>
    <row r="595" spans="1:13" ht="25.15" customHeight="1">
      <c r="A595" s="56"/>
      <c r="B595" s="839" t="s">
        <v>73</v>
      </c>
      <c r="C595" s="839"/>
      <c r="D595" s="57" t="s">
        <v>51</v>
      </c>
      <c r="E595" s="92">
        <v>5.7142857142857143E-3</v>
      </c>
      <c r="F595" s="241">
        <f>SUMIF('Cjenik VSO'!$B$9:$B$85,$B595,'Cjenik VSO'!$C$9:$C$85)</f>
        <v>291.72000000000003</v>
      </c>
      <c r="G595" s="59">
        <f t="shared" si="39"/>
        <v>1.6669714285714288</v>
      </c>
      <c r="I595" s="707"/>
      <c r="J595" s="57" t="s">
        <v>51</v>
      </c>
      <c r="K595" s="92">
        <v>5.6249999999999998E-3</v>
      </c>
      <c r="L595" s="241">
        <f>SUMIF('Cjenik VSO'!$B$9:$B$85,$B595,'Cjenik VSO'!$C$9:$C$85)</f>
        <v>291.72000000000003</v>
      </c>
      <c r="M595" s="59">
        <f t="shared" si="40"/>
        <v>1.6409250000000002</v>
      </c>
    </row>
    <row r="596" spans="1:13" ht="25.15" customHeight="1">
      <c r="A596" s="56"/>
      <c r="B596" s="839" t="s">
        <v>74</v>
      </c>
      <c r="C596" s="839"/>
      <c r="D596" s="57" t="s">
        <v>51</v>
      </c>
      <c r="E596" s="92">
        <v>2.5714285714285714E-2</v>
      </c>
      <c r="F596" s="241">
        <f>SUMIF('Cjenik VSO'!$B$9:$B$85,$B596,'Cjenik VSO'!$C$9:$C$85)</f>
        <v>355.64</v>
      </c>
      <c r="G596" s="59">
        <f t="shared" si="39"/>
        <v>9.1450285714285702</v>
      </c>
      <c r="I596" s="707"/>
      <c r="J596" s="57" t="s">
        <v>51</v>
      </c>
      <c r="K596" s="92">
        <v>2.2499999999999999E-2</v>
      </c>
      <c r="L596" s="241">
        <f>SUMIF('Cjenik VSO'!$B$9:$B$85,$B596,'Cjenik VSO'!$C$9:$C$85)</f>
        <v>355.64</v>
      </c>
      <c r="M596" s="59">
        <f t="shared" si="40"/>
        <v>8.0018999999999991</v>
      </c>
    </row>
    <row r="597" spans="1:13" ht="25.15" customHeight="1">
      <c r="A597" s="56"/>
      <c r="B597" s="839" t="s">
        <v>104</v>
      </c>
      <c r="C597" s="839"/>
      <c r="D597" s="57" t="s">
        <v>51</v>
      </c>
      <c r="E597" s="92">
        <v>2.2857142857142857E-2</v>
      </c>
      <c r="F597" s="241">
        <f>SUMIF('Cjenik VSO'!$B$9:$B$85,$B597,'Cjenik VSO'!$C$9:$C$85)</f>
        <v>693.43</v>
      </c>
      <c r="G597" s="59">
        <f t="shared" si="39"/>
        <v>15.849828571428571</v>
      </c>
      <c r="I597" s="707"/>
      <c r="J597" s="57" t="s">
        <v>51</v>
      </c>
      <c r="K597" s="92">
        <v>0.02</v>
      </c>
      <c r="L597" s="241">
        <f>SUMIF('Cjenik VSO'!$B$9:$B$85,$B597,'Cjenik VSO'!$C$9:$C$85)</f>
        <v>693.43</v>
      </c>
      <c r="M597" s="59">
        <f t="shared" si="40"/>
        <v>13.868599999999999</v>
      </c>
    </row>
    <row r="598" spans="1:13" ht="25.15" customHeight="1">
      <c r="A598" s="56"/>
      <c r="B598" s="839" t="s">
        <v>87</v>
      </c>
      <c r="C598" s="839"/>
      <c r="D598" s="57" t="s">
        <v>51</v>
      </c>
      <c r="E598" s="92">
        <v>1.1428571428571429E-2</v>
      </c>
      <c r="F598" s="241">
        <f>SUMIF('Cjenik VSO'!$B$9:$B$85,$B598,'Cjenik VSO'!$C$9:$C$85)</f>
        <v>240.85</v>
      </c>
      <c r="G598" s="59">
        <f t="shared" si="39"/>
        <v>2.7525714285714287</v>
      </c>
      <c r="I598" s="707"/>
      <c r="J598" s="57" t="s">
        <v>51</v>
      </c>
      <c r="K598" s="92">
        <v>0.01</v>
      </c>
      <c r="L598" s="241">
        <f>SUMIF('Cjenik VSO'!$B$9:$B$85,$B598,'Cjenik VSO'!$C$9:$C$85)</f>
        <v>240.85</v>
      </c>
      <c r="M598" s="59">
        <f t="shared" si="40"/>
        <v>2.4085000000000001</v>
      </c>
    </row>
    <row r="599" spans="1:13" ht="25.15" customHeight="1">
      <c r="A599" s="56"/>
      <c r="B599" s="839" t="s">
        <v>79</v>
      </c>
      <c r="C599" s="839"/>
      <c r="D599" s="57" t="s">
        <v>51</v>
      </c>
      <c r="E599" s="92">
        <v>0.02</v>
      </c>
      <c r="F599" s="241">
        <f>SUMIF('Cjenik VSO'!$B$9:$B$85,$B599,'Cjenik VSO'!$C$9:$C$85)</f>
        <v>199.57</v>
      </c>
      <c r="G599" s="59">
        <f t="shared" si="39"/>
        <v>3.9914000000000001</v>
      </c>
      <c r="I599" s="707"/>
      <c r="J599" s="57" t="s">
        <v>51</v>
      </c>
      <c r="K599" s="92">
        <v>0.01</v>
      </c>
      <c r="L599" s="241">
        <f>SUMIF('Cjenik VSO'!$B$9:$B$85,$B599,'Cjenik VSO'!$C$9:$C$85)</f>
        <v>199.57</v>
      </c>
      <c r="M599" s="59">
        <f t="shared" si="40"/>
        <v>1.9957</v>
      </c>
    </row>
    <row r="600" spans="1:13" ht="25.15" customHeight="1">
      <c r="A600" s="56"/>
      <c r="B600" s="839" t="s">
        <v>88</v>
      </c>
      <c r="C600" s="839"/>
      <c r="D600" s="57" t="s">
        <v>51</v>
      </c>
      <c r="E600" s="92">
        <v>0.04</v>
      </c>
      <c r="F600" s="241">
        <f>SUMIF('Cjenik VSO'!$B$9:$B$85,$B600,'Cjenik VSO'!$C$9:$C$85)</f>
        <v>269.36</v>
      </c>
      <c r="G600" s="59">
        <f t="shared" si="39"/>
        <v>10.7744</v>
      </c>
      <c r="I600" s="707"/>
      <c r="J600" s="57" t="s">
        <v>51</v>
      </c>
      <c r="K600" s="92">
        <v>0.04</v>
      </c>
      <c r="L600" s="241">
        <f>SUMIF('Cjenik VSO'!$B$9:$B$85,$B600,'Cjenik VSO'!$C$9:$C$85)</f>
        <v>269.36</v>
      </c>
      <c r="M600" s="59">
        <f t="shared" si="40"/>
        <v>10.7744</v>
      </c>
    </row>
    <row r="601" spans="1:13" ht="25.15" customHeight="1">
      <c r="A601" s="56"/>
      <c r="B601" s="839" t="s">
        <v>80</v>
      </c>
      <c r="C601" s="839"/>
      <c r="D601" s="57" t="s">
        <v>51</v>
      </c>
      <c r="E601" s="92">
        <v>5.7142857142857143E-3</v>
      </c>
      <c r="F601" s="241">
        <f>SUMIF('Cjenik VSO'!$B$9:$B$85,$B601,'Cjenik VSO'!$C$9:$C$85)</f>
        <v>68.709999999999994</v>
      </c>
      <c r="G601" s="59">
        <f t="shared" si="39"/>
        <v>0.39262857142857138</v>
      </c>
      <c r="I601" s="707"/>
      <c r="J601" s="57" t="s">
        <v>51</v>
      </c>
      <c r="K601" s="92">
        <v>5.6249999999999998E-3</v>
      </c>
      <c r="L601" s="241">
        <f>SUMIF('Cjenik VSO'!$B$9:$B$85,$B601,'Cjenik VSO'!$C$9:$C$85)</f>
        <v>68.709999999999994</v>
      </c>
      <c r="M601" s="59">
        <f t="shared" si="40"/>
        <v>0.38649374999999997</v>
      </c>
    </row>
    <row r="602" spans="1:13" ht="25.15" customHeight="1">
      <c r="A602" s="61"/>
      <c r="B602" s="855" t="s">
        <v>81</v>
      </c>
      <c r="C602" s="855"/>
      <c r="D602" s="62" t="s">
        <v>51</v>
      </c>
      <c r="E602" s="87">
        <v>2.5714285714285714E-2</v>
      </c>
      <c r="F602" s="242">
        <f>SUMIF('Cjenik VSO'!$B$9:$B$85,$B602,'Cjenik VSO'!$C$9:$C$85)</f>
        <v>107.11</v>
      </c>
      <c r="G602" s="64">
        <f t="shared" si="39"/>
        <v>2.754257142857143</v>
      </c>
      <c r="I602" s="708"/>
      <c r="J602" s="62" t="s">
        <v>51</v>
      </c>
      <c r="K602" s="87">
        <v>2.2499999999999999E-2</v>
      </c>
      <c r="L602" s="242">
        <f>SUMIF('Cjenik VSO'!$B$9:$B$85,$B602,'Cjenik VSO'!$C$9:$C$85)</f>
        <v>107.11</v>
      </c>
      <c r="M602" s="64">
        <f t="shared" si="40"/>
        <v>2.4099749999999998</v>
      </c>
    </row>
    <row r="603" spans="1:13" ht="25.15" customHeight="1">
      <c r="A603" s="16"/>
      <c r="B603" s="851" t="str">
        <f>'Obrazac kalkulacije'!$B$15</f>
        <v>Materijali:</v>
      </c>
      <c r="C603" s="851"/>
      <c r="D603" s="16"/>
      <c r="E603" s="16"/>
      <c r="F603" s="243"/>
      <c r="G603" s="18">
        <f>SUM(G604:G605)</f>
        <v>600</v>
      </c>
      <c r="I603" s="709"/>
      <c r="J603" s="16"/>
      <c r="K603" s="16"/>
      <c r="L603" s="243"/>
      <c r="M603" s="18">
        <f>SUM(M604:M605)</f>
        <v>600</v>
      </c>
    </row>
    <row r="604" spans="1:13" ht="25.15" customHeight="1">
      <c r="A604" s="77"/>
      <c r="B604" s="856">
        <f>'Cjenik M'!$B$100</f>
        <v>0</v>
      </c>
      <c r="C604" s="856"/>
      <c r="D604" s="78">
        <f>'Cjenik M'!$C$100</f>
        <v>0</v>
      </c>
      <c r="E604" s="79">
        <v>1</v>
      </c>
      <c r="F604" s="254">
        <f>SUM('Cjenik M'!D100)</f>
        <v>0</v>
      </c>
      <c r="G604" s="80">
        <f>+F604*E604</f>
        <v>0</v>
      </c>
      <c r="I604" s="710"/>
      <c r="J604" s="78">
        <f>'Cjenik M'!$C$100</f>
        <v>0</v>
      </c>
      <c r="K604" s="79">
        <v>1</v>
      </c>
      <c r="L604" s="254">
        <f>'Cjenik M'!$D$100</f>
        <v>0</v>
      </c>
      <c r="M604" s="80">
        <f>+L604*K604</f>
        <v>0</v>
      </c>
    </row>
    <row r="605" spans="1:13" ht="25.15" customHeight="1" thickBot="1">
      <c r="A605" s="74"/>
      <c r="B605" s="853" t="str">
        <f>'Cjenik M'!$B$21</f>
        <v>Oznaka ulice</v>
      </c>
      <c r="C605" s="853"/>
      <c r="D605" s="67" t="str">
        <f>'Cjenik M'!$C$21</f>
        <v>kom</v>
      </c>
      <c r="E605" s="81">
        <v>4</v>
      </c>
      <c r="F605" s="249">
        <f>'Cjenik M'!$D$21</f>
        <v>150</v>
      </c>
      <c r="G605" s="70">
        <f>+F605*E605</f>
        <v>600</v>
      </c>
      <c r="I605" s="706"/>
      <c r="J605" s="67" t="str">
        <f>'Cjenik M'!$C$21</f>
        <v>kom</v>
      </c>
      <c r="K605" s="81">
        <v>4</v>
      </c>
      <c r="L605" s="249">
        <f>'Cjenik M'!$D$21</f>
        <v>150</v>
      </c>
      <c r="M605" s="70">
        <f>+L605*K605</f>
        <v>600</v>
      </c>
    </row>
    <row r="606" spans="1:13" ht="25.15" customHeight="1" thickTop="1" thickBot="1">
      <c r="B606" s="47"/>
      <c r="C606" s="24"/>
      <c r="D606" s="25"/>
      <c r="E606" s="147" t="str">
        <f>'Obrazac kalkulacije'!$E$18</f>
        <v>Ukupno (kn):</v>
      </c>
      <c r="F606" s="255"/>
      <c r="G606" s="26">
        <f>SUM(G589+G591+G603)</f>
        <v>663.6212857142857</v>
      </c>
      <c r="H606" s="269"/>
      <c r="I606" s="24"/>
      <c r="J606" s="25"/>
      <c r="K606" s="147" t="str">
        <f>'Obrazac kalkulacije'!$E$18</f>
        <v>Ukupno (kn):</v>
      </c>
      <c r="L606" s="255"/>
      <c r="M606" s="26">
        <f>ROUND(SUM(M589+M591+M603),2)</f>
        <v>655.89</v>
      </c>
    </row>
    <row r="607" spans="1:13" ht="25.15" customHeight="1" thickTop="1" thickBot="1">
      <c r="E607" s="27" t="str">
        <f>'Obrazac kalkulacije'!$E$19</f>
        <v>PDV:</v>
      </c>
      <c r="F607" s="248">
        <f>'Obrazac kalkulacije'!$F$19</f>
        <v>0.25</v>
      </c>
      <c r="G607" s="29">
        <f>G606*F607</f>
        <v>165.90532142857143</v>
      </c>
      <c r="H607" s="561"/>
      <c r="K607" s="27" t="str">
        <f>'Obrazac kalkulacije'!$E$19</f>
        <v>PDV:</v>
      </c>
      <c r="L607" s="248">
        <f>'Obrazac kalkulacije'!$F$19</f>
        <v>0.25</v>
      </c>
      <c r="M607" s="29">
        <f>M606*L607</f>
        <v>163.9725</v>
      </c>
    </row>
    <row r="608" spans="1:13" ht="25.15" customHeight="1" thickTop="1" thickBot="1">
      <c r="E608" s="148" t="str">
        <f>'Obrazac kalkulacije'!$E$20</f>
        <v>Sveukupno (kn):</v>
      </c>
      <c r="F608" s="256"/>
      <c r="G608" s="29">
        <f>ROUND(SUM(G606:G607),2)</f>
        <v>829.53</v>
      </c>
      <c r="H608" s="562"/>
      <c r="K608" s="148" t="str">
        <f>'Obrazac kalkulacije'!$E$20</f>
        <v>Sveukupno (kn):</v>
      </c>
      <c r="L608" s="256"/>
      <c r="M608" s="29">
        <f>ROUND(SUM(M606:M607),2)</f>
        <v>819.86</v>
      </c>
    </row>
    <row r="609" spans="1:13" ht="15" customHeight="1" thickTop="1"/>
    <row r="610" spans="1:13" ht="15" customHeight="1"/>
    <row r="611" spans="1:13" ht="15" customHeight="1"/>
    <row r="612" spans="1:13" ht="15" customHeight="1">
      <c r="C612" s="3" t="str">
        <f>'Obrazac kalkulacije'!$C$24</f>
        <v>IZVODITELJ:</v>
      </c>
      <c r="F612" s="841" t="str">
        <f>'Obrazac kalkulacije'!$F$24</f>
        <v>NARUČITELJ:</v>
      </c>
      <c r="G612" s="841"/>
      <c r="I612" s="3" t="str">
        <f>'Obrazac kalkulacije'!$C$24</f>
        <v>IZVODITELJ:</v>
      </c>
      <c r="L612" s="841" t="str">
        <f>'Obrazac kalkulacije'!$F$24</f>
        <v>NARUČITELJ:</v>
      </c>
      <c r="M612" s="841"/>
    </row>
    <row r="613" spans="1:13" ht="25.15" customHeight="1">
      <c r="C613" s="3" t="str">
        <f>'Obrazac kalkulacije'!$C$25</f>
        <v>__________________</v>
      </c>
      <c r="F613" s="841" t="str">
        <f>'Obrazac kalkulacije'!$F$25</f>
        <v>___________________</v>
      </c>
      <c r="G613" s="841"/>
      <c r="I613" s="3" t="str">
        <f>'Obrazac kalkulacije'!$C$25</f>
        <v>__________________</v>
      </c>
      <c r="L613" s="841" t="str">
        <f>'Obrazac kalkulacije'!$F$25</f>
        <v>___________________</v>
      </c>
      <c r="M613" s="841"/>
    </row>
    <row r="614" spans="1:13" ht="15" customHeight="1">
      <c r="G614" s="30"/>
      <c r="M614" s="30"/>
    </row>
    <row r="615" spans="1:13" ht="15" customHeight="1"/>
    <row r="616" spans="1:13" ht="15" customHeight="1">
      <c r="A616" s="144"/>
      <c r="B616" s="145" t="s">
        <v>17</v>
      </c>
      <c r="C616" s="146" t="s">
        <v>56</v>
      </c>
      <c r="D616" s="146"/>
      <c r="E616" s="146"/>
      <c r="F616" s="252"/>
      <c r="G616" s="146"/>
      <c r="I616" s="146" t="s">
        <v>56</v>
      </c>
      <c r="J616" s="146"/>
      <c r="K616" s="146"/>
      <c r="L616" s="252"/>
      <c r="M616" s="146"/>
    </row>
    <row r="617" spans="1:13" ht="15" customHeight="1">
      <c r="A617" s="38"/>
      <c r="B617" s="39" t="s">
        <v>64</v>
      </c>
      <c r="C617" s="8" t="s">
        <v>65</v>
      </c>
      <c r="D617" s="8"/>
      <c r="E617" s="8"/>
      <c r="F617" s="253"/>
      <c r="G617" s="8"/>
      <c r="I617" s="8" t="s">
        <v>65</v>
      </c>
      <c r="J617" s="8"/>
      <c r="K617" s="8"/>
      <c r="L617" s="253"/>
      <c r="M617" s="8"/>
    </row>
    <row r="618" spans="1:13" ht="15" customHeight="1">
      <c r="A618" s="48"/>
      <c r="B618" s="49" t="s">
        <v>128</v>
      </c>
      <c r="C618" s="50" t="s">
        <v>129</v>
      </c>
      <c r="D618" s="50"/>
      <c r="E618" s="50"/>
      <c r="F618" s="250"/>
      <c r="G618" s="50"/>
      <c r="I618" s="50" t="s">
        <v>129</v>
      </c>
      <c r="J618" s="50"/>
      <c r="K618" s="50"/>
      <c r="L618" s="250"/>
      <c r="M618" s="50"/>
    </row>
    <row r="619" spans="1:13" ht="150" customHeight="1">
      <c r="A619" s="40"/>
      <c r="B619" s="556" t="s">
        <v>136</v>
      </c>
      <c r="C619" s="852" t="s">
        <v>137</v>
      </c>
      <c r="D619" s="852"/>
      <c r="E619" s="852"/>
      <c r="F619" s="852"/>
      <c r="G619" s="852"/>
      <c r="I619" s="869" t="s">
        <v>138</v>
      </c>
      <c r="J619" s="869"/>
      <c r="K619" s="869"/>
      <c r="L619" s="869"/>
      <c r="M619" s="869"/>
    </row>
    <row r="620" spans="1:13" ht="15" customHeight="1" thickBot="1"/>
    <row r="621" spans="1:13" ht="30" customHeight="1" thickTop="1" thickBot="1">
      <c r="A621" s="10"/>
      <c r="B621" s="835" t="str">
        <f>'Obrazac kalkulacije'!$B$6:$C$6</f>
        <v>Opis</v>
      </c>
      <c r="C621" s="835"/>
      <c r="D621" s="10" t="str">
        <f>'Obrazac kalkulacije'!$D$6</f>
        <v>Jed.
mjere</v>
      </c>
      <c r="E621" s="10" t="str">
        <f>'Obrazac kalkulacije'!$E$6</f>
        <v>Normativ</v>
      </c>
      <c r="F621" s="10" t="str">
        <f>'Obrazac kalkulacije'!$F$6</f>
        <v>Jed.
cijena</v>
      </c>
      <c r="G621" s="10" t="str">
        <f>'Obrazac kalkulacije'!$G$6</f>
        <v>Iznos</v>
      </c>
      <c r="I621" s="703"/>
      <c r="J621" s="10" t="str">
        <f>'Obrazac kalkulacije'!$D$6</f>
        <v>Jed.
mjere</v>
      </c>
      <c r="K621" s="10" t="str">
        <f>'Obrazac kalkulacije'!$E$6</f>
        <v>Normativ</v>
      </c>
      <c r="L621" s="10" t="str">
        <f>'Obrazac kalkulacije'!$F$6</f>
        <v>Jed.
cijena</v>
      </c>
      <c r="M621" s="10" t="str">
        <f>'Obrazac kalkulacije'!$G$6</f>
        <v>Iznos</v>
      </c>
    </row>
    <row r="622" spans="1:13" ht="4.5" customHeight="1" thickTop="1">
      <c r="B622" s="42"/>
      <c r="C622" s="1"/>
      <c r="D622" s="11"/>
      <c r="E622" s="13"/>
      <c r="F622" s="245"/>
      <c r="G622" s="15"/>
      <c r="I622" s="1"/>
      <c r="J622" s="11"/>
      <c r="K622" s="13"/>
      <c r="L622" s="245"/>
      <c r="M622" s="15"/>
    </row>
    <row r="623" spans="1:13" ht="25.15" customHeight="1">
      <c r="A623" s="16"/>
      <c r="B623" s="17" t="str">
        <f>'Obrazac kalkulacije'!$B$8</f>
        <v>Radna snaga:</v>
      </c>
      <c r="C623" s="17"/>
      <c r="D623" s="16"/>
      <c r="E623" s="16"/>
      <c r="F623" s="246"/>
      <c r="G623" s="18">
        <f>SUM(G624:G624)</f>
        <v>12.003428571428572</v>
      </c>
      <c r="I623" s="17"/>
      <c r="J623" s="16"/>
      <c r="K623" s="16"/>
      <c r="L623" s="246"/>
      <c r="M623" s="18">
        <f>SUM(M624:M624)</f>
        <v>10.503</v>
      </c>
    </row>
    <row r="624" spans="1:13" ht="25.15" customHeight="1">
      <c r="A624" s="32"/>
      <c r="B624" s="854" t="s">
        <v>57</v>
      </c>
      <c r="C624" s="854"/>
      <c r="D624" s="33" t="s">
        <v>51</v>
      </c>
      <c r="E624" s="34">
        <v>0.11428571428571428</v>
      </c>
      <c r="F624" s="243">
        <f>SUMIF('Cjenik RS'!$C$11:$C$26,$B624,'Cjenik RS'!$D$11:$D$90)</f>
        <v>105.03</v>
      </c>
      <c r="G624" s="35">
        <f>+F624*E624</f>
        <v>12.003428571428572</v>
      </c>
      <c r="I624" s="701"/>
      <c r="J624" s="33" t="s">
        <v>51</v>
      </c>
      <c r="K624" s="34">
        <v>0.1</v>
      </c>
      <c r="L624" s="243">
        <f>SUMIF('Cjenik RS'!$C$11:$C$26,$B624,'Cjenik RS'!$D$11:$D$90)</f>
        <v>105.03</v>
      </c>
      <c r="M624" s="35">
        <f>+L624*K624</f>
        <v>10.503</v>
      </c>
    </row>
    <row r="625" spans="1:13" ht="25.15" customHeight="1">
      <c r="A625" s="16"/>
      <c r="B625" s="17" t="str">
        <f>'Obrazac kalkulacije'!$B$11</f>
        <v>Vozila, strojevi i oprema:</v>
      </c>
      <c r="C625" s="17"/>
      <c r="D625" s="16"/>
      <c r="E625" s="16"/>
      <c r="F625" s="243"/>
      <c r="G625" s="18">
        <f>SUM(G626:G636)</f>
        <v>51.61785714285714</v>
      </c>
      <c r="I625" s="17"/>
      <c r="J625" s="16"/>
      <c r="K625" s="16"/>
      <c r="L625" s="243"/>
      <c r="M625" s="18">
        <f>SUM(M626:M636)</f>
        <v>45.387693749999997</v>
      </c>
    </row>
    <row r="626" spans="1:13" ht="25.15" customHeight="1">
      <c r="A626" s="56"/>
      <c r="B626" s="839" t="s">
        <v>75</v>
      </c>
      <c r="C626" s="839"/>
      <c r="D626" s="57" t="s">
        <v>51</v>
      </c>
      <c r="E626" s="92">
        <v>2.8571428571428571E-3</v>
      </c>
      <c r="F626" s="241">
        <f>SUMIF('Cjenik VSO'!$B$9:$B$85,$B626,'Cjenik VSO'!$C$9:$C$85)</f>
        <v>718.97</v>
      </c>
      <c r="G626" s="59">
        <f t="shared" ref="G626:G636" si="41">E626*F626</f>
        <v>2.0542000000000002</v>
      </c>
      <c r="I626" s="707"/>
      <c r="J626" s="57" t="s">
        <v>51</v>
      </c>
      <c r="K626" s="92">
        <v>2.5000000000000001E-3</v>
      </c>
      <c r="L626" s="241">
        <f>SUMIF('Cjenik VSO'!$B$9:$B$85,$B626,'Cjenik VSO'!$C$9:$C$85)</f>
        <v>718.97</v>
      </c>
      <c r="M626" s="59">
        <f t="shared" ref="M626:M636" si="42">K626*L626</f>
        <v>1.7974250000000001</v>
      </c>
    </row>
    <row r="627" spans="1:13" ht="25.15" customHeight="1">
      <c r="A627" s="56"/>
      <c r="B627" s="839" t="s">
        <v>60</v>
      </c>
      <c r="C627" s="839"/>
      <c r="D627" s="57" t="s">
        <v>51</v>
      </c>
      <c r="E627" s="92">
        <v>5.7142857142857143E-3</v>
      </c>
      <c r="F627" s="241">
        <f>SUMIF('Cjenik VSO'!$B$9:$B$85,$B627,'Cjenik VSO'!$C$9:$C$85)</f>
        <v>328.73</v>
      </c>
      <c r="G627" s="59">
        <f t="shared" si="41"/>
        <v>1.878457142857143</v>
      </c>
      <c r="I627" s="707"/>
      <c r="J627" s="57" t="s">
        <v>51</v>
      </c>
      <c r="K627" s="92">
        <v>5.3749999999999996E-3</v>
      </c>
      <c r="L627" s="241">
        <f>SUMIF('Cjenik VSO'!$B$9:$B$85,$B627,'Cjenik VSO'!$C$9:$C$85)</f>
        <v>328.73</v>
      </c>
      <c r="M627" s="59">
        <f t="shared" si="42"/>
        <v>1.7669237499999999</v>
      </c>
    </row>
    <row r="628" spans="1:13" ht="25.15" customHeight="1">
      <c r="A628" s="56"/>
      <c r="B628" s="839" t="s">
        <v>61</v>
      </c>
      <c r="C628" s="839"/>
      <c r="D628" s="57" t="s">
        <v>51</v>
      </c>
      <c r="E628" s="92">
        <v>5.7142857142857143E-3</v>
      </c>
      <c r="F628" s="241">
        <f>SUMIF('Cjenik VSO'!$B$9:$B$85,$B628,'Cjenik VSO'!$C$9:$C$85)</f>
        <v>62.67</v>
      </c>
      <c r="G628" s="59">
        <f t="shared" si="41"/>
        <v>0.35811428571428572</v>
      </c>
      <c r="I628" s="707"/>
      <c r="J628" s="57" t="s">
        <v>51</v>
      </c>
      <c r="K628" s="92">
        <v>5.3749999999999996E-3</v>
      </c>
      <c r="L628" s="241">
        <f>SUMIF('Cjenik VSO'!$B$9:$B$85,$B628,'Cjenik VSO'!$C$9:$C$85)</f>
        <v>62.67</v>
      </c>
      <c r="M628" s="59">
        <f t="shared" si="42"/>
        <v>0.33685124999999999</v>
      </c>
    </row>
    <row r="629" spans="1:13" ht="25.15" customHeight="1">
      <c r="A629" s="56"/>
      <c r="B629" s="839" t="s">
        <v>73</v>
      </c>
      <c r="C629" s="839"/>
      <c r="D629" s="57" t="s">
        <v>51</v>
      </c>
      <c r="E629" s="92">
        <v>5.7142857142857143E-3</v>
      </c>
      <c r="F629" s="241">
        <f>SUMIF('Cjenik VSO'!$B$9:$B$85,$B629,'Cjenik VSO'!$C$9:$C$85)</f>
        <v>291.72000000000003</v>
      </c>
      <c r="G629" s="59">
        <f t="shared" si="41"/>
        <v>1.6669714285714288</v>
      </c>
      <c r="I629" s="707"/>
      <c r="J629" s="57" t="s">
        <v>51</v>
      </c>
      <c r="K629" s="92">
        <v>5.6249999999999998E-3</v>
      </c>
      <c r="L629" s="241">
        <f>SUMIF('Cjenik VSO'!$B$9:$B$85,$B629,'Cjenik VSO'!$C$9:$C$85)</f>
        <v>291.72000000000003</v>
      </c>
      <c r="M629" s="59">
        <f t="shared" si="42"/>
        <v>1.6409250000000002</v>
      </c>
    </row>
    <row r="630" spans="1:13" ht="25.15" customHeight="1">
      <c r="A630" s="56"/>
      <c r="B630" s="839" t="s">
        <v>74</v>
      </c>
      <c r="C630" s="839"/>
      <c r="D630" s="57" t="s">
        <v>51</v>
      </c>
      <c r="E630" s="92">
        <v>2.5714285714285714E-2</v>
      </c>
      <c r="F630" s="241">
        <f>SUMIF('Cjenik VSO'!$B$9:$B$85,$B630,'Cjenik VSO'!$C$9:$C$85)</f>
        <v>355.64</v>
      </c>
      <c r="G630" s="59">
        <f t="shared" si="41"/>
        <v>9.1450285714285702</v>
      </c>
      <c r="I630" s="707"/>
      <c r="J630" s="57" t="s">
        <v>51</v>
      </c>
      <c r="K630" s="92">
        <v>2.2499999999999999E-2</v>
      </c>
      <c r="L630" s="241">
        <f>SUMIF('Cjenik VSO'!$B$9:$B$85,$B630,'Cjenik VSO'!$C$9:$C$85)</f>
        <v>355.64</v>
      </c>
      <c r="M630" s="59">
        <f t="shared" si="42"/>
        <v>8.0018999999999991</v>
      </c>
    </row>
    <row r="631" spans="1:13" ht="25.15" customHeight="1">
      <c r="A631" s="56"/>
      <c r="B631" s="839" t="s">
        <v>104</v>
      </c>
      <c r="C631" s="839"/>
      <c r="D631" s="57" t="s">
        <v>51</v>
      </c>
      <c r="E631" s="92">
        <v>2.2857142857142857E-2</v>
      </c>
      <c r="F631" s="241">
        <f>SUMIF('Cjenik VSO'!$B$9:$B$85,$B631,'Cjenik VSO'!$C$9:$C$85)</f>
        <v>693.43</v>
      </c>
      <c r="G631" s="59">
        <f t="shared" si="41"/>
        <v>15.849828571428571</v>
      </c>
      <c r="I631" s="707"/>
      <c r="J631" s="57" t="s">
        <v>51</v>
      </c>
      <c r="K631" s="92">
        <v>0.02</v>
      </c>
      <c r="L631" s="241">
        <f>SUMIF('Cjenik VSO'!$B$9:$B$85,$B631,'Cjenik VSO'!$C$9:$C$85)</f>
        <v>693.43</v>
      </c>
      <c r="M631" s="59">
        <f t="shared" si="42"/>
        <v>13.868599999999999</v>
      </c>
    </row>
    <row r="632" spans="1:13" ht="25.15" customHeight="1">
      <c r="A632" s="56"/>
      <c r="B632" s="839" t="s">
        <v>87</v>
      </c>
      <c r="C632" s="839"/>
      <c r="D632" s="57" t="s">
        <v>51</v>
      </c>
      <c r="E632" s="92">
        <v>1.1428571428571429E-2</v>
      </c>
      <c r="F632" s="241">
        <f>SUMIF('Cjenik VSO'!$B$9:$B$85,$B632,'Cjenik VSO'!$C$9:$C$85)</f>
        <v>240.85</v>
      </c>
      <c r="G632" s="59">
        <f t="shared" si="41"/>
        <v>2.7525714285714287</v>
      </c>
      <c r="I632" s="707"/>
      <c r="J632" s="57" t="s">
        <v>51</v>
      </c>
      <c r="K632" s="92">
        <v>0.01</v>
      </c>
      <c r="L632" s="241">
        <f>SUMIF('Cjenik VSO'!$B$9:$B$85,$B632,'Cjenik VSO'!$C$9:$C$85)</f>
        <v>240.85</v>
      </c>
      <c r="M632" s="59">
        <f t="shared" si="42"/>
        <v>2.4085000000000001</v>
      </c>
    </row>
    <row r="633" spans="1:13" ht="25.15" customHeight="1">
      <c r="A633" s="56"/>
      <c r="B633" s="839" t="s">
        <v>79</v>
      </c>
      <c r="C633" s="839"/>
      <c r="D633" s="57" t="s">
        <v>51</v>
      </c>
      <c r="E633" s="92">
        <v>0.02</v>
      </c>
      <c r="F633" s="241">
        <f>SUMIF('Cjenik VSO'!$B$9:$B$85,$B633,'Cjenik VSO'!$C$9:$C$85)</f>
        <v>199.57</v>
      </c>
      <c r="G633" s="59">
        <f t="shared" si="41"/>
        <v>3.9914000000000001</v>
      </c>
      <c r="I633" s="707"/>
      <c r="J633" s="57" t="s">
        <v>51</v>
      </c>
      <c r="K633" s="92">
        <v>0.01</v>
      </c>
      <c r="L633" s="241">
        <f>SUMIF('Cjenik VSO'!$B$9:$B$85,$B633,'Cjenik VSO'!$C$9:$C$85)</f>
        <v>199.57</v>
      </c>
      <c r="M633" s="59">
        <f t="shared" si="42"/>
        <v>1.9957</v>
      </c>
    </row>
    <row r="634" spans="1:13" ht="25.15" customHeight="1">
      <c r="A634" s="56"/>
      <c r="B634" s="839" t="s">
        <v>88</v>
      </c>
      <c r="C634" s="839"/>
      <c r="D634" s="57" t="s">
        <v>51</v>
      </c>
      <c r="E634" s="92">
        <v>0.04</v>
      </c>
      <c r="F634" s="241">
        <f>SUMIF('Cjenik VSO'!$B$9:$B$85,$B634,'Cjenik VSO'!$C$9:$C$85)</f>
        <v>269.36</v>
      </c>
      <c r="G634" s="59">
        <f t="shared" si="41"/>
        <v>10.7744</v>
      </c>
      <c r="I634" s="707"/>
      <c r="J634" s="57" t="s">
        <v>51</v>
      </c>
      <c r="K634" s="92">
        <v>0.04</v>
      </c>
      <c r="L634" s="241">
        <f>SUMIF('Cjenik VSO'!$B$9:$B$85,$B634,'Cjenik VSO'!$C$9:$C$85)</f>
        <v>269.36</v>
      </c>
      <c r="M634" s="59">
        <f t="shared" si="42"/>
        <v>10.7744</v>
      </c>
    </row>
    <row r="635" spans="1:13" ht="25.15" customHeight="1">
      <c r="A635" s="56"/>
      <c r="B635" s="839" t="s">
        <v>80</v>
      </c>
      <c r="C635" s="839"/>
      <c r="D635" s="57" t="s">
        <v>51</v>
      </c>
      <c r="E635" s="92">
        <v>5.7142857142857143E-3</v>
      </c>
      <c r="F635" s="241">
        <f>SUMIF('Cjenik VSO'!$B$9:$B$85,$B635,'Cjenik VSO'!$C$9:$C$85)</f>
        <v>68.709999999999994</v>
      </c>
      <c r="G635" s="59">
        <f t="shared" si="41"/>
        <v>0.39262857142857138</v>
      </c>
      <c r="I635" s="707"/>
      <c r="J635" s="57" t="s">
        <v>51</v>
      </c>
      <c r="K635" s="92">
        <v>5.6249999999999998E-3</v>
      </c>
      <c r="L635" s="241">
        <f>SUMIF('Cjenik VSO'!$B$9:$B$85,$B635,'Cjenik VSO'!$C$9:$C$85)</f>
        <v>68.709999999999994</v>
      </c>
      <c r="M635" s="59">
        <f t="shared" si="42"/>
        <v>0.38649374999999997</v>
      </c>
    </row>
    <row r="636" spans="1:13" ht="25.15" customHeight="1">
      <c r="A636" s="61"/>
      <c r="B636" s="855" t="s">
        <v>81</v>
      </c>
      <c r="C636" s="855"/>
      <c r="D636" s="62" t="s">
        <v>51</v>
      </c>
      <c r="E636" s="87">
        <v>2.5714285714285714E-2</v>
      </c>
      <c r="F636" s="242">
        <f>SUMIF('Cjenik VSO'!$B$9:$B$85,$B636,'Cjenik VSO'!$C$9:$C$85)</f>
        <v>107.11</v>
      </c>
      <c r="G636" s="64">
        <f t="shared" si="41"/>
        <v>2.754257142857143</v>
      </c>
      <c r="I636" s="708"/>
      <c r="J636" s="62" t="s">
        <v>51</v>
      </c>
      <c r="K636" s="87">
        <v>2.2499999999999999E-2</v>
      </c>
      <c r="L636" s="242">
        <f>SUMIF('Cjenik VSO'!$B$9:$B$85,$B636,'Cjenik VSO'!$C$9:$C$85)</f>
        <v>107.11</v>
      </c>
      <c r="M636" s="64">
        <f t="shared" si="42"/>
        <v>2.4099749999999998</v>
      </c>
    </row>
    <row r="637" spans="1:13" ht="25.15" customHeight="1">
      <c r="A637" s="16"/>
      <c r="B637" s="851" t="str">
        <f>'Obrazac kalkulacije'!$B$15</f>
        <v>Materijali:</v>
      </c>
      <c r="C637" s="851"/>
      <c r="D637" s="16"/>
      <c r="E637" s="16"/>
      <c r="F637" s="243"/>
      <c r="G637" s="18">
        <f>SUM(G638:G639)</f>
        <v>13800</v>
      </c>
      <c r="I637" s="709"/>
      <c r="J637" s="16"/>
      <c r="K637" s="16"/>
      <c r="L637" s="243"/>
      <c r="M637" s="18">
        <f>SUM(M638:M639)</f>
        <v>13800</v>
      </c>
    </row>
    <row r="638" spans="1:13" ht="25.15" customHeight="1">
      <c r="A638" s="77"/>
      <c r="B638" s="856" t="str">
        <f>'Cjenik M'!$B$15</f>
        <v>Prometna ploča površine veće od 8,00 m2</v>
      </c>
      <c r="C638" s="856"/>
      <c r="D638" s="78" t="str">
        <f>'Cjenik M'!$C$15</f>
        <v>kom</v>
      </c>
      <c r="E638" s="79">
        <v>1</v>
      </c>
      <c r="F638" s="254">
        <f>'Cjenik M'!$D$15</f>
        <v>13200</v>
      </c>
      <c r="G638" s="80">
        <f>+F638*E638</f>
        <v>13200</v>
      </c>
      <c r="I638" s="710"/>
      <c r="J638" s="78" t="str">
        <f>'Cjenik M'!$C$15</f>
        <v>kom</v>
      </c>
      <c r="K638" s="79">
        <v>1</v>
      </c>
      <c r="L638" s="254">
        <f>'Cjenik M'!$D$15</f>
        <v>13200</v>
      </c>
      <c r="M638" s="80">
        <f>+L638*K638</f>
        <v>13200</v>
      </c>
    </row>
    <row r="639" spans="1:13" ht="25.15" customHeight="1" thickBot="1">
      <c r="A639" s="74"/>
      <c r="B639" s="853" t="str">
        <f>'Cjenik M'!$B$21</f>
        <v>Oznaka ulice</v>
      </c>
      <c r="C639" s="853"/>
      <c r="D639" s="67" t="str">
        <f>'Cjenik M'!$C$21</f>
        <v>kom</v>
      </c>
      <c r="E639" s="81">
        <v>4</v>
      </c>
      <c r="F639" s="249">
        <f>'Cjenik M'!$D$21</f>
        <v>150</v>
      </c>
      <c r="G639" s="70">
        <f>+F639*E639</f>
        <v>600</v>
      </c>
      <c r="I639" s="706"/>
      <c r="J639" s="67" t="str">
        <f>'Cjenik M'!$C$21</f>
        <v>kom</v>
      </c>
      <c r="K639" s="81">
        <v>4</v>
      </c>
      <c r="L639" s="249">
        <f>'Cjenik M'!$D$21</f>
        <v>150</v>
      </c>
      <c r="M639" s="70">
        <f>+L639*K639</f>
        <v>600</v>
      </c>
    </row>
    <row r="640" spans="1:13" ht="25.15" customHeight="1" thickTop="1" thickBot="1">
      <c r="B640" s="47"/>
      <c r="C640" s="24"/>
      <c r="D640" s="25"/>
      <c r="E640" s="147" t="str">
        <f>'Obrazac kalkulacije'!$E$18</f>
        <v>Ukupno (kn):</v>
      </c>
      <c r="F640" s="255"/>
      <c r="G640" s="26">
        <f>ROUND(SUM(G623+G625+G637),2)</f>
        <v>13863.62</v>
      </c>
      <c r="H640" s="269"/>
      <c r="I640" s="24"/>
      <c r="J640" s="25"/>
      <c r="K640" s="147" t="str">
        <f>'Obrazac kalkulacije'!$E$18</f>
        <v>Ukupno (kn):</v>
      </c>
      <c r="L640" s="255"/>
      <c r="M640" s="26">
        <f>ROUND(SUM(M623+M625+M637),2)</f>
        <v>13855.89</v>
      </c>
    </row>
    <row r="641" spans="1:13" ht="25.15" customHeight="1" thickTop="1" thickBot="1">
      <c r="E641" s="27" t="str">
        <f>'Obrazac kalkulacije'!$E$19</f>
        <v>PDV:</v>
      </c>
      <c r="F641" s="248">
        <f>'Obrazac kalkulacije'!$F$19</f>
        <v>0.25</v>
      </c>
      <c r="G641" s="29">
        <f>G640*F641</f>
        <v>3465.9050000000002</v>
      </c>
      <c r="H641" s="561"/>
      <c r="K641" s="27" t="str">
        <f>'Obrazac kalkulacije'!$E$19</f>
        <v>PDV:</v>
      </c>
      <c r="L641" s="248">
        <f>'Obrazac kalkulacije'!$F$19</f>
        <v>0.25</v>
      </c>
      <c r="M641" s="29">
        <f>M640*L641</f>
        <v>3463.9724999999999</v>
      </c>
    </row>
    <row r="642" spans="1:13" ht="25.15" customHeight="1" thickTop="1" thickBot="1">
      <c r="E642" s="148" t="str">
        <f>'Obrazac kalkulacije'!$E$20</f>
        <v>Sveukupno (kn):</v>
      </c>
      <c r="F642" s="256"/>
      <c r="G642" s="29">
        <f>ROUND(SUM(G640:G641),2)</f>
        <v>17329.53</v>
      </c>
      <c r="H642" s="562"/>
      <c r="K642" s="148" t="str">
        <f>'Obrazac kalkulacije'!$E$20</f>
        <v>Sveukupno (kn):</v>
      </c>
      <c r="L642" s="256"/>
      <c r="M642" s="29">
        <f>ROUND(SUM(M640:M641),2)</f>
        <v>17319.86</v>
      </c>
    </row>
    <row r="643" spans="1:13" ht="15" customHeight="1" thickTop="1"/>
    <row r="644" spans="1:13" ht="15" customHeight="1"/>
    <row r="645" spans="1:13" ht="15" customHeight="1"/>
    <row r="646" spans="1:13" ht="15" customHeight="1">
      <c r="C646" s="3" t="str">
        <f>'Obrazac kalkulacije'!$C$24</f>
        <v>IZVODITELJ:</v>
      </c>
      <c r="F646" s="841" t="str">
        <f>'Obrazac kalkulacije'!$F$24</f>
        <v>NARUČITELJ:</v>
      </c>
      <c r="G646" s="841"/>
      <c r="I646" s="3" t="str">
        <f>'Obrazac kalkulacije'!$C$24</f>
        <v>IZVODITELJ:</v>
      </c>
      <c r="L646" s="841" t="str">
        <f>'Obrazac kalkulacije'!$F$24</f>
        <v>NARUČITELJ:</v>
      </c>
      <c r="M646" s="841"/>
    </row>
    <row r="647" spans="1:13" ht="25.15" customHeight="1">
      <c r="C647" s="3" t="str">
        <f>'Obrazac kalkulacije'!$C$25</f>
        <v>__________________</v>
      </c>
      <c r="F647" s="841" t="str">
        <f>'Obrazac kalkulacije'!$F$25</f>
        <v>___________________</v>
      </c>
      <c r="G647" s="841"/>
      <c r="I647" s="3" t="str">
        <f>'Obrazac kalkulacije'!$C$25</f>
        <v>__________________</v>
      </c>
      <c r="L647" s="841" t="str">
        <f>'Obrazac kalkulacije'!$F$25</f>
        <v>___________________</v>
      </c>
      <c r="M647" s="841"/>
    </row>
    <row r="648" spans="1:13" ht="15" customHeight="1">
      <c r="G648" s="30"/>
      <c r="M648" s="30"/>
    </row>
    <row r="649" spans="1:13" ht="15" customHeight="1"/>
    <row r="650" spans="1:13" ht="15" customHeight="1">
      <c r="A650" s="144"/>
      <c r="B650" s="145" t="s">
        <v>17</v>
      </c>
      <c r="C650" s="146" t="s">
        <v>56</v>
      </c>
      <c r="D650" s="146"/>
      <c r="E650" s="146"/>
      <c r="F650" s="252"/>
      <c r="G650" s="146"/>
      <c r="I650" s="146" t="s">
        <v>56</v>
      </c>
      <c r="J650" s="146"/>
      <c r="K650" s="146"/>
      <c r="L650" s="252"/>
      <c r="M650" s="146"/>
    </row>
    <row r="651" spans="1:13" ht="15" customHeight="1">
      <c r="A651" s="38"/>
      <c r="B651" s="39" t="s">
        <v>64</v>
      </c>
      <c r="C651" s="8" t="s">
        <v>65</v>
      </c>
      <c r="D651" s="8"/>
      <c r="E651" s="8"/>
      <c r="F651" s="253"/>
      <c r="G651" s="8"/>
      <c r="I651" s="8" t="s">
        <v>65</v>
      </c>
      <c r="J651" s="8"/>
      <c r="K651" s="8"/>
      <c r="L651" s="253"/>
      <c r="M651" s="8"/>
    </row>
    <row r="652" spans="1:13" ht="15" customHeight="1">
      <c r="A652" s="48"/>
      <c r="B652" s="49" t="s">
        <v>128</v>
      </c>
      <c r="C652" s="50" t="s">
        <v>129</v>
      </c>
      <c r="D652" s="50"/>
      <c r="E652" s="50"/>
      <c r="F652" s="250"/>
      <c r="G652" s="50"/>
      <c r="I652" s="50" t="s">
        <v>129</v>
      </c>
      <c r="J652" s="50"/>
      <c r="K652" s="50"/>
      <c r="L652" s="250"/>
      <c r="M652" s="50"/>
    </row>
    <row r="653" spans="1:13" ht="150" customHeight="1">
      <c r="A653" s="40"/>
      <c r="B653" s="556" t="s">
        <v>139</v>
      </c>
      <c r="C653" s="852" t="s">
        <v>140</v>
      </c>
      <c r="D653" s="852"/>
      <c r="E653" s="852"/>
      <c r="F653" s="852"/>
      <c r="G653" s="852"/>
      <c r="I653" s="869" t="s">
        <v>141</v>
      </c>
      <c r="J653" s="869"/>
      <c r="K653" s="869"/>
      <c r="L653" s="869"/>
      <c r="M653" s="869"/>
    </row>
    <row r="654" spans="1:13" ht="15" customHeight="1" thickBot="1"/>
    <row r="655" spans="1:13" ht="30" customHeight="1" thickTop="1" thickBot="1">
      <c r="A655" s="10"/>
      <c r="B655" s="835" t="str">
        <f>'Obrazac kalkulacije'!$B$6:$C$6</f>
        <v>Opis</v>
      </c>
      <c r="C655" s="835"/>
      <c r="D655" s="10" t="str">
        <f>'Obrazac kalkulacije'!$D$6</f>
        <v>Jed.
mjere</v>
      </c>
      <c r="E655" s="10" t="str">
        <f>'Obrazac kalkulacije'!$E$6</f>
        <v>Normativ</v>
      </c>
      <c r="F655" s="10" t="str">
        <f>'Obrazac kalkulacije'!$F$6</f>
        <v>Jed.
cijena</v>
      </c>
      <c r="G655" s="10" t="str">
        <f>'Obrazac kalkulacije'!$G$6</f>
        <v>Iznos</v>
      </c>
      <c r="I655" s="703"/>
      <c r="J655" s="10" t="str">
        <f>'Obrazac kalkulacije'!$D$6</f>
        <v>Jed.
mjere</v>
      </c>
      <c r="K655" s="10" t="str">
        <f>'Obrazac kalkulacije'!$E$6</f>
        <v>Normativ</v>
      </c>
      <c r="L655" s="10" t="str">
        <f>'Obrazac kalkulacije'!$F$6</f>
        <v>Jed.
cijena</v>
      </c>
      <c r="M655" s="10" t="str">
        <f>'Obrazac kalkulacije'!$G$6</f>
        <v>Iznos</v>
      </c>
    </row>
    <row r="656" spans="1:13" ht="4.5" customHeight="1" thickTop="1">
      <c r="B656" s="42"/>
      <c r="C656" s="1"/>
      <c r="D656" s="11"/>
      <c r="E656" s="13"/>
      <c r="F656" s="245"/>
      <c r="G656" s="15"/>
      <c r="I656" s="1"/>
      <c r="J656" s="11"/>
      <c r="K656" s="13"/>
      <c r="L656" s="245"/>
      <c r="M656" s="15"/>
    </row>
    <row r="657" spans="1:13" ht="25.15" customHeight="1">
      <c r="A657" s="16"/>
      <c r="B657" s="17" t="str">
        <f>'Obrazac kalkulacije'!$B$8</f>
        <v>Radna snaga:</v>
      </c>
      <c r="C657" s="17"/>
      <c r="D657" s="16"/>
      <c r="E657" s="16"/>
      <c r="F657" s="246"/>
      <c r="G657" s="18">
        <f>SUM(G658:G658)</f>
        <v>1.2003428571428572</v>
      </c>
      <c r="I657" s="17"/>
      <c r="J657" s="16"/>
      <c r="K657" s="16"/>
      <c r="L657" s="246"/>
      <c r="M657" s="18">
        <f>SUM(M658:M658)</f>
        <v>1.0503</v>
      </c>
    </row>
    <row r="658" spans="1:13" ht="25.15" customHeight="1">
      <c r="A658" s="32"/>
      <c r="B658" s="854" t="s">
        <v>57</v>
      </c>
      <c r="C658" s="854"/>
      <c r="D658" s="33" t="s">
        <v>51</v>
      </c>
      <c r="E658" s="34">
        <f>E624*0.1</f>
        <v>1.1428571428571429E-2</v>
      </c>
      <c r="F658" s="243">
        <f>SUMIF('Cjenik RS'!$C$11:$C$26,$B658,'Cjenik RS'!$D$11:$D$90)</f>
        <v>105.03</v>
      </c>
      <c r="G658" s="35">
        <f>+F658*E658</f>
        <v>1.2003428571428572</v>
      </c>
      <c r="I658" s="701"/>
      <c r="J658" s="33" t="s">
        <v>51</v>
      </c>
      <c r="K658" s="34">
        <v>0.01</v>
      </c>
      <c r="L658" s="243">
        <f>SUMIF('Cjenik RS'!$C$11:$C$26,$B658,'Cjenik RS'!$D$11:$D$90)</f>
        <v>105.03</v>
      </c>
      <c r="M658" s="35">
        <f>+L658*K658</f>
        <v>1.0503</v>
      </c>
    </row>
    <row r="659" spans="1:13" ht="25.15" customHeight="1">
      <c r="A659" s="16"/>
      <c r="B659" s="17" t="str">
        <f>'Obrazac kalkulacije'!$B$11</f>
        <v>Vozila, strojevi i oprema:</v>
      </c>
      <c r="C659" s="17"/>
      <c r="D659" s="16"/>
      <c r="E659" s="16"/>
      <c r="F659" s="243"/>
      <c r="G659" s="18">
        <f>SUM(G660:G670)</f>
        <v>5.1617857142857142</v>
      </c>
      <c r="I659" s="17"/>
      <c r="J659" s="16"/>
      <c r="K659" s="16"/>
      <c r="L659" s="243"/>
      <c r="M659" s="18">
        <f>SUM(M660:M670)</f>
        <v>4.7280012100000004</v>
      </c>
    </row>
    <row r="660" spans="1:13" ht="25.15" customHeight="1">
      <c r="A660" s="56"/>
      <c r="B660" s="839" t="s">
        <v>75</v>
      </c>
      <c r="C660" s="839"/>
      <c r="D660" s="57" t="s">
        <v>51</v>
      </c>
      <c r="E660" s="34">
        <f t="shared" ref="E660:E670" si="43">E626*0.1</f>
        <v>2.8571428571428574E-4</v>
      </c>
      <c r="F660" s="241">
        <f>SUMIF('Cjenik VSO'!$B$9:$B$85,$B660,'Cjenik VSO'!$C$9:$C$85)</f>
        <v>718.97</v>
      </c>
      <c r="G660" s="59">
        <f t="shared" ref="G660:G670" si="44">E660*F660</f>
        <v>0.20542000000000002</v>
      </c>
      <c r="I660" s="707"/>
      <c r="J660" s="57" t="s">
        <v>51</v>
      </c>
      <c r="K660" s="92">
        <v>1.8799999999999999E-4</v>
      </c>
      <c r="L660" s="241">
        <f>SUMIF('Cjenik VSO'!$B$9:$B$85,$B660,'Cjenik VSO'!$C$9:$C$85)</f>
        <v>718.97</v>
      </c>
      <c r="M660" s="59">
        <f t="shared" ref="M660:M670" si="45">K660*L660</f>
        <v>0.13516635999999999</v>
      </c>
    </row>
    <row r="661" spans="1:13" ht="25.15" customHeight="1">
      <c r="A661" s="56"/>
      <c r="B661" s="839" t="s">
        <v>60</v>
      </c>
      <c r="C661" s="839"/>
      <c r="D661" s="57" t="s">
        <v>51</v>
      </c>
      <c r="E661" s="34">
        <f t="shared" si="43"/>
        <v>5.7142857142857147E-4</v>
      </c>
      <c r="F661" s="241">
        <f>SUMIF('Cjenik VSO'!$B$9:$B$85,$B661,'Cjenik VSO'!$C$9:$C$85)</f>
        <v>328.73</v>
      </c>
      <c r="G661" s="59">
        <f t="shared" si="44"/>
        <v>0.18784571428571431</v>
      </c>
      <c r="I661" s="707"/>
      <c r="J661" s="57" t="s">
        <v>51</v>
      </c>
      <c r="K661" s="92">
        <v>5.04E-4</v>
      </c>
      <c r="L661" s="241">
        <f>SUMIF('Cjenik VSO'!$B$9:$B$85,$B661,'Cjenik VSO'!$C$9:$C$85)</f>
        <v>328.73</v>
      </c>
      <c r="M661" s="59">
        <f t="shared" si="45"/>
        <v>0.16567992000000001</v>
      </c>
    </row>
    <row r="662" spans="1:13" ht="25.15" customHeight="1">
      <c r="A662" s="56"/>
      <c r="B662" s="839" t="s">
        <v>61</v>
      </c>
      <c r="C662" s="839"/>
      <c r="D662" s="57" t="s">
        <v>51</v>
      </c>
      <c r="E662" s="34">
        <f t="shared" si="43"/>
        <v>5.7142857142857147E-4</v>
      </c>
      <c r="F662" s="241">
        <f>SUMIF('Cjenik VSO'!$B$9:$B$85,$B662,'Cjenik VSO'!$C$9:$C$85)</f>
        <v>62.67</v>
      </c>
      <c r="G662" s="59">
        <f t="shared" si="44"/>
        <v>3.5811428571428577E-2</v>
      </c>
      <c r="I662" s="707"/>
      <c r="J662" s="57" t="s">
        <v>51</v>
      </c>
      <c r="K662" s="92">
        <v>5.04E-4</v>
      </c>
      <c r="L662" s="241">
        <f>SUMIF('Cjenik VSO'!$B$9:$B$85,$B662,'Cjenik VSO'!$C$9:$C$85)</f>
        <v>62.67</v>
      </c>
      <c r="M662" s="59">
        <f t="shared" si="45"/>
        <v>3.1585679999999998E-2</v>
      </c>
    </row>
    <row r="663" spans="1:13" ht="25.15" customHeight="1">
      <c r="A663" s="56"/>
      <c r="B663" s="839" t="s">
        <v>73</v>
      </c>
      <c r="C663" s="839"/>
      <c r="D663" s="57" t="s">
        <v>51</v>
      </c>
      <c r="E663" s="34">
        <f t="shared" si="43"/>
        <v>5.7142857142857147E-4</v>
      </c>
      <c r="F663" s="241">
        <f>SUMIF('Cjenik VSO'!$B$9:$B$85,$B663,'Cjenik VSO'!$C$9:$C$85)</f>
        <v>291.72000000000003</v>
      </c>
      <c r="G663" s="59">
        <f t="shared" si="44"/>
        <v>0.16669714285714288</v>
      </c>
      <c r="I663" s="707"/>
      <c r="J663" s="57" t="s">
        <v>51</v>
      </c>
      <c r="K663" s="92">
        <v>4.75E-4</v>
      </c>
      <c r="L663" s="241">
        <f>SUMIF('Cjenik VSO'!$B$9:$B$85,$B663,'Cjenik VSO'!$C$9:$C$85)</f>
        <v>291.72000000000003</v>
      </c>
      <c r="M663" s="59">
        <f t="shared" si="45"/>
        <v>0.13856700000000002</v>
      </c>
    </row>
    <row r="664" spans="1:13" ht="25.15" customHeight="1">
      <c r="A664" s="56"/>
      <c r="B664" s="839" t="s">
        <v>74</v>
      </c>
      <c r="C664" s="839"/>
      <c r="D664" s="57" t="s">
        <v>51</v>
      </c>
      <c r="E664" s="34">
        <f t="shared" si="43"/>
        <v>2.5714285714285717E-3</v>
      </c>
      <c r="F664" s="241">
        <f>SUMIF('Cjenik VSO'!$B$9:$B$85,$B664,'Cjenik VSO'!$C$9:$C$85)</f>
        <v>355.64</v>
      </c>
      <c r="G664" s="59">
        <f t="shared" si="44"/>
        <v>0.91450285714285717</v>
      </c>
      <c r="I664" s="707"/>
      <c r="J664" s="57" t="s">
        <v>51</v>
      </c>
      <c r="K664" s="92">
        <v>1.9E-3</v>
      </c>
      <c r="L664" s="241">
        <f>SUMIF('Cjenik VSO'!$B$9:$B$85,$B664,'Cjenik VSO'!$C$9:$C$85)</f>
        <v>355.64</v>
      </c>
      <c r="M664" s="59">
        <f t="shared" si="45"/>
        <v>0.67571599999999998</v>
      </c>
    </row>
    <row r="665" spans="1:13" ht="25.15" customHeight="1">
      <c r="A665" s="56"/>
      <c r="B665" s="839" t="s">
        <v>104</v>
      </c>
      <c r="C665" s="839"/>
      <c r="D665" s="57" t="s">
        <v>51</v>
      </c>
      <c r="E665" s="34">
        <f t="shared" si="43"/>
        <v>2.2857142857142859E-3</v>
      </c>
      <c r="F665" s="241">
        <f>SUMIF('Cjenik VSO'!$B$9:$B$85,$B665,'Cjenik VSO'!$C$9:$C$85)</f>
        <v>693.43</v>
      </c>
      <c r="G665" s="59">
        <f t="shared" si="44"/>
        <v>1.5849828571428572</v>
      </c>
      <c r="I665" s="707"/>
      <c r="J665" s="57" t="s">
        <v>51</v>
      </c>
      <c r="K665" s="92">
        <v>2E-3</v>
      </c>
      <c r="L665" s="241">
        <f>SUMIF('Cjenik VSO'!$B$9:$B$85,$B665,'Cjenik VSO'!$C$9:$C$85)</f>
        <v>693.43</v>
      </c>
      <c r="M665" s="59">
        <f t="shared" si="45"/>
        <v>1.38686</v>
      </c>
    </row>
    <row r="666" spans="1:13" ht="25.15" customHeight="1">
      <c r="A666" s="56"/>
      <c r="B666" s="839" t="s">
        <v>87</v>
      </c>
      <c r="C666" s="839"/>
      <c r="D666" s="57" t="s">
        <v>51</v>
      </c>
      <c r="E666" s="34">
        <f t="shared" si="43"/>
        <v>1.1428571428571429E-3</v>
      </c>
      <c r="F666" s="241">
        <f>SUMIF('Cjenik VSO'!$B$9:$B$85,$B666,'Cjenik VSO'!$C$9:$C$85)</f>
        <v>240.85</v>
      </c>
      <c r="G666" s="59">
        <f t="shared" si="44"/>
        <v>0.27525714285714287</v>
      </c>
      <c r="I666" s="707"/>
      <c r="J666" s="57" t="s">
        <v>51</v>
      </c>
      <c r="K666" s="92">
        <v>2E-3</v>
      </c>
      <c r="L666" s="241">
        <f>SUMIF('Cjenik VSO'!$B$9:$B$85,$B666,'Cjenik VSO'!$C$9:$C$85)</f>
        <v>240.85</v>
      </c>
      <c r="M666" s="59">
        <f t="shared" si="45"/>
        <v>0.48170000000000002</v>
      </c>
    </row>
    <row r="667" spans="1:13" ht="25.15" customHeight="1">
      <c r="A667" s="56"/>
      <c r="B667" s="839" t="s">
        <v>79</v>
      </c>
      <c r="C667" s="839"/>
      <c r="D667" s="57" t="s">
        <v>51</v>
      </c>
      <c r="E667" s="34">
        <f t="shared" si="43"/>
        <v>2E-3</v>
      </c>
      <c r="F667" s="241">
        <f>SUMIF('Cjenik VSO'!$B$9:$B$85,$B667,'Cjenik VSO'!$C$9:$C$85)</f>
        <v>199.57</v>
      </c>
      <c r="G667" s="59">
        <f t="shared" si="44"/>
        <v>0.39913999999999999</v>
      </c>
      <c r="I667" s="707"/>
      <c r="J667" s="57" t="s">
        <v>51</v>
      </c>
      <c r="K667" s="92">
        <v>2E-3</v>
      </c>
      <c r="L667" s="241">
        <f>SUMIF('Cjenik VSO'!$B$9:$B$85,$B667,'Cjenik VSO'!$C$9:$C$85)</f>
        <v>199.57</v>
      </c>
      <c r="M667" s="59">
        <f t="shared" si="45"/>
        <v>0.39913999999999999</v>
      </c>
    </row>
    <row r="668" spans="1:13" ht="25.15" customHeight="1">
      <c r="A668" s="56"/>
      <c r="B668" s="839" t="s">
        <v>88</v>
      </c>
      <c r="C668" s="839"/>
      <c r="D668" s="57" t="s">
        <v>51</v>
      </c>
      <c r="E668" s="34">
        <f t="shared" si="43"/>
        <v>4.0000000000000001E-3</v>
      </c>
      <c r="F668" s="241">
        <f>SUMIF('Cjenik VSO'!$B$9:$B$85,$B668,'Cjenik VSO'!$C$9:$C$85)</f>
        <v>269.36</v>
      </c>
      <c r="G668" s="59">
        <f t="shared" si="44"/>
        <v>1.0774400000000002</v>
      </c>
      <c r="I668" s="707"/>
      <c r="J668" s="57" t="s">
        <v>51</v>
      </c>
      <c r="K668" s="92">
        <v>4.0000000000000001E-3</v>
      </c>
      <c r="L668" s="241">
        <f>SUMIF('Cjenik VSO'!$B$9:$B$85,$B668,'Cjenik VSO'!$C$9:$C$85)</f>
        <v>269.36</v>
      </c>
      <c r="M668" s="59">
        <f t="shared" si="45"/>
        <v>1.0774400000000002</v>
      </c>
    </row>
    <row r="669" spans="1:13" ht="25.15" customHeight="1">
      <c r="A669" s="56"/>
      <c r="B669" s="839" t="s">
        <v>80</v>
      </c>
      <c r="C669" s="839"/>
      <c r="D669" s="57" t="s">
        <v>51</v>
      </c>
      <c r="E669" s="34">
        <f t="shared" si="43"/>
        <v>5.7142857142857147E-4</v>
      </c>
      <c r="F669" s="241">
        <f>SUMIF('Cjenik VSO'!$B$9:$B$85,$B669,'Cjenik VSO'!$C$9:$C$85)</f>
        <v>68.709999999999994</v>
      </c>
      <c r="G669" s="59">
        <f t="shared" si="44"/>
        <v>3.9262857142857141E-2</v>
      </c>
      <c r="I669" s="707"/>
      <c r="J669" s="57" t="s">
        <v>51</v>
      </c>
      <c r="K669" s="92">
        <v>4.75E-4</v>
      </c>
      <c r="L669" s="241">
        <f>SUMIF('Cjenik VSO'!$B$9:$B$85,$B669,'Cjenik VSO'!$C$9:$C$85)</f>
        <v>68.709999999999994</v>
      </c>
      <c r="M669" s="59">
        <f t="shared" si="45"/>
        <v>3.263725E-2</v>
      </c>
    </row>
    <row r="670" spans="1:13" ht="25.15" customHeight="1">
      <c r="A670" s="61"/>
      <c r="B670" s="855" t="s">
        <v>81</v>
      </c>
      <c r="C670" s="855"/>
      <c r="D670" s="62" t="s">
        <v>51</v>
      </c>
      <c r="E670" s="34">
        <f t="shared" si="43"/>
        <v>2.5714285714285717E-3</v>
      </c>
      <c r="F670" s="242">
        <f>SUMIF('Cjenik VSO'!$B$9:$B$85,$B670,'Cjenik VSO'!$C$9:$C$85)</f>
        <v>107.11</v>
      </c>
      <c r="G670" s="64">
        <f t="shared" si="44"/>
        <v>0.27542571428571433</v>
      </c>
      <c r="I670" s="708"/>
      <c r="J670" s="62" t="s">
        <v>51</v>
      </c>
      <c r="K670" s="87">
        <v>1.9E-3</v>
      </c>
      <c r="L670" s="242">
        <f>SUMIF('Cjenik VSO'!$B$9:$B$85,$B670,'Cjenik VSO'!$C$9:$C$85)</f>
        <v>107.11</v>
      </c>
      <c r="M670" s="64">
        <f t="shared" si="45"/>
        <v>0.203509</v>
      </c>
    </row>
    <row r="671" spans="1:13" ht="25.15" customHeight="1">
      <c r="A671" s="16"/>
      <c r="B671" s="851" t="str">
        <f>'Obrazac kalkulacije'!$B$15</f>
        <v>Materijali:</v>
      </c>
      <c r="C671" s="851"/>
      <c r="D671" s="16"/>
      <c r="E671" s="16"/>
      <c r="F671" s="243"/>
      <c r="G671" s="18">
        <f>SUM(G672:G673)</f>
        <v>88</v>
      </c>
      <c r="I671" s="709"/>
      <c r="J671" s="16"/>
      <c r="K671" s="16"/>
      <c r="L671" s="243"/>
      <c r="M671" s="18">
        <f>SUM(M672:M673)</f>
        <v>88</v>
      </c>
    </row>
    <row r="672" spans="1:13" ht="25.15" customHeight="1">
      <c r="A672" s="77"/>
      <c r="B672" s="856" t="str">
        <f>'Cjenik M'!$B$16</f>
        <v>INP nosač za prometne ploče</v>
      </c>
      <c r="C672" s="856"/>
      <c r="D672" s="78" t="str">
        <f>'Cjenik M'!$C$16</f>
        <v>m</v>
      </c>
      <c r="E672" s="79">
        <v>0.1</v>
      </c>
      <c r="F672" s="254">
        <f>'Cjenik M'!$D$16</f>
        <v>280</v>
      </c>
      <c r="G672" s="80">
        <f>+F672*E672</f>
        <v>28</v>
      </c>
      <c r="I672" s="710"/>
      <c r="J672" s="78" t="str">
        <f>'Cjenik M'!$C$16</f>
        <v>m</v>
      </c>
      <c r="K672" s="79">
        <v>0.1</v>
      </c>
      <c r="L672" s="254">
        <f>'Cjenik M'!$D$16</f>
        <v>280</v>
      </c>
      <c r="M672" s="80">
        <f>+L672*K672</f>
        <v>28</v>
      </c>
    </row>
    <row r="673" spans="1:13" ht="25.15" customHeight="1" thickBot="1">
      <c r="A673" s="74"/>
      <c r="B673" s="853" t="str">
        <f>'Cjenik M'!$B$21</f>
        <v>Oznaka ulice</v>
      </c>
      <c r="C673" s="853"/>
      <c r="D673" s="67" t="str">
        <f>'Cjenik M'!$C$21</f>
        <v>kom</v>
      </c>
      <c r="E673" s="81">
        <v>0.4</v>
      </c>
      <c r="F673" s="249">
        <f>'Cjenik M'!$D$21</f>
        <v>150</v>
      </c>
      <c r="G673" s="70">
        <f>+F673*E673</f>
        <v>60</v>
      </c>
      <c r="I673" s="706"/>
      <c r="J673" s="67" t="str">
        <f>'Cjenik M'!$C$21</f>
        <v>kom</v>
      </c>
      <c r="K673" s="81">
        <v>0.4</v>
      </c>
      <c r="L673" s="249">
        <f>'Cjenik M'!$D$21</f>
        <v>150</v>
      </c>
      <c r="M673" s="70">
        <f>+L673*K673</f>
        <v>60</v>
      </c>
    </row>
    <row r="674" spans="1:13" ht="25.15" customHeight="1" thickTop="1" thickBot="1">
      <c r="B674" s="47"/>
      <c r="C674" s="24"/>
      <c r="D674" s="25"/>
      <c r="E674" s="147" t="str">
        <f>'Obrazac kalkulacije'!$E$18</f>
        <v>Ukupno (kn):</v>
      </c>
      <c r="F674" s="255"/>
      <c r="G674" s="26">
        <f>SUM(G657+G659+G671)</f>
        <v>94.36212857142857</v>
      </c>
      <c r="H674" s="269"/>
      <c r="I674" s="24"/>
      <c r="J674" s="25"/>
      <c r="K674" s="147" t="str">
        <f>'Obrazac kalkulacije'!$E$18</f>
        <v>Ukupno (kn):</v>
      </c>
      <c r="L674" s="255"/>
      <c r="M674" s="26">
        <f>ROUND(SUM(M657+M659+M671),2)</f>
        <v>93.78</v>
      </c>
    </row>
    <row r="675" spans="1:13" ht="25.15" customHeight="1" thickTop="1" thickBot="1">
      <c r="E675" s="27" t="str">
        <f>'Obrazac kalkulacije'!$E$19</f>
        <v>PDV:</v>
      </c>
      <c r="F675" s="248">
        <f>'Obrazac kalkulacije'!$F$19</f>
        <v>0.25</v>
      </c>
      <c r="G675" s="29">
        <f>G674*F675</f>
        <v>23.590532142857143</v>
      </c>
      <c r="H675" s="561"/>
      <c r="K675" s="27" t="str">
        <f>'Obrazac kalkulacije'!$E$19</f>
        <v>PDV:</v>
      </c>
      <c r="L675" s="248">
        <f>'Obrazac kalkulacije'!$F$19</f>
        <v>0.25</v>
      </c>
      <c r="M675" s="29">
        <f>M674*L675</f>
        <v>23.445</v>
      </c>
    </row>
    <row r="676" spans="1:13" ht="25.15" customHeight="1" thickTop="1" thickBot="1">
      <c r="E676" s="148" t="str">
        <f>'Obrazac kalkulacije'!$E$20</f>
        <v>Sveukupno (kn):</v>
      </c>
      <c r="F676" s="256"/>
      <c r="G676" s="29">
        <f>ROUND(SUM(G674:G675),2)</f>
        <v>117.95</v>
      </c>
      <c r="H676" s="562"/>
      <c r="K676" s="148" t="str">
        <f>'Obrazac kalkulacije'!$E$20</f>
        <v>Sveukupno (kn):</v>
      </c>
      <c r="L676" s="256"/>
      <c r="M676" s="29">
        <f>ROUND(SUM(M674:M675),2)</f>
        <v>117.23</v>
      </c>
    </row>
    <row r="677" spans="1:13" ht="15" customHeight="1" thickTop="1"/>
    <row r="678" spans="1:13" ht="15" customHeight="1"/>
    <row r="679" spans="1:13" ht="15" customHeight="1"/>
    <row r="680" spans="1:13" ht="15" customHeight="1">
      <c r="C680" s="3" t="str">
        <f>'Obrazac kalkulacije'!$C$24</f>
        <v>IZVODITELJ:</v>
      </c>
      <c r="F680" s="841" t="str">
        <f>'Obrazac kalkulacije'!$F$24</f>
        <v>NARUČITELJ:</v>
      </c>
      <c r="G680" s="841"/>
      <c r="I680" s="3" t="str">
        <f>'Obrazac kalkulacije'!$C$24</f>
        <v>IZVODITELJ:</v>
      </c>
      <c r="L680" s="841" t="str">
        <f>'Obrazac kalkulacije'!$F$24</f>
        <v>NARUČITELJ:</v>
      </c>
      <c r="M680" s="841"/>
    </row>
    <row r="681" spans="1:13" ht="25.15" customHeight="1">
      <c r="C681" s="3" t="str">
        <f>'Obrazac kalkulacije'!$C$25</f>
        <v>__________________</v>
      </c>
      <c r="F681" s="841" t="str">
        <f>'Obrazac kalkulacije'!$F$25</f>
        <v>___________________</v>
      </c>
      <c r="G681" s="841"/>
      <c r="I681" s="3" t="str">
        <f>'Obrazac kalkulacije'!$C$25</f>
        <v>__________________</v>
      </c>
      <c r="L681" s="841" t="str">
        <f>'Obrazac kalkulacije'!$F$25</f>
        <v>___________________</v>
      </c>
      <c r="M681" s="841"/>
    </row>
    <row r="682" spans="1:13" ht="15" customHeight="1">
      <c r="G682" s="30"/>
      <c r="M682" s="30"/>
    </row>
    <row r="683" spans="1:13" ht="15" customHeight="1"/>
    <row r="684" spans="1:13" ht="15" customHeight="1">
      <c r="A684" s="144"/>
      <c r="B684" s="145" t="s">
        <v>17</v>
      </c>
      <c r="C684" s="146" t="s">
        <v>56</v>
      </c>
      <c r="D684" s="146"/>
      <c r="E684" s="146"/>
      <c r="F684" s="252"/>
      <c r="G684" s="146"/>
      <c r="I684" s="146" t="s">
        <v>56</v>
      </c>
      <c r="J684" s="146"/>
      <c r="K684" s="146"/>
      <c r="L684" s="252"/>
      <c r="M684" s="146"/>
    </row>
    <row r="685" spans="1:13" ht="15" customHeight="1">
      <c r="A685" s="38"/>
      <c r="B685" s="39" t="s">
        <v>64</v>
      </c>
      <c r="C685" s="8" t="s">
        <v>65</v>
      </c>
      <c r="D685" s="8"/>
      <c r="E685" s="8"/>
      <c r="F685" s="253"/>
      <c r="G685" s="8"/>
      <c r="I685" s="8" t="s">
        <v>65</v>
      </c>
      <c r="J685" s="8"/>
      <c r="K685" s="8"/>
      <c r="L685" s="253"/>
      <c r="M685" s="8"/>
    </row>
    <row r="686" spans="1:13" ht="15" customHeight="1">
      <c r="A686" s="48"/>
      <c r="B686" s="49" t="s">
        <v>128</v>
      </c>
      <c r="C686" s="50" t="s">
        <v>129</v>
      </c>
      <c r="D686" s="50"/>
      <c r="E686" s="50"/>
      <c r="F686" s="250"/>
      <c r="G686" s="50"/>
      <c r="I686" s="50" t="s">
        <v>129</v>
      </c>
      <c r="J686" s="50"/>
      <c r="K686" s="50"/>
      <c r="L686" s="250"/>
      <c r="M686" s="50"/>
    </row>
    <row r="687" spans="1:13" ht="150" customHeight="1">
      <c r="A687" s="40"/>
      <c r="B687" s="556" t="s">
        <v>142</v>
      </c>
      <c r="C687" s="852" t="s">
        <v>143</v>
      </c>
      <c r="D687" s="852"/>
      <c r="E687" s="852"/>
      <c r="F687" s="852"/>
      <c r="G687" s="852"/>
      <c r="I687" s="869" t="s">
        <v>144</v>
      </c>
      <c r="J687" s="869"/>
      <c r="K687" s="869"/>
      <c r="L687" s="869"/>
      <c r="M687" s="869"/>
    </row>
    <row r="688" spans="1:13" ht="15" customHeight="1" thickBot="1"/>
    <row r="689" spans="1:13" ht="30" customHeight="1" thickTop="1" thickBot="1">
      <c r="A689" s="10"/>
      <c r="B689" s="835" t="str">
        <f>'Obrazac kalkulacije'!$B$6:$C$6</f>
        <v>Opis</v>
      </c>
      <c r="C689" s="835"/>
      <c r="D689" s="10" t="str">
        <f>'Obrazac kalkulacije'!$D$6</f>
        <v>Jed.
mjere</v>
      </c>
      <c r="E689" s="10" t="str">
        <f>'Obrazac kalkulacije'!$E$6</f>
        <v>Normativ</v>
      </c>
      <c r="F689" s="10" t="str">
        <f>'Obrazac kalkulacije'!$F$6</f>
        <v>Jed.
cijena</v>
      </c>
      <c r="G689" s="10" t="str">
        <f>'Obrazac kalkulacije'!$G$6</f>
        <v>Iznos</v>
      </c>
      <c r="I689" s="703"/>
      <c r="J689" s="10" t="str">
        <f>'Obrazac kalkulacije'!$D$6</f>
        <v>Jed.
mjere</v>
      </c>
      <c r="K689" s="10" t="str">
        <f>'Obrazac kalkulacije'!$E$6</f>
        <v>Normativ</v>
      </c>
      <c r="L689" s="10" t="str">
        <f>'Obrazac kalkulacije'!$F$6</f>
        <v>Jed.
cijena</v>
      </c>
      <c r="M689" s="10" t="str">
        <f>'Obrazac kalkulacije'!$G$6</f>
        <v>Iznos</v>
      </c>
    </row>
    <row r="690" spans="1:13" ht="4.5" customHeight="1" thickTop="1">
      <c r="B690" s="42"/>
      <c r="C690" s="1"/>
      <c r="D690" s="11"/>
      <c r="E690" s="13"/>
      <c r="F690" s="245"/>
      <c r="G690" s="15"/>
      <c r="I690" s="1"/>
      <c r="J690" s="11"/>
      <c r="K690" s="13"/>
      <c r="L690" s="245"/>
      <c r="M690" s="15"/>
    </row>
    <row r="691" spans="1:13" ht="25.15" customHeight="1">
      <c r="A691" s="16"/>
      <c r="B691" s="17" t="str">
        <f>'Obrazac kalkulacije'!$B$8</f>
        <v>Radna snaga:</v>
      </c>
      <c r="C691" s="17"/>
      <c r="D691" s="16"/>
      <c r="E691" s="16"/>
      <c r="F691" s="246"/>
      <c r="G691" s="18">
        <f>SUM(G692:G692)</f>
        <v>1.5004285714285714</v>
      </c>
      <c r="I691" s="17"/>
      <c r="J691" s="16"/>
      <c r="K691" s="16"/>
      <c r="L691" s="246"/>
      <c r="M691" s="18">
        <f>SUM(M692:M692)</f>
        <v>1.312875</v>
      </c>
    </row>
    <row r="692" spans="1:13" ht="25.15" customHeight="1">
      <c r="A692" s="32"/>
      <c r="B692" s="854" t="s">
        <v>57</v>
      </c>
      <c r="C692" s="854"/>
      <c r="D692" s="33" t="s">
        <v>51</v>
      </c>
      <c r="E692" s="34">
        <f>E624*0.125</f>
        <v>1.4285714285714285E-2</v>
      </c>
      <c r="F692" s="243">
        <f>SUMIF('Cjenik RS'!$C$11:$C$26,$B692,'Cjenik RS'!$D$11:$D$90)</f>
        <v>105.03</v>
      </c>
      <c r="G692" s="35">
        <f>+F692*E692</f>
        <v>1.5004285714285714</v>
      </c>
      <c r="I692" s="701"/>
      <c r="J692" s="33" t="s">
        <v>51</v>
      </c>
      <c r="K692" s="34">
        <v>1.2500000000000001E-2</v>
      </c>
      <c r="L692" s="243">
        <f>SUMIF('Cjenik RS'!$C$11:$C$26,$B692,'Cjenik RS'!$D$11:$D$90)</f>
        <v>105.03</v>
      </c>
      <c r="M692" s="35">
        <f>+L692*K692</f>
        <v>1.312875</v>
      </c>
    </row>
    <row r="693" spans="1:13" ht="25.15" customHeight="1">
      <c r="A693" s="16"/>
      <c r="B693" s="17" t="str">
        <f>'Obrazac kalkulacije'!$B$11</f>
        <v>Vozila, strojevi i oprema:</v>
      </c>
      <c r="C693" s="17"/>
      <c r="D693" s="16"/>
      <c r="E693" s="16"/>
      <c r="F693" s="243"/>
      <c r="G693" s="18">
        <f>SUM(G694:G704)</f>
        <v>6.4522321428571425</v>
      </c>
      <c r="I693" s="17"/>
      <c r="J693" s="16"/>
      <c r="K693" s="16"/>
      <c r="L693" s="243"/>
      <c r="M693" s="18">
        <f>SUM(M694:M704)</f>
        <v>5.909372649999999</v>
      </c>
    </row>
    <row r="694" spans="1:13" ht="25.15" customHeight="1">
      <c r="A694" s="56"/>
      <c r="B694" s="839" t="s">
        <v>75</v>
      </c>
      <c r="C694" s="839"/>
      <c r="D694" s="57" t="s">
        <v>51</v>
      </c>
      <c r="E694" s="34">
        <f t="shared" ref="E694:E704" si="46">E626*0.125</f>
        <v>3.5714285714285714E-4</v>
      </c>
      <c r="F694" s="241">
        <f>SUMIF('Cjenik VSO'!$B$9:$B$85,$B694,'Cjenik VSO'!$C$9:$C$85)</f>
        <v>718.97</v>
      </c>
      <c r="G694" s="59">
        <f t="shared" ref="G694:G704" si="47">E694*F694</f>
        <v>0.25677500000000003</v>
      </c>
      <c r="I694" s="707"/>
      <c r="J694" s="57" t="s">
        <v>51</v>
      </c>
      <c r="K694" s="92">
        <v>2.34E-4</v>
      </c>
      <c r="L694" s="241">
        <f>SUMIF('Cjenik VSO'!$B$9:$B$85,$B694,'Cjenik VSO'!$C$9:$C$85)</f>
        <v>718.97</v>
      </c>
      <c r="M694" s="59">
        <f t="shared" ref="M694:M704" si="48">K694*L694</f>
        <v>0.16823898000000001</v>
      </c>
    </row>
    <row r="695" spans="1:13" ht="25.15" customHeight="1">
      <c r="A695" s="56"/>
      <c r="B695" s="839" t="s">
        <v>60</v>
      </c>
      <c r="C695" s="839"/>
      <c r="D695" s="57" t="s">
        <v>51</v>
      </c>
      <c r="E695" s="34">
        <f t="shared" si="46"/>
        <v>7.1428571428571429E-4</v>
      </c>
      <c r="F695" s="241">
        <f>SUMIF('Cjenik VSO'!$B$9:$B$85,$B695,'Cjenik VSO'!$C$9:$C$85)</f>
        <v>328.73</v>
      </c>
      <c r="G695" s="59">
        <f t="shared" si="47"/>
        <v>0.23480714285714288</v>
      </c>
      <c r="I695" s="707"/>
      <c r="J695" s="57" t="s">
        <v>51</v>
      </c>
      <c r="K695" s="92">
        <v>6.3000000000000003E-4</v>
      </c>
      <c r="L695" s="241">
        <f>SUMIF('Cjenik VSO'!$B$9:$B$85,$B695,'Cjenik VSO'!$C$9:$C$85)</f>
        <v>328.73</v>
      </c>
      <c r="M695" s="59">
        <f t="shared" si="48"/>
        <v>0.20709990000000003</v>
      </c>
    </row>
    <row r="696" spans="1:13" ht="25.15" customHeight="1">
      <c r="A696" s="56"/>
      <c r="B696" s="839" t="s">
        <v>61</v>
      </c>
      <c r="C696" s="839"/>
      <c r="D696" s="57" t="s">
        <v>51</v>
      </c>
      <c r="E696" s="34">
        <f t="shared" si="46"/>
        <v>7.1428571428571429E-4</v>
      </c>
      <c r="F696" s="241">
        <f>SUMIF('Cjenik VSO'!$B$9:$B$85,$B696,'Cjenik VSO'!$C$9:$C$85)</f>
        <v>62.67</v>
      </c>
      <c r="G696" s="59">
        <f t="shared" si="47"/>
        <v>4.4764285714285715E-2</v>
      </c>
      <c r="I696" s="707"/>
      <c r="J696" s="57" t="s">
        <v>51</v>
      </c>
      <c r="K696" s="92">
        <v>6.3000000000000003E-4</v>
      </c>
      <c r="L696" s="241">
        <f>SUMIF('Cjenik VSO'!$B$9:$B$85,$B696,'Cjenik VSO'!$C$9:$C$85)</f>
        <v>62.67</v>
      </c>
      <c r="M696" s="59">
        <f t="shared" si="48"/>
        <v>3.9482100000000006E-2</v>
      </c>
    </row>
    <row r="697" spans="1:13" ht="25.15" customHeight="1">
      <c r="A697" s="56"/>
      <c r="B697" s="839" t="s">
        <v>73</v>
      </c>
      <c r="C697" s="839"/>
      <c r="D697" s="57" t="s">
        <v>51</v>
      </c>
      <c r="E697" s="34">
        <f t="shared" si="46"/>
        <v>7.1428571428571429E-4</v>
      </c>
      <c r="F697" s="241">
        <f>SUMIF('Cjenik VSO'!$B$9:$B$85,$B697,'Cjenik VSO'!$C$9:$C$85)</f>
        <v>291.72000000000003</v>
      </c>
      <c r="G697" s="59">
        <f t="shared" si="47"/>
        <v>0.2083714285714286</v>
      </c>
      <c r="I697" s="707"/>
      <c r="J697" s="57" t="s">
        <v>51</v>
      </c>
      <c r="K697" s="92">
        <v>5.9400000000000002E-4</v>
      </c>
      <c r="L697" s="241">
        <f>SUMIF('Cjenik VSO'!$B$9:$B$85,$B697,'Cjenik VSO'!$C$9:$C$85)</f>
        <v>291.72000000000003</v>
      </c>
      <c r="M697" s="59">
        <f t="shared" si="48"/>
        <v>0.17328168000000002</v>
      </c>
    </row>
    <row r="698" spans="1:13" ht="25.15" customHeight="1">
      <c r="A698" s="56"/>
      <c r="B698" s="839" t="s">
        <v>74</v>
      </c>
      <c r="C698" s="839"/>
      <c r="D698" s="57" t="s">
        <v>51</v>
      </c>
      <c r="E698" s="34">
        <f t="shared" si="46"/>
        <v>3.2142857142857142E-3</v>
      </c>
      <c r="F698" s="241">
        <f>SUMIF('Cjenik VSO'!$B$9:$B$85,$B698,'Cjenik VSO'!$C$9:$C$85)</f>
        <v>355.64</v>
      </c>
      <c r="G698" s="59">
        <f t="shared" si="47"/>
        <v>1.1431285714285713</v>
      </c>
      <c r="I698" s="707"/>
      <c r="J698" s="57" t="s">
        <v>51</v>
      </c>
      <c r="K698" s="92">
        <v>2.3749999999999999E-3</v>
      </c>
      <c r="L698" s="241">
        <f>SUMIF('Cjenik VSO'!$B$9:$B$85,$B698,'Cjenik VSO'!$C$9:$C$85)</f>
        <v>355.64</v>
      </c>
      <c r="M698" s="59">
        <f t="shared" si="48"/>
        <v>0.84464499999999998</v>
      </c>
    </row>
    <row r="699" spans="1:13" ht="25.15" customHeight="1">
      <c r="A699" s="56"/>
      <c r="B699" s="839" t="s">
        <v>104</v>
      </c>
      <c r="C699" s="839"/>
      <c r="D699" s="57" t="s">
        <v>51</v>
      </c>
      <c r="E699" s="34">
        <f t="shared" si="46"/>
        <v>2.8571428571428571E-3</v>
      </c>
      <c r="F699" s="241">
        <f>SUMIF('Cjenik VSO'!$B$9:$B$85,$B699,'Cjenik VSO'!$C$9:$C$85)</f>
        <v>693.43</v>
      </c>
      <c r="G699" s="59">
        <f t="shared" si="47"/>
        <v>1.9812285714285713</v>
      </c>
      <c r="I699" s="707"/>
      <c r="J699" s="57" t="s">
        <v>51</v>
      </c>
      <c r="K699" s="92">
        <v>2.5000000000000001E-3</v>
      </c>
      <c r="L699" s="241">
        <f>SUMIF('Cjenik VSO'!$B$9:$B$85,$B699,'Cjenik VSO'!$C$9:$C$85)</f>
        <v>693.43</v>
      </c>
      <c r="M699" s="59">
        <f t="shared" si="48"/>
        <v>1.7335749999999999</v>
      </c>
    </row>
    <row r="700" spans="1:13" ht="25.15" customHeight="1">
      <c r="A700" s="56"/>
      <c r="B700" s="839" t="s">
        <v>87</v>
      </c>
      <c r="C700" s="839"/>
      <c r="D700" s="57" t="s">
        <v>51</v>
      </c>
      <c r="E700" s="34">
        <f t="shared" si="46"/>
        <v>1.4285714285714286E-3</v>
      </c>
      <c r="F700" s="241">
        <f>SUMIF('Cjenik VSO'!$B$9:$B$85,$B700,'Cjenik VSO'!$C$9:$C$85)</f>
        <v>240.85</v>
      </c>
      <c r="G700" s="59">
        <f t="shared" si="47"/>
        <v>0.34407142857142858</v>
      </c>
      <c r="I700" s="707"/>
      <c r="J700" s="57" t="s">
        <v>51</v>
      </c>
      <c r="K700" s="92">
        <v>2.5000000000000001E-3</v>
      </c>
      <c r="L700" s="241">
        <f>SUMIF('Cjenik VSO'!$B$9:$B$85,$B700,'Cjenik VSO'!$C$9:$C$85)</f>
        <v>240.85</v>
      </c>
      <c r="M700" s="59">
        <f t="shared" si="48"/>
        <v>0.60212500000000002</v>
      </c>
    </row>
    <row r="701" spans="1:13" ht="25.15" customHeight="1">
      <c r="A701" s="56"/>
      <c r="B701" s="839" t="s">
        <v>79</v>
      </c>
      <c r="C701" s="839"/>
      <c r="D701" s="57" t="s">
        <v>51</v>
      </c>
      <c r="E701" s="34">
        <f t="shared" si="46"/>
        <v>2.5000000000000001E-3</v>
      </c>
      <c r="F701" s="241">
        <f>SUMIF('Cjenik VSO'!$B$9:$B$85,$B701,'Cjenik VSO'!$C$9:$C$85)</f>
        <v>199.57</v>
      </c>
      <c r="G701" s="59">
        <f t="shared" si="47"/>
        <v>0.49892500000000001</v>
      </c>
      <c r="I701" s="707"/>
      <c r="J701" s="57" t="s">
        <v>51</v>
      </c>
      <c r="K701" s="92">
        <v>2.5000000000000001E-3</v>
      </c>
      <c r="L701" s="241">
        <f>SUMIF('Cjenik VSO'!$B$9:$B$85,$B701,'Cjenik VSO'!$C$9:$C$85)</f>
        <v>199.57</v>
      </c>
      <c r="M701" s="59">
        <f t="shared" si="48"/>
        <v>0.49892500000000001</v>
      </c>
    </row>
    <row r="702" spans="1:13" ht="25.15" customHeight="1">
      <c r="A702" s="56"/>
      <c r="B702" s="839" t="s">
        <v>88</v>
      </c>
      <c r="C702" s="839"/>
      <c r="D702" s="57" t="s">
        <v>51</v>
      </c>
      <c r="E702" s="34">
        <f t="shared" si="46"/>
        <v>5.0000000000000001E-3</v>
      </c>
      <c r="F702" s="241">
        <f>SUMIF('Cjenik VSO'!$B$9:$B$85,$B702,'Cjenik VSO'!$C$9:$C$85)</f>
        <v>269.36</v>
      </c>
      <c r="G702" s="59">
        <f t="shared" si="47"/>
        <v>1.3468</v>
      </c>
      <c r="I702" s="707"/>
      <c r="J702" s="57" t="s">
        <v>51</v>
      </c>
      <c r="K702" s="92">
        <v>5.0000000000000001E-3</v>
      </c>
      <c r="L702" s="241">
        <f>SUMIF('Cjenik VSO'!$B$9:$B$85,$B702,'Cjenik VSO'!$C$9:$C$85)</f>
        <v>269.36</v>
      </c>
      <c r="M702" s="59">
        <f t="shared" si="48"/>
        <v>1.3468</v>
      </c>
    </row>
    <row r="703" spans="1:13" ht="25.15" customHeight="1">
      <c r="A703" s="56"/>
      <c r="B703" s="839" t="s">
        <v>80</v>
      </c>
      <c r="C703" s="839"/>
      <c r="D703" s="57" t="s">
        <v>51</v>
      </c>
      <c r="E703" s="34">
        <f t="shared" si="46"/>
        <v>7.1428571428571429E-4</v>
      </c>
      <c r="F703" s="241">
        <f>SUMIF('Cjenik VSO'!$B$9:$B$85,$B703,'Cjenik VSO'!$C$9:$C$85)</f>
        <v>68.709999999999994</v>
      </c>
      <c r="G703" s="59">
        <f t="shared" si="47"/>
        <v>4.9078571428571423E-2</v>
      </c>
      <c r="I703" s="707"/>
      <c r="J703" s="57" t="s">
        <v>51</v>
      </c>
      <c r="K703" s="92">
        <v>5.9400000000000002E-4</v>
      </c>
      <c r="L703" s="241">
        <f>SUMIF('Cjenik VSO'!$B$9:$B$85,$B703,'Cjenik VSO'!$C$9:$C$85)</f>
        <v>68.709999999999994</v>
      </c>
      <c r="M703" s="59">
        <f t="shared" si="48"/>
        <v>4.0813739999999994E-2</v>
      </c>
    </row>
    <row r="704" spans="1:13" ht="25.15" customHeight="1">
      <c r="A704" s="61"/>
      <c r="B704" s="855" t="s">
        <v>81</v>
      </c>
      <c r="C704" s="855"/>
      <c r="D704" s="62" t="s">
        <v>51</v>
      </c>
      <c r="E704" s="34">
        <f t="shared" si="46"/>
        <v>3.2142857142857142E-3</v>
      </c>
      <c r="F704" s="242">
        <f>SUMIF('Cjenik VSO'!$B$9:$B$85,$B704,'Cjenik VSO'!$C$9:$C$85)</f>
        <v>107.11</v>
      </c>
      <c r="G704" s="64">
        <f t="shared" si="47"/>
        <v>0.34428214285714287</v>
      </c>
      <c r="I704" s="708"/>
      <c r="J704" s="62" t="s">
        <v>51</v>
      </c>
      <c r="K704" s="87">
        <v>2.3749999999999999E-3</v>
      </c>
      <c r="L704" s="242">
        <f>SUMIF('Cjenik VSO'!$B$9:$B$85,$B704,'Cjenik VSO'!$C$9:$C$85)</f>
        <v>107.11</v>
      </c>
      <c r="M704" s="64">
        <f t="shared" si="48"/>
        <v>0.25438624999999998</v>
      </c>
    </row>
    <row r="705" spans="1:13" ht="25.15" customHeight="1">
      <c r="A705" s="16"/>
      <c r="B705" s="851" t="str">
        <f>'Obrazac kalkulacije'!$B$15</f>
        <v>Materijali:</v>
      </c>
      <c r="C705" s="851"/>
      <c r="D705" s="16"/>
      <c r="E705" s="16"/>
      <c r="F705" s="243"/>
      <c r="G705" s="18">
        <f>SUM(G706:G707)</f>
        <v>68.7</v>
      </c>
      <c r="I705" s="709"/>
      <c r="J705" s="16"/>
      <c r="K705" s="16"/>
      <c r="L705" s="243"/>
      <c r="M705" s="18">
        <f>SUM(M706:M707)</f>
        <v>68.7</v>
      </c>
    </row>
    <row r="706" spans="1:13" ht="25.15" customHeight="1">
      <c r="A706" s="77"/>
      <c r="B706" s="856" t="str">
        <f>'Cjenik M'!$B$17</f>
        <v>Temeljni premaz za drvo</v>
      </c>
      <c r="C706" s="856"/>
      <c r="D706" s="78" t="str">
        <f>'Cjenik M'!$C$17</f>
        <v>l</v>
      </c>
      <c r="E706" s="79">
        <v>0.125</v>
      </c>
      <c r="F706" s="254">
        <f>'Cjenik M'!$D$17</f>
        <v>69.599999999999994</v>
      </c>
      <c r="G706" s="80">
        <f>+F706*E706</f>
        <v>8.6999999999999993</v>
      </c>
      <c r="I706" s="710"/>
      <c r="J706" s="78" t="str">
        <f>'Cjenik M'!$C$17</f>
        <v>l</v>
      </c>
      <c r="K706" s="79">
        <v>0.125</v>
      </c>
      <c r="L706" s="254">
        <f>'Cjenik M'!$D$17</f>
        <v>69.599999999999994</v>
      </c>
      <c r="M706" s="80">
        <f>+L706*K706</f>
        <v>8.6999999999999993</v>
      </c>
    </row>
    <row r="707" spans="1:13" ht="25.15" customHeight="1" thickBot="1">
      <c r="A707" s="74"/>
      <c r="B707" s="853" t="str">
        <f>'Cjenik M'!$B$21</f>
        <v>Oznaka ulice</v>
      </c>
      <c r="C707" s="853"/>
      <c r="D707" s="67" t="str">
        <f>'Cjenik M'!$C$21</f>
        <v>kom</v>
      </c>
      <c r="E707" s="81">
        <v>0.4</v>
      </c>
      <c r="F707" s="249">
        <f>'Cjenik M'!$D$21</f>
        <v>150</v>
      </c>
      <c r="G707" s="70">
        <f>+F707*E707</f>
        <v>60</v>
      </c>
      <c r="I707" s="706"/>
      <c r="J707" s="67" t="str">
        <f>'Cjenik M'!$C$21</f>
        <v>kom</v>
      </c>
      <c r="K707" s="81">
        <v>0.4</v>
      </c>
      <c r="L707" s="249">
        <f>'Cjenik M'!$D$21</f>
        <v>150</v>
      </c>
      <c r="M707" s="70">
        <f>+L707*K707</f>
        <v>60</v>
      </c>
    </row>
    <row r="708" spans="1:13" ht="25.15" customHeight="1" thickTop="1" thickBot="1">
      <c r="B708" s="47"/>
      <c r="C708" s="24"/>
      <c r="D708" s="25"/>
      <c r="E708" s="147" t="str">
        <f>'Obrazac kalkulacije'!$E$18</f>
        <v>Ukupno (kn):</v>
      </c>
      <c r="F708" s="255"/>
      <c r="G708" s="26">
        <f>ROUND(SUM(G691+G693+G705),2)</f>
        <v>76.650000000000006</v>
      </c>
      <c r="H708" s="269"/>
      <c r="I708" s="24"/>
      <c r="J708" s="25"/>
      <c r="K708" s="147" t="str">
        <f>'Obrazac kalkulacije'!$E$18</f>
        <v>Ukupno (kn):</v>
      </c>
      <c r="L708" s="255"/>
      <c r="M708" s="26">
        <f>ROUND(SUM(M691+M693+M705),2)</f>
        <v>75.92</v>
      </c>
    </row>
    <row r="709" spans="1:13" ht="25.15" customHeight="1" thickTop="1" thickBot="1">
      <c r="E709" s="27" t="str">
        <f>'Obrazac kalkulacije'!$E$19</f>
        <v>PDV:</v>
      </c>
      <c r="F709" s="248">
        <f>'Obrazac kalkulacije'!$F$19</f>
        <v>0.25</v>
      </c>
      <c r="G709" s="29">
        <f>G708*F709</f>
        <v>19.162500000000001</v>
      </c>
      <c r="H709" s="561"/>
      <c r="K709" s="27" t="str">
        <f>'Obrazac kalkulacije'!$E$19</f>
        <v>PDV:</v>
      </c>
      <c r="L709" s="248">
        <f>'Obrazac kalkulacije'!$F$19</f>
        <v>0.25</v>
      </c>
      <c r="M709" s="29">
        <f>M708*L709</f>
        <v>18.98</v>
      </c>
    </row>
    <row r="710" spans="1:13" ht="25.15" customHeight="1" thickTop="1" thickBot="1">
      <c r="E710" s="148" t="str">
        <f>'Obrazac kalkulacije'!$E$20</f>
        <v>Sveukupno (kn):</v>
      </c>
      <c r="F710" s="256"/>
      <c r="G710" s="29">
        <f>ROUND(SUM(G708:G709),2)</f>
        <v>95.81</v>
      </c>
      <c r="H710" s="562"/>
      <c r="K710" s="148" t="str">
        <f>'Obrazac kalkulacije'!$E$20</f>
        <v>Sveukupno (kn):</v>
      </c>
      <c r="L710" s="256"/>
      <c r="M710" s="29">
        <f>ROUND(SUM(M708:M709),2)</f>
        <v>94.9</v>
      </c>
    </row>
    <row r="711" spans="1:13" ht="15" customHeight="1" thickTop="1"/>
    <row r="712" spans="1:13" ht="15" customHeight="1"/>
    <row r="713" spans="1:13" ht="15" customHeight="1"/>
    <row r="714" spans="1:13" ht="15" customHeight="1">
      <c r="C714" s="3" t="str">
        <f>'Obrazac kalkulacije'!$C$24</f>
        <v>IZVODITELJ:</v>
      </c>
      <c r="F714" s="841" t="str">
        <f>'Obrazac kalkulacije'!$F$24</f>
        <v>NARUČITELJ:</v>
      </c>
      <c r="G714" s="841"/>
      <c r="I714" s="3" t="str">
        <f>'Obrazac kalkulacije'!$C$24</f>
        <v>IZVODITELJ:</v>
      </c>
      <c r="L714" s="841" t="str">
        <f>'Obrazac kalkulacije'!$F$24</f>
        <v>NARUČITELJ:</v>
      </c>
      <c r="M714" s="841"/>
    </row>
    <row r="715" spans="1:13" ht="25.15" customHeight="1">
      <c r="C715" s="3" t="str">
        <f>'Obrazac kalkulacije'!$C$25</f>
        <v>__________________</v>
      </c>
      <c r="F715" s="841" t="str">
        <f>'Obrazac kalkulacije'!$F$25</f>
        <v>___________________</v>
      </c>
      <c r="G715" s="841"/>
      <c r="I715" s="3" t="str">
        <f>'Obrazac kalkulacije'!$C$25</f>
        <v>__________________</v>
      </c>
      <c r="L715" s="841" t="str">
        <f>'Obrazac kalkulacije'!$F$25</f>
        <v>___________________</v>
      </c>
      <c r="M715" s="841"/>
    </row>
    <row r="716" spans="1:13" ht="15" customHeight="1">
      <c r="G716" s="30"/>
      <c r="M716" s="30"/>
    </row>
    <row r="717" spans="1:13" ht="15" customHeight="1"/>
    <row r="718" spans="1:13" ht="15" customHeight="1">
      <c r="A718" s="144"/>
      <c r="B718" s="145" t="s">
        <v>17</v>
      </c>
      <c r="C718" s="146" t="s">
        <v>56</v>
      </c>
      <c r="D718" s="146"/>
      <c r="E718" s="146"/>
      <c r="F718" s="252"/>
      <c r="G718" s="146"/>
      <c r="I718" s="146" t="s">
        <v>56</v>
      </c>
      <c r="J718" s="146"/>
      <c r="K718" s="146"/>
      <c r="L718" s="252"/>
      <c r="M718" s="146"/>
    </row>
    <row r="719" spans="1:13" ht="15" customHeight="1">
      <c r="A719" s="38"/>
      <c r="B719" s="39" t="s">
        <v>64</v>
      </c>
      <c r="C719" s="8" t="s">
        <v>65</v>
      </c>
      <c r="D719" s="8"/>
      <c r="E719" s="8"/>
      <c r="F719" s="253"/>
      <c r="G719" s="8"/>
      <c r="I719" s="8" t="s">
        <v>65</v>
      </c>
      <c r="J719" s="8"/>
      <c r="K719" s="8"/>
      <c r="L719" s="253"/>
      <c r="M719" s="8"/>
    </row>
    <row r="720" spans="1:13" ht="15" customHeight="1">
      <c r="A720" s="48"/>
      <c r="B720" s="49" t="s">
        <v>128</v>
      </c>
      <c r="C720" s="50" t="s">
        <v>129</v>
      </c>
      <c r="D720" s="50"/>
      <c r="E720" s="50"/>
      <c r="F720" s="250"/>
      <c r="G720" s="50"/>
      <c r="I720" s="50" t="s">
        <v>129</v>
      </c>
      <c r="J720" s="50"/>
      <c r="K720" s="50"/>
      <c r="L720" s="250"/>
      <c r="M720" s="50"/>
    </row>
    <row r="721" spans="1:13" ht="150" customHeight="1">
      <c r="A721" s="40"/>
      <c r="B721" s="556" t="s">
        <v>145</v>
      </c>
      <c r="C721" s="852" t="s">
        <v>146</v>
      </c>
      <c r="D721" s="852"/>
      <c r="E721" s="852"/>
      <c r="F721" s="852"/>
      <c r="G721" s="852"/>
      <c r="I721" s="869" t="s">
        <v>147</v>
      </c>
      <c r="J721" s="869"/>
      <c r="K721" s="869"/>
      <c r="L721" s="869"/>
      <c r="M721" s="869"/>
    </row>
    <row r="722" spans="1:13" ht="15" customHeight="1" thickBot="1"/>
    <row r="723" spans="1:13" ht="30" customHeight="1" thickTop="1" thickBot="1">
      <c r="A723" s="10"/>
      <c r="B723" s="835" t="str">
        <f>'Obrazac kalkulacije'!$B$6:$C$6</f>
        <v>Opis</v>
      </c>
      <c r="C723" s="835"/>
      <c r="D723" s="10" t="str">
        <f>'Obrazac kalkulacije'!$D$6</f>
        <v>Jed.
mjere</v>
      </c>
      <c r="E723" s="10" t="str">
        <f>'Obrazac kalkulacije'!$E$6</f>
        <v>Normativ</v>
      </c>
      <c r="F723" s="10" t="str">
        <f>'Obrazac kalkulacije'!$F$6</f>
        <v>Jed.
cijena</v>
      </c>
      <c r="G723" s="10" t="str">
        <f>'Obrazac kalkulacije'!$G$6</f>
        <v>Iznos</v>
      </c>
      <c r="I723" s="703"/>
      <c r="J723" s="10" t="str">
        <f>'Obrazac kalkulacije'!$D$6</f>
        <v>Jed.
mjere</v>
      </c>
      <c r="K723" s="10" t="str">
        <f>'Obrazac kalkulacije'!$E$6</f>
        <v>Normativ</v>
      </c>
      <c r="L723" s="10" t="str">
        <f>'Obrazac kalkulacije'!$F$6</f>
        <v>Jed.
cijena</v>
      </c>
      <c r="M723" s="10" t="str">
        <f>'Obrazac kalkulacije'!$G$6</f>
        <v>Iznos</v>
      </c>
    </row>
    <row r="724" spans="1:13" ht="4.5" customHeight="1" thickTop="1">
      <c r="B724" s="42"/>
      <c r="C724" s="1"/>
      <c r="D724" s="11"/>
      <c r="E724" s="13"/>
      <c r="F724" s="245"/>
      <c r="G724" s="15"/>
      <c r="I724" s="1"/>
      <c r="J724" s="11"/>
      <c r="K724" s="13"/>
      <c r="L724" s="245"/>
      <c r="M724" s="15"/>
    </row>
    <row r="725" spans="1:13" ht="25.15" customHeight="1">
      <c r="A725" s="16"/>
      <c r="B725" s="17" t="str">
        <f>'Obrazac kalkulacije'!$B$8</f>
        <v>Radna snaga:</v>
      </c>
      <c r="C725" s="17"/>
      <c r="D725" s="16"/>
      <c r="E725" s="16"/>
      <c r="F725" s="246"/>
      <c r="G725" s="18">
        <f>SUM(G726:G726)</f>
        <v>1.2003428571428572</v>
      </c>
      <c r="I725" s="17"/>
      <c r="J725" s="16"/>
      <c r="K725" s="16"/>
      <c r="L725" s="246"/>
      <c r="M725" s="18">
        <f>SUM(M726:M726)</f>
        <v>1.0503</v>
      </c>
    </row>
    <row r="726" spans="1:13" ht="25.15" customHeight="1">
      <c r="A726" s="32"/>
      <c r="B726" s="854" t="s">
        <v>57</v>
      </c>
      <c r="C726" s="854"/>
      <c r="D726" s="33" t="s">
        <v>51</v>
      </c>
      <c r="E726" s="34">
        <v>1.1428571428571429E-2</v>
      </c>
      <c r="F726" s="243">
        <f>SUMIF('Cjenik RS'!$C$11:$C$26,$B726,'Cjenik RS'!$D$11:$D$90)</f>
        <v>105.03</v>
      </c>
      <c r="G726" s="35">
        <f>+F726*E726</f>
        <v>1.2003428571428572</v>
      </c>
      <c r="I726" s="701"/>
      <c r="J726" s="33" t="s">
        <v>51</v>
      </c>
      <c r="K726" s="34">
        <v>0.01</v>
      </c>
      <c r="L726" s="243">
        <f>SUMIF('Cjenik RS'!$C$11:$C$26,$B726,'Cjenik RS'!$D$11:$D$90)</f>
        <v>105.03</v>
      </c>
      <c r="M726" s="35">
        <f>+L726*K726</f>
        <v>1.0503</v>
      </c>
    </row>
    <row r="727" spans="1:13" ht="25.15" customHeight="1">
      <c r="A727" s="16"/>
      <c r="B727" s="17" t="str">
        <f>'Obrazac kalkulacije'!$B$11</f>
        <v>Vozila, strojevi i oprema:</v>
      </c>
      <c r="C727" s="17"/>
      <c r="D727" s="16"/>
      <c r="E727" s="16"/>
      <c r="F727" s="243"/>
      <c r="G727" s="18">
        <f>SUM(G728:G738)</f>
        <v>5.1617857142857142</v>
      </c>
      <c r="I727" s="17"/>
      <c r="J727" s="16"/>
      <c r="K727" s="16"/>
      <c r="L727" s="243"/>
      <c r="M727" s="18">
        <f>SUM(M728:M738)</f>
        <v>4.7280012100000004</v>
      </c>
    </row>
    <row r="728" spans="1:13" ht="25.15" customHeight="1">
      <c r="A728" s="56"/>
      <c r="B728" s="839" t="s">
        <v>75</v>
      </c>
      <c r="C728" s="839"/>
      <c r="D728" s="57" t="s">
        <v>51</v>
      </c>
      <c r="E728" s="92">
        <v>2.8571428571428574E-4</v>
      </c>
      <c r="F728" s="241">
        <f>SUMIF('Cjenik VSO'!$B$9:$B$85,$B728,'Cjenik VSO'!$C$9:$C$85)</f>
        <v>718.97</v>
      </c>
      <c r="G728" s="59">
        <f t="shared" ref="G728:G738" si="49">E728*F728</f>
        <v>0.20542000000000002</v>
      </c>
      <c r="I728" s="707"/>
      <c r="J728" s="57" t="s">
        <v>51</v>
      </c>
      <c r="K728" s="92">
        <v>1.8799999999999999E-4</v>
      </c>
      <c r="L728" s="241">
        <f>SUMIF('Cjenik VSO'!$B$9:$B$85,$B728,'Cjenik VSO'!$C$9:$C$85)</f>
        <v>718.97</v>
      </c>
      <c r="M728" s="59">
        <f t="shared" ref="M728:M738" si="50">K728*L728</f>
        <v>0.13516635999999999</v>
      </c>
    </row>
    <row r="729" spans="1:13" ht="25.15" customHeight="1">
      <c r="A729" s="56"/>
      <c r="B729" s="839" t="s">
        <v>60</v>
      </c>
      <c r="C729" s="839"/>
      <c r="D729" s="57" t="s">
        <v>51</v>
      </c>
      <c r="E729" s="92">
        <v>5.7142857142857147E-4</v>
      </c>
      <c r="F729" s="241">
        <f>SUMIF('Cjenik VSO'!$B$9:$B$85,$B729,'Cjenik VSO'!$C$9:$C$85)</f>
        <v>328.73</v>
      </c>
      <c r="G729" s="59">
        <f t="shared" si="49"/>
        <v>0.18784571428571431</v>
      </c>
      <c r="I729" s="707"/>
      <c r="J729" s="57" t="s">
        <v>51</v>
      </c>
      <c r="K729" s="92">
        <v>5.04E-4</v>
      </c>
      <c r="L729" s="241">
        <f>SUMIF('Cjenik VSO'!$B$9:$B$85,$B729,'Cjenik VSO'!$C$9:$C$85)</f>
        <v>328.73</v>
      </c>
      <c r="M729" s="59">
        <f t="shared" si="50"/>
        <v>0.16567992000000001</v>
      </c>
    </row>
    <row r="730" spans="1:13" ht="25.15" customHeight="1">
      <c r="A730" s="56"/>
      <c r="B730" s="839" t="s">
        <v>61</v>
      </c>
      <c r="C730" s="839"/>
      <c r="D730" s="57" t="s">
        <v>51</v>
      </c>
      <c r="E730" s="92">
        <v>5.7142857142857147E-4</v>
      </c>
      <c r="F730" s="241">
        <f>SUMIF('Cjenik VSO'!$B$9:$B$85,$B730,'Cjenik VSO'!$C$9:$C$85)</f>
        <v>62.67</v>
      </c>
      <c r="G730" s="59">
        <f t="shared" si="49"/>
        <v>3.5811428571428577E-2</v>
      </c>
      <c r="I730" s="707"/>
      <c r="J730" s="57" t="s">
        <v>51</v>
      </c>
      <c r="K730" s="92">
        <v>5.04E-4</v>
      </c>
      <c r="L730" s="241">
        <f>SUMIF('Cjenik VSO'!$B$9:$B$85,$B730,'Cjenik VSO'!$C$9:$C$85)</f>
        <v>62.67</v>
      </c>
      <c r="M730" s="59">
        <f t="shared" si="50"/>
        <v>3.1585679999999998E-2</v>
      </c>
    </row>
    <row r="731" spans="1:13" ht="25.15" customHeight="1">
      <c r="A731" s="56"/>
      <c r="B731" s="839" t="s">
        <v>73</v>
      </c>
      <c r="C731" s="839"/>
      <c r="D731" s="57" t="s">
        <v>51</v>
      </c>
      <c r="E731" s="92">
        <v>5.7142857142857147E-4</v>
      </c>
      <c r="F731" s="241">
        <f>SUMIF('Cjenik VSO'!$B$9:$B$85,$B731,'Cjenik VSO'!$C$9:$C$85)</f>
        <v>291.72000000000003</v>
      </c>
      <c r="G731" s="59">
        <f t="shared" si="49"/>
        <v>0.16669714285714288</v>
      </c>
      <c r="I731" s="707"/>
      <c r="J731" s="57" t="s">
        <v>51</v>
      </c>
      <c r="K731" s="92">
        <v>4.75E-4</v>
      </c>
      <c r="L731" s="241">
        <f>SUMIF('Cjenik VSO'!$B$9:$B$85,$B731,'Cjenik VSO'!$C$9:$C$85)</f>
        <v>291.72000000000003</v>
      </c>
      <c r="M731" s="59">
        <f t="shared" si="50"/>
        <v>0.13856700000000002</v>
      </c>
    </row>
    <row r="732" spans="1:13" ht="25.15" customHeight="1">
      <c r="A732" s="56"/>
      <c r="B732" s="839" t="s">
        <v>74</v>
      </c>
      <c r="C732" s="839"/>
      <c r="D732" s="57" t="s">
        <v>51</v>
      </c>
      <c r="E732" s="92">
        <v>2.5714285714285717E-3</v>
      </c>
      <c r="F732" s="241">
        <f>SUMIF('Cjenik VSO'!$B$9:$B$85,$B732,'Cjenik VSO'!$C$9:$C$85)</f>
        <v>355.64</v>
      </c>
      <c r="G732" s="59">
        <f t="shared" si="49"/>
        <v>0.91450285714285717</v>
      </c>
      <c r="I732" s="707"/>
      <c r="J732" s="57" t="s">
        <v>51</v>
      </c>
      <c r="K732" s="92">
        <v>1.9E-3</v>
      </c>
      <c r="L732" s="241">
        <f>SUMIF('Cjenik VSO'!$B$9:$B$85,$B732,'Cjenik VSO'!$C$9:$C$85)</f>
        <v>355.64</v>
      </c>
      <c r="M732" s="59">
        <f t="shared" si="50"/>
        <v>0.67571599999999998</v>
      </c>
    </row>
    <row r="733" spans="1:13" ht="25.15" customHeight="1">
      <c r="A733" s="56"/>
      <c r="B733" s="839" t="s">
        <v>104</v>
      </c>
      <c r="C733" s="839"/>
      <c r="D733" s="57" t="s">
        <v>51</v>
      </c>
      <c r="E733" s="92">
        <v>2.2857142857142859E-3</v>
      </c>
      <c r="F733" s="241">
        <f>SUMIF('Cjenik VSO'!$B$9:$B$85,$B733,'Cjenik VSO'!$C$9:$C$85)</f>
        <v>693.43</v>
      </c>
      <c r="G733" s="59">
        <f t="shared" si="49"/>
        <v>1.5849828571428572</v>
      </c>
      <c r="I733" s="707"/>
      <c r="J733" s="57" t="s">
        <v>51</v>
      </c>
      <c r="K733" s="92">
        <v>2E-3</v>
      </c>
      <c r="L733" s="241">
        <f>SUMIF('Cjenik VSO'!$B$9:$B$85,$B733,'Cjenik VSO'!$C$9:$C$85)</f>
        <v>693.43</v>
      </c>
      <c r="M733" s="59">
        <f t="shared" si="50"/>
        <v>1.38686</v>
      </c>
    </row>
    <row r="734" spans="1:13" ht="25.15" customHeight="1">
      <c r="A734" s="56"/>
      <c r="B734" s="839" t="s">
        <v>87</v>
      </c>
      <c r="C734" s="839"/>
      <c r="D734" s="57" t="s">
        <v>51</v>
      </c>
      <c r="E734" s="92">
        <v>1.1428571428571429E-3</v>
      </c>
      <c r="F734" s="241">
        <f>SUMIF('Cjenik VSO'!$B$9:$B$85,$B734,'Cjenik VSO'!$C$9:$C$85)</f>
        <v>240.85</v>
      </c>
      <c r="G734" s="59">
        <f t="shared" si="49"/>
        <v>0.27525714285714287</v>
      </c>
      <c r="I734" s="707"/>
      <c r="J734" s="57" t="s">
        <v>51</v>
      </c>
      <c r="K734" s="92">
        <v>2E-3</v>
      </c>
      <c r="L734" s="241">
        <f>SUMIF('Cjenik VSO'!$B$9:$B$85,$B734,'Cjenik VSO'!$C$9:$C$85)</f>
        <v>240.85</v>
      </c>
      <c r="M734" s="59">
        <f t="shared" si="50"/>
        <v>0.48170000000000002</v>
      </c>
    </row>
    <row r="735" spans="1:13" ht="25.15" customHeight="1">
      <c r="A735" s="56"/>
      <c r="B735" s="839" t="s">
        <v>79</v>
      </c>
      <c r="C735" s="839"/>
      <c r="D735" s="57" t="s">
        <v>51</v>
      </c>
      <c r="E735" s="92">
        <v>2E-3</v>
      </c>
      <c r="F735" s="241">
        <f>SUMIF('Cjenik VSO'!$B$9:$B$85,$B735,'Cjenik VSO'!$C$9:$C$85)</f>
        <v>199.57</v>
      </c>
      <c r="G735" s="59">
        <f t="shared" si="49"/>
        <v>0.39913999999999999</v>
      </c>
      <c r="I735" s="707"/>
      <c r="J735" s="57" t="s">
        <v>51</v>
      </c>
      <c r="K735" s="92">
        <v>2E-3</v>
      </c>
      <c r="L735" s="241">
        <f>SUMIF('Cjenik VSO'!$B$9:$B$85,$B735,'Cjenik VSO'!$C$9:$C$85)</f>
        <v>199.57</v>
      </c>
      <c r="M735" s="59">
        <f t="shared" si="50"/>
        <v>0.39913999999999999</v>
      </c>
    </row>
    <row r="736" spans="1:13" ht="25.15" customHeight="1">
      <c r="A736" s="56"/>
      <c r="B736" s="839" t="s">
        <v>88</v>
      </c>
      <c r="C736" s="839"/>
      <c r="D736" s="57" t="s">
        <v>51</v>
      </c>
      <c r="E736" s="92">
        <v>4.0000000000000001E-3</v>
      </c>
      <c r="F736" s="241">
        <f>SUMIF('Cjenik VSO'!$B$9:$B$85,$B736,'Cjenik VSO'!$C$9:$C$85)</f>
        <v>269.36</v>
      </c>
      <c r="G736" s="59">
        <f t="shared" si="49"/>
        <v>1.0774400000000002</v>
      </c>
      <c r="I736" s="707"/>
      <c r="J736" s="57" t="s">
        <v>51</v>
      </c>
      <c r="K736" s="92">
        <v>4.0000000000000001E-3</v>
      </c>
      <c r="L736" s="241">
        <f>SUMIF('Cjenik VSO'!$B$9:$B$85,$B736,'Cjenik VSO'!$C$9:$C$85)</f>
        <v>269.36</v>
      </c>
      <c r="M736" s="59">
        <f t="shared" si="50"/>
        <v>1.0774400000000002</v>
      </c>
    </row>
    <row r="737" spans="1:13" ht="25.15" customHeight="1">
      <c r="A737" s="56"/>
      <c r="B737" s="839" t="s">
        <v>80</v>
      </c>
      <c r="C737" s="839"/>
      <c r="D737" s="57" t="s">
        <v>51</v>
      </c>
      <c r="E737" s="92">
        <v>5.7142857142857147E-4</v>
      </c>
      <c r="F737" s="241">
        <f>SUMIF('Cjenik VSO'!$B$9:$B$85,$B737,'Cjenik VSO'!$C$9:$C$85)</f>
        <v>68.709999999999994</v>
      </c>
      <c r="G737" s="59">
        <f t="shared" si="49"/>
        <v>3.9262857142857141E-2</v>
      </c>
      <c r="I737" s="707"/>
      <c r="J737" s="57" t="s">
        <v>51</v>
      </c>
      <c r="K737" s="92">
        <v>4.75E-4</v>
      </c>
      <c r="L737" s="241">
        <f>SUMIF('Cjenik VSO'!$B$9:$B$85,$B737,'Cjenik VSO'!$C$9:$C$85)</f>
        <v>68.709999999999994</v>
      </c>
      <c r="M737" s="59">
        <f t="shared" si="50"/>
        <v>3.263725E-2</v>
      </c>
    </row>
    <row r="738" spans="1:13" ht="25.15" customHeight="1">
      <c r="A738" s="61"/>
      <c r="B738" s="855" t="s">
        <v>81</v>
      </c>
      <c r="C738" s="855"/>
      <c r="D738" s="62" t="s">
        <v>51</v>
      </c>
      <c r="E738" s="87">
        <v>2.5714285714285717E-3</v>
      </c>
      <c r="F738" s="242">
        <f>SUMIF('Cjenik VSO'!$B$9:$B$85,$B738,'Cjenik VSO'!$C$9:$C$85)</f>
        <v>107.11</v>
      </c>
      <c r="G738" s="64">
        <f t="shared" si="49"/>
        <v>0.27542571428571433</v>
      </c>
      <c r="I738" s="708"/>
      <c r="J738" s="62" t="s">
        <v>51</v>
      </c>
      <c r="K738" s="87">
        <v>1.9E-3</v>
      </c>
      <c r="L738" s="242">
        <f>SUMIF('Cjenik VSO'!$B$9:$B$85,$B738,'Cjenik VSO'!$C$9:$C$85)</f>
        <v>107.11</v>
      </c>
      <c r="M738" s="64">
        <f t="shared" si="50"/>
        <v>0.203509</v>
      </c>
    </row>
    <row r="739" spans="1:13" ht="25.15" customHeight="1">
      <c r="A739" s="16"/>
      <c r="B739" s="851" t="str">
        <f>'Obrazac kalkulacije'!$B$15</f>
        <v>Materijali:</v>
      </c>
      <c r="C739" s="851"/>
      <c r="D739" s="16"/>
      <c r="E739" s="16"/>
      <c r="F739" s="243"/>
      <c r="G739" s="18">
        <f>SUM(G740:G741)</f>
        <v>70.988</v>
      </c>
      <c r="I739" s="709"/>
      <c r="J739" s="16"/>
      <c r="K739" s="16"/>
      <c r="L739" s="243"/>
      <c r="M739" s="18">
        <f>SUM(M740:M741)</f>
        <v>70.988</v>
      </c>
    </row>
    <row r="740" spans="1:13" ht="25.15" customHeight="1">
      <c r="A740" s="77"/>
      <c r="B740" s="856" t="str">
        <f>'Cjenik M'!$B$19</f>
        <v>Premaz za metal</v>
      </c>
      <c r="C740" s="856"/>
      <c r="D740" s="78" t="str">
        <f>'Cjenik M'!$C$19</f>
        <v>l</v>
      </c>
      <c r="E740" s="79">
        <v>0.1</v>
      </c>
      <c r="F740" s="254">
        <f>'Cjenik M'!$D$19</f>
        <v>109.88</v>
      </c>
      <c r="G740" s="80">
        <f>+F740*E740</f>
        <v>10.988</v>
      </c>
      <c r="I740" s="710"/>
      <c r="J740" s="78" t="str">
        <f>'Cjenik M'!$C$19</f>
        <v>l</v>
      </c>
      <c r="K740" s="79">
        <v>0.1</v>
      </c>
      <c r="L740" s="254">
        <f>'Cjenik M'!$D$19</f>
        <v>109.88</v>
      </c>
      <c r="M740" s="80">
        <f>+L740*K740</f>
        <v>10.988</v>
      </c>
    </row>
    <row r="741" spans="1:13" ht="25.15" customHeight="1" thickBot="1">
      <c r="A741" s="74"/>
      <c r="B741" s="853" t="str">
        <f>'Cjenik M'!$B$21</f>
        <v>Oznaka ulice</v>
      </c>
      <c r="C741" s="853"/>
      <c r="D741" s="67" t="str">
        <f>'Cjenik M'!$C$21</f>
        <v>kom</v>
      </c>
      <c r="E741" s="81">
        <v>0.4</v>
      </c>
      <c r="F741" s="249">
        <f>'Cjenik M'!$D$21</f>
        <v>150</v>
      </c>
      <c r="G741" s="70">
        <f>+F741*E741</f>
        <v>60</v>
      </c>
      <c r="I741" s="706"/>
      <c r="J741" s="67" t="str">
        <f>'Cjenik M'!$C$21</f>
        <v>kom</v>
      </c>
      <c r="K741" s="81">
        <v>0.4</v>
      </c>
      <c r="L741" s="249">
        <f>'Cjenik M'!$D$21</f>
        <v>150</v>
      </c>
      <c r="M741" s="70">
        <f>+L741*K741</f>
        <v>60</v>
      </c>
    </row>
    <row r="742" spans="1:13" ht="25.15" customHeight="1" thickTop="1" thickBot="1">
      <c r="B742" s="47"/>
      <c r="C742" s="24"/>
      <c r="D742" s="25"/>
      <c r="E742" s="147" t="str">
        <f>'Obrazac kalkulacije'!$E$18</f>
        <v>Ukupno (kn):</v>
      </c>
      <c r="F742" s="255"/>
      <c r="G742" s="26">
        <f>ROUND(SUM(G725+G727+G739),2)</f>
        <v>77.349999999999994</v>
      </c>
      <c r="H742" s="269"/>
      <c r="I742" s="24"/>
      <c r="J742" s="25"/>
      <c r="K742" s="147" t="str">
        <f>'Obrazac kalkulacije'!$E$18</f>
        <v>Ukupno (kn):</v>
      </c>
      <c r="L742" s="255"/>
      <c r="M742" s="26">
        <f>ROUND(SUM(M725+M727+M739),2)</f>
        <v>76.77</v>
      </c>
    </row>
    <row r="743" spans="1:13" ht="25.15" customHeight="1" thickTop="1" thickBot="1">
      <c r="E743" s="27" t="str">
        <f>'Obrazac kalkulacije'!$E$19</f>
        <v>PDV:</v>
      </c>
      <c r="F743" s="248">
        <f>'Obrazac kalkulacije'!$F$19</f>
        <v>0.25</v>
      </c>
      <c r="G743" s="29">
        <f>G742*F743</f>
        <v>19.337499999999999</v>
      </c>
      <c r="H743" s="561"/>
      <c r="K743" s="27" t="str">
        <f>'Obrazac kalkulacije'!$E$19</f>
        <v>PDV:</v>
      </c>
      <c r="L743" s="248">
        <f>'Obrazac kalkulacije'!$F$19</f>
        <v>0.25</v>
      </c>
      <c r="M743" s="29">
        <f>M742*L743</f>
        <v>19.192499999999999</v>
      </c>
    </row>
    <row r="744" spans="1:13" ht="25.15" customHeight="1" thickTop="1" thickBot="1">
      <c r="E744" s="148" t="str">
        <f>'Obrazac kalkulacije'!$E$20</f>
        <v>Sveukupno (kn):</v>
      </c>
      <c r="F744" s="256"/>
      <c r="G744" s="29">
        <f>ROUND(SUM(G742:G743),2)</f>
        <v>96.69</v>
      </c>
      <c r="H744" s="562"/>
      <c r="K744" s="148" t="str">
        <f>'Obrazac kalkulacije'!$E$20</f>
        <v>Sveukupno (kn):</v>
      </c>
      <c r="L744" s="256"/>
      <c r="M744" s="29">
        <f>ROUND(SUM(M742:M743),2)</f>
        <v>95.96</v>
      </c>
    </row>
    <row r="745" spans="1:13" ht="15" customHeight="1" thickTop="1"/>
    <row r="746" spans="1:13" ht="15" customHeight="1"/>
    <row r="747" spans="1:13" ht="15" customHeight="1"/>
    <row r="748" spans="1:13" ht="15" customHeight="1">
      <c r="C748" s="3" t="str">
        <f>'Obrazac kalkulacije'!$C$24</f>
        <v>IZVODITELJ:</v>
      </c>
      <c r="F748" s="841" t="str">
        <f>'Obrazac kalkulacije'!$F$24</f>
        <v>NARUČITELJ:</v>
      </c>
      <c r="G748" s="841"/>
      <c r="I748" s="3" t="str">
        <f>'Obrazac kalkulacije'!$C$24</f>
        <v>IZVODITELJ:</v>
      </c>
      <c r="L748" s="841" t="str">
        <f>'Obrazac kalkulacije'!$F$24</f>
        <v>NARUČITELJ:</v>
      </c>
      <c r="M748" s="841"/>
    </row>
    <row r="749" spans="1:13" ht="25.15" customHeight="1">
      <c r="C749" s="3" t="str">
        <f>'Obrazac kalkulacije'!$C$25</f>
        <v>__________________</v>
      </c>
      <c r="F749" s="841" t="str">
        <f>'Obrazac kalkulacije'!$F$25</f>
        <v>___________________</v>
      </c>
      <c r="G749" s="841"/>
      <c r="I749" s="3" t="str">
        <f>'Obrazac kalkulacije'!$C$25</f>
        <v>__________________</v>
      </c>
      <c r="L749" s="841" t="str">
        <f>'Obrazac kalkulacije'!$F$25</f>
        <v>___________________</v>
      </c>
      <c r="M749" s="841"/>
    </row>
    <row r="750" spans="1:13" ht="15" customHeight="1">
      <c r="G750" s="30"/>
      <c r="M750" s="30"/>
    </row>
    <row r="751" spans="1:13" ht="15" customHeight="1"/>
    <row r="752" spans="1:13" ht="15" customHeight="1">
      <c r="A752" s="144"/>
      <c r="B752" s="145" t="s">
        <v>17</v>
      </c>
      <c r="C752" s="146" t="s">
        <v>56</v>
      </c>
      <c r="D752" s="146"/>
      <c r="E752" s="146"/>
      <c r="F752" s="252"/>
      <c r="G752" s="146"/>
      <c r="I752" s="146" t="s">
        <v>56</v>
      </c>
      <c r="J752" s="146"/>
      <c r="K752" s="146"/>
      <c r="L752" s="252"/>
      <c r="M752" s="146"/>
    </row>
    <row r="753" spans="1:13" ht="15" customHeight="1">
      <c r="A753" s="38"/>
      <c r="B753" s="39" t="s">
        <v>64</v>
      </c>
      <c r="C753" s="8" t="s">
        <v>65</v>
      </c>
      <c r="D753" s="8"/>
      <c r="E753" s="8"/>
      <c r="F753" s="253"/>
      <c r="G753" s="8"/>
      <c r="I753" s="8" t="s">
        <v>65</v>
      </c>
      <c r="J753" s="8"/>
      <c r="K753" s="8"/>
      <c r="L753" s="253"/>
      <c r="M753" s="8"/>
    </row>
    <row r="754" spans="1:13" ht="15" customHeight="1">
      <c r="A754" s="48"/>
      <c r="B754" s="49" t="s">
        <v>128</v>
      </c>
      <c r="C754" s="50" t="s">
        <v>129</v>
      </c>
      <c r="D754" s="50"/>
      <c r="E754" s="50"/>
      <c r="F754" s="250"/>
      <c r="G754" s="50"/>
      <c r="I754" s="50" t="s">
        <v>129</v>
      </c>
      <c r="J754" s="50"/>
      <c r="K754" s="50"/>
      <c r="L754" s="250"/>
      <c r="M754" s="50"/>
    </row>
    <row r="755" spans="1:13" ht="150" customHeight="1">
      <c r="A755" s="40"/>
      <c r="B755" s="556" t="s">
        <v>148</v>
      </c>
      <c r="C755" s="852" t="s">
        <v>149</v>
      </c>
      <c r="D755" s="852"/>
      <c r="E755" s="852"/>
      <c r="F755" s="852"/>
      <c r="G755" s="852"/>
      <c r="I755" s="869" t="s">
        <v>150</v>
      </c>
      <c r="J755" s="869"/>
      <c r="K755" s="869"/>
      <c r="L755" s="869"/>
      <c r="M755" s="869"/>
    </row>
    <row r="756" spans="1:13" ht="15" customHeight="1" thickBot="1"/>
    <row r="757" spans="1:13" ht="30" customHeight="1" thickTop="1" thickBot="1">
      <c r="A757" s="10"/>
      <c r="B757" s="835" t="str">
        <f>'Obrazac kalkulacije'!$B$6:$C$6</f>
        <v>Opis</v>
      </c>
      <c r="C757" s="835"/>
      <c r="D757" s="10" t="str">
        <f>'Obrazac kalkulacije'!$D$6</f>
        <v>Jed.
mjere</v>
      </c>
      <c r="E757" s="10" t="str">
        <f>'Obrazac kalkulacije'!$E$6</f>
        <v>Normativ</v>
      </c>
      <c r="F757" s="10" t="str">
        <f>'Obrazac kalkulacije'!$F$6</f>
        <v>Jed.
cijena</v>
      </c>
      <c r="G757" s="10" t="str">
        <f>'Obrazac kalkulacije'!$G$6</f>
        <v>Iznos</v>
      </c>
      <c r="I757" s="703"/>
      <c r="J757" s="10" t="str">
        <f>'Obrazac kalkulacije'!$D$6</f>
        <v>Jed.
mjere</v>
      </c>
      <c r="K757" s="10" t="str">
        <f>'Obrazac kalkulacije'!$E$6</f>
        <v>Normativ</v>
      </c>
      <c r="L757" s="10" t="str">
        <f>'Obrazac kalkulacije'!$F$6</f>
        <v>Jed.
cijena</v>
      </c>
      <c r="M757" s="10" t="str">
        <f>'Obrazac kalkulacije'!$G$6</f>
        <v>Iznos</v>
      </c>
    </row>
    <row r="758" spans="1:13" ht="4.5" customHeight="1" thickTop="1">
      <c r="B758" s="42"/>
      <c r="C758" s="1"/>
      <c r="D758" s="11"/>
      <c r="E758" s="13"/>
      <c r="F758" s="245"/>
      <c r="G758" s="15"/>
      <c r="I758" s="1"/>
      <c r="J758" s="11"/>
      <c r="K758" s="13"/>
      <c r="L758" s="245"/>
      <c r="M758" s="15"/>
    </row>
    <row r="759" spans="1:13" ht="25.15" customHeight="1">
      <c r="A759" s="16"/>
      <c r="B759" s="17" t="str">
        <f>'Obrazac kalkulacije'!$B$8</f>
        <v>Radna snaga:</v>
      </c>
      <c r="C759" s="17"/>
      <c r="D759" s="16"/>
      <c r="E759" s="16"/>
      <c r="F759" s="246"/>
      <c r="G759" s="18">
        <f>SUM(G760:G760)</f>
        <v>1.5004285714285714</v>
      </c>
      <c r="I759" s="17"/>
      <c r="J759" s="16"/>
      <c r="K759" s="16"/>
      <c r="L759" s="246"/>
      <c r="M759" s="18">
        <f>SUM(M760:M760)</f>
        <v>1.312875</v>
      </c>
    </row>
    <row r="760" spans="1:13" ht="25.15" customHeight="1">
      <c r="A760" s="32"/>
      <c r="B760" s="854" t="s">
        <v>57</v>
      </c>
      <c r="C760" s="854"/>
      <c r="D760" s="33" t="s">
        <v>51</v>
      </c>
      <c r="E760" s="34">
        <v>1.4285714285714285E-2</v>
      </c>
      <c r="F760" s="243">
        <f>SUMIF('Cjenik RS'!$C$11:$C$26,$B760,'Cjenik RS'!$D$11:$D$90)</f>
        <v>105.03</v>
      </c>
      <c r="G760" s="35">
        <f>+F760*E760</f>
        <v>1.5004285714285714</v>
      </c>
      <c r="I760" s="701"/>
      <c r="J760" s="33" t="s">
        <v>51</v>
      </c>
      <c r="K760" s="34">
        <v>1.2500000000000001E-2</v>
      </c>
      <c r="L760" s="243">
        <f>SUMIF('Cjenik RS'!$C$11:$C$26,$B760,'Cjenik RS'!$D$11:$D$90)</f>
        <v>105.03</v>
      </c>
      <c r="M760" s="35">
        <f>+L760*K760</f>
        <v>1.312875</v>
      </c>
    </row>
    <row r="761" spans="1:13" ht="25.15" customHeight="1">
      <c r="A761" s="16"/>
      <c r="B761" s="17" t="str">
        <f>'Obrazac kalkulacije'!$B$11</f>
        <v>Vozila, strojevi i oprema:</v>
      </c>
      <c r="C761" s="17"/>
      <c r="D761" s="16"/>
      <c r="E761" s="16"/>
      <c r="F761" s="243"/>
      <c r="G761" s="18">
        <f>SUM(G762:G772)</f>
        <v>6.4522321428571425</v>
      </c>
      <c r="I761" s="17"/>
      <c r="J761" s="16"/>
      <c r="K761" s="16"/>
      <c r="L761" s="243"/>
      <c r="M761" s="18">
        <f>SUM(M762:M772)</f>
        <v>5.909372649999999</v>
      </c>
    </row>
    <row r="762" spans="1:13" ht="25.15" customHeight="1">
      <c r="A762" s="56"/>
      <c r="B762" s="839" t="s">
        <v>75</v>
      </c>
      <c r="C762" s="839"/>
      <c r="D762" s="57" t="s">
        <v>51</v>
      </c>
      <c r="E762" s="92">
        <v>3.5714285714285714E-4</v>
      </c>
      <c r="F762" s="241">
        <f>SUMIF('Cjenik VSO'!$B$9:$B$85,$B762,'Cjenik VSO'!$C$9:$C$85)</f>
        <v>718.97</v>
      </c>
      <c r="G762" s="59">
        <f t="shared" ref="G762:G772" si="51">E762*F762</f>
        <v>0.25677500000000003</v>
      </c>
      <c r="I762" s="707"/>
      <c r="J762" s="57" t="s">
        <v>51</v>
      </c>
      <c r="K762" s="92">
        <v>2.34E-4</v>
      </c>
      <c r="L762" s="241">
        <f>SUMIF('Cjenik VSO'!$B$9:$B$85,$B762,'Cjenik VSO'!$C$9:$C$85)</f>
        <v>718.97</v>
      </c>
      <c r="M762" s="59">
        <f t="shared" ref="M762:M772" si="52">K762*L762</f>
        <v>0.16823898000000001</v>
      </c>
    </row>
    <row r="763" spans="1:13" ht="25.15" customHeight="1">
      <c r="A763" s="56"/>
      <c r="B763" s="839" t="s">
        <v>60</v>
      </c>
      <c r="C763" s="839"/>
      <c r="D763" s="57" t="s">
        <v>51</v>
      </c>
      <c r="E763" s="92">
        <v>7.1428571428571429E-4</v>
      </c>
      <c r="F763" s="241">
        <f>SUMIF('Cjenik VSO'!$B$9:$B$85,$B763,'Cjenik VSO'!$C$9:$C$85)</f>
        <v>328.73</v>
      </c>
      <c r="G763" s="59">
        <f t="shared" si="51"/>
        <v>0.23480714285714288</v>
      </c>
      <c r="I763" s="707"/>
      <c r="J763" s="57" t="s">
        <v>51</v>
      </c>
      <c r="K763" s="92">
        <v>6.3000000000000003E-4</v>
      </c>
      <c r="L763" s="241">
        <f>SUMIF('Cjenik VSO'!$B$9:$B$85,$B763,'Cjenik VSO'!$C$9:$C$85)</f>
        <v>328.73</v>
      </c>
      <c r="M763" s="59">
        <f t="shared" si="52"/>
        <v>0.20709990000000003</v>
      </c>
    </row>
    <row r="764" spans="1:13" ht="25.15" customHeight="1">
      <c r="A764" s="56"/>
      <c r="B764" s="839" t="s">
        <v>61</v>
      </c>
      <c r="C764" s="839"/>
      <c r="D764" s="57" t="s">
        <v>51</v>
      </c>
      <c r="E764" s="92">
        <v>7.1428571428571429E-4</v>
      </c>
      <c r="F764" s="241">
        <f>SUMIF('Cjenik VSO'!$B$9:$B$85,$B764,'Cjenik VSO'!$C$9:$C$85)</f>
        <v>62.67</v>
      </c>
      <c r="G764" s="59">
        <f t="shared" si="51"/>
        <v>4.4764285714285715E-2</v>
      </c>
      <c r="I764" s="707"/>
      <c r="J764" s="57" t="s">
        <v>51</v>
      </c>
      <c r="K764" s="92">
        <v>6.3000000000000003E-4</v>
      </c>
      <c r="L764" s="241">
        <f>SUMIF('Cjenik VSO'!$B$9:$B$85,$B764,'Cjenik VSO'!$C$9:$C$85)</f>
        <v>62.67</v>
      </c>
      <c r="M764" s="59">
        <f t="shared" si="52"/>
        <v>3.9482100000000006E-2</v>
      </c>
    </row>
    <row r="765" spans="1:13" ht="25.15" customHeight="1">
      <c r="A765" s="56"/>
      <c r="B765" s="839" t="s">
        <v>73</v>
      </c>
      <c r="C765" s="839"/>
      <c r="D765" s="57" t="s">
        <v>51</v>
      </c>
      <c r="E765" s="92">
        <v>7.1428571428571429E-4</v>
      </c>
      <c r="F765" s="241">
        <f>SUMIF('Cjenik VSO'!$B$9:$B$85,$B765,'Cjenik VSO'!$C$9:$C$85)</f>
        <v>291.72000000000003</v>
      </c>
      <c r="G765" s="59">
        <f t="shared" si="51"/>
        <v>0.2083714285714286</v>
      </c>
      <c r="I765" s="707"/>
      <c r="J765" s="57" t="s">
        <v>51</v>
      </c>
      <c r="K765" s="92">
        <v>5.9400000000000002E-4</v>
      </c>
      <c r="L765" s="241">
        <f>SUMIF('Cjenik VSO'!$B$9:$B$85,$B765,'Cjenik VSO'!$C$9:$C$85)</f>
        <v>291.72000000000003</v>
      </c>
      <c r="M765" s="59">
        <f t="shared" si="52"/>
        <v>0.17328168000000002</v>
      </c>
    </row>
    <row r="766" spans="1:13" ht="25.15" customHeight="1">
      <c r="A766" s="56"/>
      <c r="B766" s="839" t="s">
        <v>74</v>
      </c>
      <c r="C766" s="839"/>
      <c r="D766" s="57" t="s">
        <v>51</v>
      </c>
      <c r="E766" s="92">
        <v>3.2142857142857142E-3</v>
      </c>
      <c r="F766" s="241">
        <f>SUMIF('Cjenik VSO'!$B$9:$B$85,$B766,'Cjenik VSO'!$C$9:$C$85)</f>
        <v>355.64</v>
      </c>
      <c r="G766" s="59">
        <f t="shared" si="51"/>
        <v>1.1431285714285713</v>
      </c>
      <c r="I766" s="707"/>
      <c r="J766" s="57" t="s">
        <v>51</v>
      </c>
      <c r="K766" s="92">
        <v>2.3749999999999999E-3</v>
      </c>
      <c r="L766" s="241">
        <f>SUMIF('Cjenik VSO'!$B$9:$B$85,$B766,'Cjenik VSO'!$C$9:$C$85)</f>
        <v>355.64</v>
      </c>
      <c r="M766" s="59">
        <f t="shared" si="52"/>
        <v>0.84464499999999998</v>
      </c>
    </row>
    <row r="767" spans="1:13" ht="25.15" customHeight="1">
      <c r="A767" s="56"/>
      <c r="B767" s="839" t="s">
        <v>104</v>
      </c>
      <c r="C767" s="839"/>
      <c r="D767" s="57" t="s">
        <v>51</v>
      </c>
      <c r="E767" s="92">
        <v>2.8571428571428571E-3</v>
      </c>
      <c r="F767" s="241">
        <f>SUMIF('Cjenik VSO'!$B$9:$B$85,$B767,'Cjenik VSO'!$C$9:$C$85)</f>
        <v>693.43</v>
      </c>
      <c r="G767" s="59">
        <f t="shared" si="51"/>
        <v>1.9812285714285713</v>
      </c>
      <c r="I767" s="707"/>
      <c r="J767" s="57" t="s">
        <v>51</v>
      </c>
      <c r="K767" s="92">
        <v>2.5000000000000001E-3</v>
      </c>
      <c r="L767" s="241">
        <f>SUMIF('Cjenik VSO'!$B$9:$B$85,$B767,'Cjenik VSO'!$C$9:$C$85)</f>
        <v>693.43</v>
      </c>
      <c r="M767" s="59">
        <f t="shared" si="52"/>
        <v>1.7335749999999999</v>
      </c>
    </row>
    <row r="768" spans="1:13" ht="25.15" customHeight="1">
      <c r="A768" s="56"/>
      <c r="B768" s="839" t="s">
        <v>87</v>
      </c>
      <c r="C768" s="839"/>
      <c r="D768" s="57" t="s">
        <v>51</v>
      </c>
      <c r="E768" s="92">
        <v>1.4285714285714286E-3</v>
      </c>
      <c r="F768" s="241">
        <f>SUMIF('Cjenik VSO'!$B$9:$B$85,$B768,'Cjenik VSO'!$C$9:$C$85)</f>
        <v>240.85</v>
      </c>
      <c r="G768" s="59">
        <f t="shared" si="51"/>
        <v>0.34407142857142858</v>
      </c>
      <c r="I768" s="707"/>
      <c r="J768" s="57" t="s">
        <v>51</v>
      </c>
      <c r="K768" s="92">
        <v>2.5000000000000001E-3</v>
      </c>
      <c r="L768" s="241">
        <f>SUMIF('Cjenik VSO'!$B$9:$B$85,$B768,'Cjenik VSO'!$C$9:$C$85)</f>
        <v>240.85</v>
      </c>
      <c r="M768" s="59">
        <f t="shared" si="52"/>
        <v>0.60212500000000002</v>
      </c>
    </row>
    <row r="769" spans="1:13" ht="25.15" customHeight="1">
      <c r="A769" s="56"/>
      <c r="B769" s="839" t="s">
        <v>79</v>
      </c>
      <c r="C769" s="839"/>
      <c r="D769" s="57" t="s">
        <v>51</v>
      </c>
      <c r="E769" s="92">
        <v>2.5000000000000001E-3</v>
      </c>
      <c r="F769" s="241">
        <f>SUMIF('Cjenik VSO'!$B$9:$B$85,$B769,'Cjenik VSO'!$C$9:$C$85)</f>
        <v>199.57</v>
      </c>
      <c r="G769" s="59">
        <f t="shared" si="51"/>
        <v>0.49892500000000001</v>
      </c>
      <c r="I769" s="707"/>
      <c r="J769" s="57" t="s">
        <v>51</v>
      </c>
      <c r="K769" s="92">
        <v>2.5000000000000001E-3</v>
      </c>
      <c r="L769" s="241">
        <f>SUMIF('Cjenik VSO'!$B$9:$B$85,$B769,'Cjenik VSO'!$C$9:$C$85)</f>
        <v>199.57</v>
      </c>
      <c r="M769" s="59">
        <f t="shared" si="52"/>
        <v>0.49892500000000001</v>
      </c>
    </row>
    <row r="770" spans="1:13" ht="25.15" customHeight="1">
      <c r="A770" s="56"/>
      <c r="B770" s="839" t="s">
        <v>88</v>
      </c>
      <c r="C770" s="839"/>
      <c r="D770" s="57" t="s">
        <v>51</v>
      </c>
      <c r="E770" s="92">
        <v>5.0000000000000001E-3</v>
      </c>
      <c r="F770" s="241">
        <f>SUMIF('Cjenik VSO'!$B$9:$B$85,$B770,'Cjenik VSO'!$C$9:$C$85)</f>
        <v>269.36</v>
      </c>
      <c r="G770" s="59">
        <f t="shared" si="51"/>
        <v>1.3468</v>
      </c>
      <c r="I770" s="707"/>
      <c r="J770" s="57" t="s">
        <v>51</v>
      </c>
      <c r="K770" s="92">
        <v>5.0000000000000001E-3</v>
      </c>
      <c r="L770" s="241">
        <f>SUMIF('Cjenik VSO'!$B$9:$B$85,$B770,'Cjenik VSO'!$C$9:$C$85)</f>
        <v>269.36</v>
      </c>
      <c r="M770" s="59">
        <f t="shared" si="52"/>
        <v>1.3468</v>
      </c>
    </row>
    <row r="771" spans="1:13" ht="25.15" customHeight="1">
      <c r="A771" s="56"/>
      <c r="B771" s="839" t="s">
        <v>80</v>
      </c>
      <c r="C771" s="839"/>
      <c r="D771" s="57" t="s">
        <v>51</v>
      </c>
      <c r="E771" s="92">
        <v>7.1428571428571429E-4</v>
      </c>
      <c r="F771" s="241">
        <f>SUMIF('Cjenik VSO'!$B$9:$B$85,$B771,'Cjenik VSO'!$C$9:$C$85)</f>
        <v>68.709999999999994</v>
      </c>
      <c r="G771" s="59">
        <f t="shared" si="51"/>
        <v>4.9078571428571423E-2</v>
      </c>
      <c r="I771" s="707"/>
      <c r="J771" s="57" t="s">
        <v>51</v>
      </c>
      <c r="K771" s="92">
        <v>5.9400000000000002E-4</v>
      </c>
      <c r="L771" s="241">
        <f>SUMIF('Cjenik VSO'!$B$9:$B$85,$B771,'Cjenik VSO'!$C$9:$C$85)</f>
        <v>68.709999999999994</v>
      </c>
      <c r="M771" s="59">
        <f t="shared" si="52"/>
        <v>4.0813739999999994E-2</v>
      </c>
    </row>
    <row r="772" spans="1:13" ht="25.15" customHeight="1">
      <c r="A772" s="61"/>
      <c r="B772" s="855" t="s">
        <v>81</v>
      </c>
      <c r="C772" s="855"/>
      <c r="D772" s="62" t="s">
        <v>51</v>
      </c>
      <c r="E772" s="87">
        <v>3.2142857142857142E-3</v>
      </c>
      <c r="F772" s="242">
        <f>SUMIF('Cjenik VSO'!$B$9:$B$85,$B772,'Cjenik VSO'!$C$9:$C$85)</f>
        <v>107.11</v>
      </c>
      <c r="G772" s="64">
        <f t="shared" si="51"/>
        <v>0.34428214285714287</v>
      </c>
      <c r="I772" s="708"/>
      <c r="J772" s="62" t="s">
        <v>51</v>
      </c>
      <c r="K772" s="87">
        <v>2.3749999999999999E-3</v>
      </c>
      <c r="L772" s="242">
        <f>SUMIF('Cjenik VSO'!$B$9:$B$85,$B772,'Cjenik VSO'!$C$9:$C$85)</f>
        <v>107.11</v>
      </c>
      <c r="M772" s="64">
        <f t="shared" si="52"/>
        <v>0.25438624999999998</v>
      </c>
    </row>
    <row r="773" spans="1:13" ht="25.15" customHeight="1">
      <c r="A773" s="16"/>
      <c r="B773" s="851" t="str">
        <f>'Obrazac kalkulacije'!$B$15</f>
        <v>Materijali:</v>
      </c>
      <c r="C773" s="851"/>
      <c r="D773" s="16"/>
      <c r="E773" s="16"/>
      <c r="F773" s="243"/>
      <c r="G773" s="18">
        <f>SUM(G774:G775)</f>
        <v>62.85</v>
      </c>
      <c r="I773" s="709"/>
      <c r="J773" s="16"/>
      <c r="K773" s="16"/>
      <c r="L773" s="243"/>
      <c r="M773" s="18">
        <f>SUM(M774:M775)</f>
        <v>62.85</v>
      </c>
    </row>
    <row r="774" spans="1:13" ht="25.15" customHeight="1">
      <c r="A774" s="77"/>
      <c r="B774" s="856" t="str">
        <f>'Cjenik M'!$B$20</f>
        <v>Razrjeđivač za drvo</v>
      </c>
      <c r="C774" s="856"/>
      <c r="D774" s="78" t="str">
        <f>'Cjenik M'!$C$20</f>
        <v>l</v>
      </c>
      <c r="E774" s="79">
        <v>0.125</v>
      </c>
      <c r="F774" s="254">
        <f>'Cjenik M'!$D$20</f>
        <v>22.8</v>
      </c>
      <c r="G774" s="80">
        <f>+F774*E774</f>
        <v>2.85</v>
      </c>
      <c r="I774" s="710"/>
      <c r="J774" s="78" t="str">
        <f>'Cjenik M'!$C$20</f>
        <v>l</v>
      </c>
      <c r="K774" s="79">
        <v>0.125</v>
      </c>
      <c r="L774" s="254">
        <f>'Cjenik M'!$D$20</f>
        <v>22.8</v>
      </c>
      <c r="M774" s="80">
        <f>+L774*K774</f>
        <v>2.85</v>
      </c>
    </row>
    <row r="775" spans="1:13" ht="25.15" customHeight="1" thickBot="1">
      <c r="A775" s="74"/>
      <c r="B775" s="853" t="str">
        <f>'Cjenik M'!$B$21</f>
        <v>Oznaka ulice</v>
      </c>
      <c r="C775" s="853"/>
      <c r="D775" s="67" t="str">
        <f>'Cjenik M'!$C$21</f>
        <v>kom</v>
      </c>
      <c r="E775" s="81">
        <v>0.4</v>
      </c>
      <c r="F775" s="249">
        <f>'Cjenik M'!$D$21</f>
        <v>150</v>
      </c>
      <c r="G775" s="70">
        <f>+F775*E775</f>
        <v>60</v>
      </c>
      <c r="I775" s="706"/>
      <c r="J775" s="67" t="str">
        <f>'Cjenik M'!$C$21</f>
        <v>kom</v>
      </c>
      <c r="K775" s="81">
        <v>0.4</v>
      </c>
      <c r="L775" s="249">
        <f>'Cjenik M'!$D$21</f>
        <v>150</v>
      </c>
      <c r="M775" s="70">
        <f>+L775*K775</f>
        <v>60</v>
      </c>
    </row>
    <row r="776" spans="1:13" ht="25.15" customHeight="1" thickTop="1" thickBot="1">
      <c r="B776" s="47"/>
      <c r="C776" s="24"/>
      <c r="D776" s="25"/>
      <c r="E776" s="147" t="str">
        <f>'Obrazac kalkulacije'!$E$18</f>
        <v>Ukupno (kn):</v>
      </c>
      <c r="F776" s="255"/>
      <c r="G776" s="26">
        <f>ROUND(SUM(G759+G761+G773),2)</f>
        <v>70.8</v>
      </c>
      <c r="H776" s="269"/>
      <c r="I776" s="24"/>
      <c r="J776" s="25"/>
      <c r="K776" s="147" t="str">
        <f>'Obrazac kalkulacije'!$E$18</f>
        <v>Ukupno (kn):</v>
      </c>
      <c r="L776" s="255"/>
      <c r="M776" s="26">
        <f>ROUND(SUM(M759+M761+M773),2)</f>
        <v>70.069999999999993</v>
      </c>
    </row>
    <row r="777" spans="1:13" ht="25.15" customHeight="1" thickTop="1" thickBot="1">
      <c r="E777" s="27" t="str">
        <f>'Obrazac kalkulacije'!$E$19</f>
        <v>PDV:</v>
      </c>
      <c r="F777" s="248">
        <f>'Obrazac kalkulacije'!$F$19</f>
        <v>0.25</v>
      </c>
      <c r="G777" s="29">
        <f>G776*F777</f>
        <v>17.7</v>
      </c>
      <c r="H777" s="561"/>
      <c r="K777" s="27" t="str">
        <f>'Obrazac kalkulacije'!$E$19</f>
        <v>PDV:</v>
      </c>
      <c r="L777" s="248">
        <f>'Obrazac kalkulacije'!$F$19</f>
        <v>0.25</v>
      </c>
      <c r="M777" s="29">
        <f>M776*L777</f>
        <v>17.517499999999998</v>
      </c>
    </row>
    <row r="778" spans="1:13" ht="25.15" customHeight="1" thickTop="1" thickBot="1">
      <c r="E778" s="148" t="str">
        <f>'Obrazac kalkulacije'!$E$20</f>
        <v>Sveukupno (kn):</v>
      </c>
      <c r="F778" s="256"/>
      <c r="G778" s="29">
        <f>ROUND(SUM(G776:G777),2)</f>
        <v>88.5</v>
      </c>
      <c r="H778" s="562"/>
      <c r="K778" s="148" t="str">
        <f>'Obrazac kalkulacije'!$E$20</f>
        <v>Sveukupno (kn):</v>
      </c>
      <c r="L778" s="256"/>
      <c r="M778" s="29">
        <f>ROUND(SUM(M776:M777),2)</f>
        <v>87.59</v>
      </c>
    </row>
    <row r="779" spans="1:13" ht="15" customHeight="1" thickTop="1"/>
    <row r="780" spans="1:13" ht="15" customHeight="1"/>
    <row r="781" spans="1:13" ht="15" customHeight="1"/>
    <row r="782" spans="1:13" ht="15" customHeight="1">
      <c r="C782" s="3" t="str">
        <f>'Obrazac kalkulacije'!$C$24</f>
        <v>IZVODITELJ:</v>
      </c>
      <c r="F782" s="841" t="str">
        <f>'Obrazac kalkulacije'!$F$24</f>
        <v>NARUČITELJ:</v>
      </c>
      <c r="G782" s="841"/>
      <c r="I782" s="3" t="str">
        <f>'Obrazac kalkulacije'!$C$24</f>
        <v>IZVODITELJ:</v>
      </c>
      <c r="L782" s="841" t="str">
        <f>'Obrazac kalkulacije'!$F$24</f>
        <v>NARUČITELJ:</v>
      </c>
      <c r="M782" s="841"/>
    </row>
    <row r="783" spans="1:13" ht="25.15" customHeight="1">
      <c r="C783" s="3" t="str">
        <f>'Obrazac kalkulacije'!$C$25</f>
        <v>__________________</v>
      </c>
      <c r="F783" s="841" t="str">
        <f>'Obrazac kalkulacije'!$F$25</f>
        <v>___________________</v>
      </c>
      <c r="G783" s="841"/>
      <c r="I783" s="3" t="str">
        <f>'Obrazac kalkulacije'!$C$25</f>
        <v>__________________</v>
      </c>
      <c r="L783" s="841" t="str">
        <f>'Obrazac kalkulacije'!$F$25</f>
        <v>___________________</v>
      </c>
      <c r="M783" s="841"/>
    </row>
    <row r="784" spans="1:13" ht="15" customHeight="1">
      <c r="G784" s="30"/>
      <c r="M784" s="30"/>
    </row>
    <row r="785" spans="1:13" ht="15" customHeight="1"/>
    <row r="786" spans="1:13" ht="15" customHeight="1">
      <c r="A786" s="144"/>
      <c r="B786" s="145" t="s">
        <v>17</v>
      </c>
      <c r="C786" s="146" t="s">
        <v>56</v>
      </c>
      <c r="D786" s="146"/>
      <c r="E786" s="146"/>
      <c r="F786" s="252"/>
      <c r="G786" s="146"/>
      <c r="I786" s="146" t="s">
        <v>56</v>
      </c>
      <c r="J786" s="146"/>
      <c r="K786" s="146"/>
      <c r="L786" s="252"/>
      <c r="M786" s="146"/>
    </row>
    <row r="787" spans="1:13" ht="15" customHeight="1">
      <c r="A787" s="38"/>
      <c r="B787" s="39" t="s">
        <v>64</v>
      </c>
      <c r="C787" s="8" t="s">
        <v>65</v>
      </c>
      <c r="D787" s="8"/>
      <c r="E787" s="8"/>
      <c r="F787" s="253"/>
      <c r="G787" s="8"/>
      <c r="I787" s="8" t="s">
        <v>65</v>
      </c>
      <c r="J787" s="8"/>
      <c r="K787" s="8"/>
      <c r="L787" s="253"/>
      <c r="M787" s="8"/>
    </row>
    <row r="788" spans="1:13" ht="15" customHeight="1">
      <c r="A788" s="48"/>
      <c r="B788" s="49" t="s">
        <v>128</v>
      </c>
      <c r="C788" s="50" t="s">
        <v>129</v>
      </c>
      <c r="D788" s="50"/>
      <c r="E788" s="50"/>
      <c r="F788" s="250"/>
      <c r="G788" s="50"/>
      <c r="I788" s="50" t="s">
        <v>129</v>
      </c>
      <c r="J788" s="50"/>
      <c r="K788" s="50"/>
      <c r="L788" s="250"/>
      <c r="M788" s="50"/>
    </row>
    <row r="789" spans="1:13" ht="150" customHeight="1">
      <c r="A789" s="40"/>
      <c r="B789" s="556" t="s">
        <v>151</v>
      </c>
      <c r="C789" s="852" t="s">
        <v>152</v>
      </c>
      <c r="D789" s="852"/>
      <c r="E789" s="852"/>
      <c r="F789" s="852"/>
      <c r="G789" s="852"/>
      <c r="I789" s="869" t="s">
        <v>153</v>
      </c>
      <c r="J789" s="869"/>
      <c r="K789" s="869"/>
      <c r="L789" s="869"/>
      <c r="M789" s="869"/>
    </row>
    <row r="790" spans="1:13" ht="15" customHeight="1" thickBot="1"/>
    <row r="791" spans="1:13" ht="30" customHeight="1" thickTop="1" thickBot="1">
      <c r="A791" s="10"/>
      <c r="B791" s="835" t="str">
        <f>'Obrazac kalkulacije'!$B$6:$C$6</f>
        <v>Opis</v>
      </c>
      <c r="C791" s="835"/>
      <c r="D791" s="10" t="str">
        <f>'Obrazac kalkulacije'!$D$6</f>
        <v>Jed.
mjere</v>
      </c>
      <c r="E791" s="10" t="str">
        <f>'Obrazac kalkulacije'!$E$6</f>
        <v>Normativ</v>
      </c>
      <c r="F791" s="10" t="str">
        <f>'Obrazac kalkulacije'!$F$6</f>
        <v>Jed.
cijena</v>
      </c>
      <c r="G791" s="10" t="str">
        <f>'Obrazac kalkulacije'!$G$6</f>
        <v>Iznos</v>
      </c>
      <c r="H791" s="622">
        <v>4300</v>
      </c>
      <c r="I791" s="703"/>
      <c r="J791" s="10" t="str">
        <f>'Obrazac kalkulacije'!$D$6</f>
        <v>Jed.
mjere</v>
      </c>
      <c r="K791" s="10" t="str">
        <f>'Obrazac kalkulacije'!$E$6</f>
        <v>Normativ</v>
      </c>
      <c r="L791" s="10" t="str">
        <f>'Obrazac kalkulacije'!$F$6</f>
        <v>Jed.
cijena</v>
      </c>
      <c r="M791" s="10" t="str">
        <f>'Obrazac kalkulacije'!$G$6</f>
        <v>Iznos</v>
      </c>
    </row>
    <row r="792" spans="1:13" ht="4.5" customHeight="1" thickTop="1">
      <c r="B792" s="42"/>
      <c r="C792" s="1"/>
      <c r="D792" s="11"/>
      <c r="E792" s="13"/>
      <c r="F792" s="245"/>
      <c r="G792" s="15"/>
      <c r="I792" s="1"/>
      <c r="J792" s="11"/>
      <c r="K792" s="13"/>
      <c r="L792" s="245"/>
      <c r="M792" s="15"/>
    </row>
    <row r="793" spans="1:13" ht="25.15" customHeight="1">
      <c r="A793" s="16"/>
      <c r="B793" s="17" t="str">
        <f>'Obrazac kalkulacije'!$B$8</f>
        <v>Radna snaga:</v>
      </c>
      <c r="C793" s="17"/>
      <c r="D793" s="16"/>
      <c r="E793" s="16"/>
      <c r="F793" s="246"/>
      <c r="G793" s="18">
        <f>SUM(G794:G794)</f>
        <v>0.97702325581395344</v>
      </c>
      <c r="I793" s="17"/>
      <c r="J793" s="16"/>
      <c r="K793" s="16"/>
      <c r="L793" s="246"/>
      <c r="M793" s="18">
        <f>SUM(M794:M794)</f>
        <v>0.87521499000000003</v>
      </c>
    </row>
    <row r="794" spans="1:13" ht="25.15" customHeight="1">
      <c r="A794" s="32"/>
      <c r="B794" s="854" t="s">
        <v>57</v>
      </c>
      <c r="C794" s="854"/>
      <c r="D794" s="33" t="s">
        <v>51</v>
      </c>
      <c r="E794" s="34">
        <f>H794/H$791</f>
        <v>9.3023255813953487E-3</v>
      </c>
      <c r="F794" s="243">
        <f>SUMIF('Cjenik RS'!$C$11:$C$26,$B794,'Cjenik RS'!$D$11:$D$90)</f>
        <v>105.03</v>
      </c>
      <c r="G794" s="35">
        <f>+F794*E794</f>
        <v>0.97702325581395344</v>
      </c>
      <c r="H794" s="560">
        <v>40</v>
      </c>
      <c r="I794" s="701"/>
      <c r="J794" s="33" t="s">
        <v>51</v>
      </c>
      <c r="K794" s="34">
        <v>8.3330000000000001E-3</v>
      </c>
      <c r="L794" s="243">
        <f>SUMIF('Cjenik RS'!$C$11:$C$26,$B794,'Cjenik RS'!$D$11:$D$90)</f>
        <v>105.03</v>
      </c>
      <c r="M794" s="35">
        <f>+L794*K794</f>
        <v>0.87521499000000003</v>
      </c>
    </row>
    <row r="795" spans="1:13" ht="25.15" customHeight="1">
      <c r="A795" s="16"/>
      <c r="B795" s="17" t="str">
        <f>'Obrazac kalkulacije'!$B$11</f>
        <v>Vozila, strojevi i oprema:</v>
      </c>
      <c r="C795" s="17"/>
      <c r="D795" s="16"/>
      <c r="E795" s="16"/>
      <c r="F795" s="243"/>
      <c r="G795" s="18">
        <f>SUM(G796:G806)</f>
        <v>4.2014534883720929</v>
      </c>
      <c r="I795" s="17"/>
      <c r="J795" s="16"/>
      <c r="K795" s="16"/>
      <c r="L795" s="243"/>
      <c r="M795" s="18">
        <f>SUM(M796:M806)</f>
        <v>3.9311048799999999</v>
      </c>
    </row>
    <row r="796" spans="1:13" ht="25.15" customHeight="1">
      <c r="A796" s="56"/>
      <c r="B796" s="839" t="s">
        <v>75</v>
      </c>
      <c r="C796" s="839"/>
      <c r="D796" s="57" t="s">
        <v>51</v>
      </c>
      <c r="E796" s="34">
        <f t="shared" ref="E796:E806" si="53">H796/H$791</f>
        <v>2.3255813953488373E-4</v>
      </c>
      <c r="F796" s="241">
        <f>SUMIF('Cjenik VSO'!$B$9:$B$85,$B796,'Cjenik VSO'!$C$9:$C$85)</f>
        <v>718.97</v>
      </c>
      <c r="G796" s="59">
        <f t="shared" ref="G796:G806" si="54">E796*F796</f>
        <v>0.16720232558139536</v>
      </c>
      <c r="H796" s="560">
        <v>1</v>
      </c>
      <c r="I796" s="707"/>
      <c r="J796" s="57" t="s">
        <v>51</v>
      </c>
      <c r="K796" s="92">
        <v>1.56E-4</v>
      </c>
      <c r="L796" s="241">
        <f>SUMIF('Cjenik VSO'!$B$9:$B$85,$B796,'Cjenik VSO'!$C$9:$C$85)</f>
        <v>718.97</v>
      </c>
      <c r="M796" s="59">
        <f t="shared" ref="M796:M806" si="55">K796*L796</f>
        <v>0.11215932000000001</v>
      </c>
    </row>
    <row r="797" spans="1:13" ht="25.15" customHeight="1">
      <c r="A797" s="56"/>
      <c r="B797" s="839" t="s">
        <v>60</v>
      </c>
      <c r="C797" s="839"/>
      <c r="D797" s="57" t="s">
        <v>51</v>
      </c>
      <c r="E797" s="34">
        <f t="shared" si="53"/>
        <v>4.6511627906976747E-4</v>
      </c>
      <c r="F797" s="241">
        <f>SUMIF('Cjenik VSO'!$B$9:$B$85,$B797,'Cjenik VSO'!$C$9:$C$85)</f>
        <v>328.73</v>
      </c>
      <c r="G797" s="59">
        <f t="shared" si="54"/>
        <v>0.15289767441860466</v>
      </c>
      <c r="H797" s="560">
        <v>2</v>
      </c>
      <c r="I797" s="707"/>
      <c r="J797" s="57" t="s">
        <v>51</v>
      </c>
      <c r="K797" s="92">
        <v>3.9800000000000002E-4</v>
      </c>
      <c r="L797" s="241">
        <f>SUMIF('Cjenik VSO'!$B$9:$B$85,$B797,'Cjenik VSO'!$C$9:$C$85)</f>
        <v>328.73</v>
      </c>
      <c r="M797" s="59">
        <f t="shared" si="55"/>
        <v>0.13083454000000003</v>
      </c>
    </row>
    <row r="798" spans="1:13" ht="25.15" customHeight="1">
      <c r="A798" s="56"/>
      <c r="B798" s="839" t="s">
        <v>61</v>
      </c>
      <c r="C798" s="839"/>
      <c r="D798" s="57" t="s">
        <v>51</v>
      </c>
      <c r="E798" s="34">
        <f t="shared" si="53"/>
        <v>4.6511627906976747E-4</v>
      </c>
      <c r="F798" s="241">
        <f>SUMIF('Cjenik VSO'!$B$9:$B$85,$B798,'Cjenik VSO'!$C$9:$C$85)</f>
        <v>62.67</v>
      </c>
      <c r="G798" s="59">
        <f t="shared" si="54"/>
        <v>2.9148837209302329E-2</v>
      </c>
      <c r="H798" s="560">
        <v>2</v>
      </c>
      <c r="I798" s="707"/>
      <c r="J798" s="57" t="s">
        <v>51</v>
      </c>
      <c r="K798" s="92">
        <v>3.9800000000000002E-4</v>
      </c>
      <c r="L798" s="241">
        <f>SUMIF('Cjenik VSO'!$B$9:$B$85,$B798,'Cjenik VSO'!$C$9:$C$85)</f>
        <v>62.67</v>
      </c>
      <c r="M798" s="59">
        <f t="shared" si="55"/>
        <v>2.4942660000000002E-2</v>
      </c>
    </row>
    <row r="799" spans="1:13" ht="25.15" customHeight="1">
      <c r="A799" s="56"/>
      <c r="B799" s="839" t="s">
        <v>73</v>
      </c>
      <c r="C799" s="839"/>
      <c r="D799" s="57" t="s">
        <v>51</v>
      </c>
      <c r="E799" s="34">
        <f t="shared" si="53"/>
        <v>4.6511627906976747E-4</v>
      </c>
      <c r="F799" s="241">
        <f>SUMIF('Cjenik VSO'!$B$9:$B$85,$B799,'Cjenik VSO'!$C$9:$C$85)</f>
        <v>291.72000000000003</v>
      </c>
      <c r="G799" s="59">
        <f t="shared" si="54"/>
        <v>0.13568372093023257</v>
      </c>
      <c r="H799" s="560">
        <v>2</v>
      </c>
      <c r="I799" s="707"/>
      <c r="J799" s="57" t="s">
        <v>51</v>
      </c>
      <c r="K799" s="92">
        <v>3.9599999999999998E-4</v>
      </c>
      <c r="L799" s="241">
        <f>SUMIF('Cjenik VSO'!$B$9:$B$85,$B799,'Cjenik VSO'!$C$9:$C$85)</f>
        <v>291.72000000000003</v>
      </c>
      <c r="M799" s="59">
        <f t="shared" si="55"/>
        <v>0.11552112</v>
      </c>
    </row>
    <row r="800" spans="1:13" ht="25.15" customHeight="1">
      <c r="A800" s="56"/>
      <c r="B800" s="839" t="s">
        <v>74</v>
      </c>
      <c r="C800" s="839"/>
      <c r="D800" s="57" t="s">
        <v>51</v>
      </c>
      <c r="E800" s="34">
        <f t="shared" si="53"/>
        <v>2.0930232558139536E-3</v>
      </c>
      <c r="F800" s="241">
        <f>SUMIF('Cjenik VSO'!$B$9:$B$85,$B800,'Cjenik VSO'!$C$9:$C$85)</f>
        <v>355.64</v>
      </c>
      <c r="G800" s="59">
        <f t="shared" si="54"/>
        <v>0.74436279069767441</v>
      </c>
      <c r="H800" s="560">
        <v>9</v>
      </c>
      <c r="I800" s="707"/>
      <c r="J800" s="57" t="s">
        <v>51</v>
      </c>
      <c r="K800" s="92">
        <v>1.583E-3</v>
      </c>
      <c r="L800" s="241">
        <f>SUMIF('Cjenik VSO'!$B$9:$B$85,$B800,'Cjenik VSO'!$C$9:$C$85)</f>
        <v>355.64</v>
      </c>
      <c r="M800" s="59">
        <f t="shared" si="55"/>
        <v>0.56297812000000003</v>
      </c>
    </row>
    <row r="801" spans="1:13" ht="25.15" customHeight="1">
      <c r="A801" s="56"/>
      <c r="B801" s="839" t="s">
        <v>104</v>
      </c>
      <c r="C801" s="839"/>
      <c r="D801" s="57" t="s">
        <v>51</v>
      </c>
      <c r="E801" s="34">
        <f t="shared" si="53"/>
        <v>1.8604651162790699E-3</v>
      </c>
      <c r="F801" s="241">
        <f>SUMIF('Cjenik VSO'!$B$9:$B$85,$B801,'Cjenik VSO'!$C$9:$C$85)</f>
        <v>693.43</v>
      </c>
      <c r="G801" s="59">
        <f t="shared" si="54"/>
        <v>1.2901023255813953</v>
      </c>
      <c r="H801" s="560">
        <v>8</v>
      </c>
      <c r="I801" s="707"/>
      <c r="J801" s="57" t="s">
        <v>51</v>
      </c>
      <c r="K801" s="92">
        <v>1.6670000000000001E-3</v>
      </c>
      <c r="L801" s="241">
        <f>SUMIF('Cjenik VSO'!$B$9:$B$85,$B801,'Cjenik VSO'!$C$9:$C$85)</f>
        <v>693.43</v>
      </c>
      <c r="M801" s="59">
        <f t="shared" si="55"/>
        <v>1.15594781</v>
      </c>
    </row>
    <row r="802" spans="1:13" ht="25.15" customHeight="1">
      <c r="A802" s="56"/>
      <c r="B802" s="839" t="s">
        <v>87</v>
      </c>
      <c r="C802" s="839"/>
      <c r="D802" s="57" t="s">
        <v>51</v>
      </c>
      <c r="E802" s="34">
        <f t="shared" si="53"/>
        <v>9.3023255813953494E-4</v>
      </c>
      <c r="F802" s="241">
        <f>SUMIF('Cjenik VSO'!$B$9:$B$85,$B802,'Cjenik VSO'!$C$9:$C$85)</f>
        <v>240.85</v>
      </c>
      <c r="G802" s="59">
        <f t="shared" si="54"/>
        <v>0.22404651162790698</v>
      </c>
      <c r="H802" s="560">
        <v>4</v>
      </c>
      <c r="I802" s="707"/>
      <c r="J802" s="57" t="s">
        <v>51</v>
      </c>
      <c r="K802" s="92">
        <v>1.6670000000000001E-3</v>
      </c>
      <c r="L802" s="241">
        <f>SUMIF('Cjenik VSO'!$B$9:$B$85,$B802,'Cjenik VSO'!$C$9:$C$85)</f>
        <v>240.85</v>
      </c>
      <c r="M802" s="59">
        <f t="shared" si="55"/>
        <v>0.40149695000000002</v>
      </c>
    </row>
    <row r="803" spans="1:13" ht="25.15" customHeight="1">
      <c r="A803" s="56"/>
      <c r="B803" s="839" t="s">
        <v>79</v>
      </c>
      <c r="C803" s="839"/>
      <c r="D803" s="57" t="s">
        <v>51</v>
      </c>
      <c r="E803" s="34">
        <f t="shared" si="53"/>
        <v>1.6279069767441861E-3</v>
      </c>
      <c r="F803" s="241">
        <f>SUMIF('Cjenik VSO'!$B$9:$B$85,$B803,'Cjenik VSO'!$C$9:$C$85)</f>
        <v>199.57</v>
      </c>
      <c r="G803" s="59">
        <f t="shared" si="54"/>
        <v>0.3248813953488372</v>
      </c>
      <c r="H803" s="560">
        <v>7</v>
      </c>
      <c r="I803" s="707"/>
      <c r="J803" s="57" t="s">
        <v>51</v>
      </c>
      <c r="K803" s="92">
        <v>1.6670000000000001E-3</v>
      </c>
      <c r="L803" s="241">
        <f>SUMIF('Cjenik VSO'!$B$9:$B$85,$B803,'Cjenik VSO'!$C$9:$C$85)</f>
        <v>199.57</v>
      </c>
      <c r="M803" s="59">
        <f t="shared" si="55"/>
        <v>0.33268319000000002</v>
      </c>
    </row>
    <row r="804" spans="1:13" ht="25.15" customHeight="1">
      <c r="A804" s="56"/>
      <c r="B804" s="839" t="s">
        <v>88</v>
      </c>
      <c r="C804" s="839"/>
      <c r="D804" s="57" t="s">
        <v>51</v>
      </c>
      <c r="E804" s="34">
        <f t="shared" si="53"/>
        <v>3.2558139534883722E-3</v>
      </c>
      <c r="F804" s="241">
        <f>SUMIF('Cjenik VSO'!$B$9:$B$85,$B804,'Cjenik VSO'!$C$9:$C$85)</f>
        <v>269.36</v>
      </c>
      <c r="G804" s="59">
        <f t="shared" si="54"/>
        <v>0.87698604651162804</v>
      </c>
      <c r="H804" s="560">
        <v>14</v>
      </c>
      <c r="I804" s="707"/>
      <c r="J804" s="57" t="s">
        <v>51</v>
      </c>
      <c r="K804" s="92">
        <v>3.333E-3</v>
      </c>
      <c r="L804" s="241">
        <f>SUMIF('Cjenik VSO'!$B$9:$B$85,$B804,'Cjenik VSO'!$C$9:$C$85)</f>
        <v>269.36</v>
      </c>
      <c r="M804" s="59">
        <f t="shared" si="55"/>
        <v>0.89777688</v>
      </c>
    </row>
    <row r="805" spans="1:13" ht="25.15" customHeight="1">
      <c r="A805" s="56"/>
      <c r="B805" s="839" t="s">
        <v>80</v>
      </c>
      <c r="C805" s="839"/>
      <c r="D805" s="57" t="s">
        <v>51</v>
      </c>
      <c r="E805" s="34">
        <f t="shared" si="53"/>
        <v>4.6511627906976747E-4</v>
      </c>
      <c r="F805" s="241">
        <f>SUMIF('Cjenik VSO'!$B$9:$B$85,$B805,'Cjenik VSO'!$C$9:$C$85)</f>
        <v>68.709999999999994</v>
      </c>
      <c r="G805" s="59">
        <f t="shared" si="54"/>
        <v>3.1958139534883717E-2</v>
      </c>
      <c r="H805" s="560">
        <v>2</v>
      </c>
      <c r="I805" s="707"/>
      <c r="J805" s="57" t="s">
        <v>51</v>
      </c>
      <c r="K805" s="92">
        <v>3.9599999999999998E-4</v>
      </c>
      <c r="L805" s="241">
        <f>SUMIF('Cjenik VSO'!$B$9:$B$85,$B805,'Cjenik VSO'!$C$9:$C$85)</f>
        <v>68.709999999999994</v>
      </c>
      <c r="M805" s="59">
        <f t="shared" si="55"/>
        <v>2.7209159999999996E-2</v>
      </c>
    </row>
    <row r="806" spans="1:13" ht="25.15" customHeight="1">
      <c r="A806" s="61"/>
      <c r="B806" s="855" t="s">
        <v>81</v>
      </c>
      <c r="C806" s="855"/>
      <c r="D806" s="62" t="s">
        <v>51</v>
      </c>
      <c r="E806" s="34">
        <f t="shared" si="53"/>
        <v>2.0930232558139536E-3</v>
      </c>
      <c r="F806" s="242">
        <f>SUMIF('Cjenik VSO'!$B$9:$B$85,$B806,'Cjenik VSO'!$C$9:$C$85)</f>
        <v>107.11</v>
      </c>
      <c r="G806" s="64">
        <f t="shared" si="54"/>
        <v>0.22418372093023256</v>
      </c>
      <c r="H806" s="560">
        <v>9</v>
      </c>
      <c r="I806" s="708"/>
      <c r="J806" s="62" t="s">
        <v>51</v>
      </c>
      <c r="K806" s="87">
        <v>1.583E-3</v>
      </c>
      <c r="L806" s="242">
        <f>SUMIF('Cjenik VSO'!$B$9:$B$85,$B806,'Cjenik VSO'!$C$9:$C$85)</f>
        <v>107.11</v>
      </c>
      <c r="M806" s="64">
        <f t="shared" si="55"/>
        <v>0.16955513</v>
      </c>
    </row>
    <row r="807" spans="1:13" ht="25.15" customHeight="1">
      <c r="A807" s="16"/>
      <c r="B807" s="851" t="str">
        <f>'Obrazac kalkulacije'!$B$15</f>
        <v>Materijali:</v>
      </c>
      <c r="C807" s="851"/>
      <c r="D807" s="16"/>
      <c r="E807" s="16"/>
      <c r="F807" s="243"/>
      <c r="G807" s="18">
        <f>SUM(G808:G809)</f>
        <v>60.922499999999999</v>
      </c>
      <c r="I807" s="709"/>
      <c r="J807" s="16"/>
      <c r="K807" s="16"/>
      <c r="L807" s="243"/>
      <c r="M807" s="18">
        <f>SUM(M808:M809)</f>
        <v>60.922499999999999</v>
      </c>
    </row>
    <row r="808" spans="1:13" ht="25.15" customHeight="1">
      <c r="A808" s="77"/>
      <c r="B808" s="856" t="str">
        <f>'Cjenik M'!$B$18</f>
        <v>Mikrokomplex balance za fontanu</v>
      </c>
      <c r="C808" s="856"/>
      <c r="D808" s="78" t="str">
        <f>'Cjenik M'!$C$18</f>
        <v>l</v>
      </c>
      <c r="E808" s="79">
        <v>7.4999999999999997E-2</v>
      </c>
      <c r="F808" s="254">
        <f>'Cjenik M'!$D$18</f>
        <v>12.3</v>
      </c>
      <c r="G808" s="80">
        <f>+F808*E808</f>
        <v>0.92249999999999999</v>
      </c>
      <c r="I808" s="710"/>
      <c r="J808" s="78" t="str">
        <f>'Cjenik M'!$C$18</f>
        <v>l</v>
      </c>
      <c r="K808" s="79">
        <v>7.4999999999999997E-2</v>
      </c>
      <c r="L808" s="254">
        <f>'Cjenik M'!$D$18</f>
        <v>12.3</v>
      </c>
      <c r="M808" s="80">
        <f>+L808*K808</f>
        <v>0.92249999999999999</v>
      </c>
    </row>
    <row r="809" spans="1:13" ht="25.15" customHeight="1" thickBot="1">
      <c r="A809" s="74"/>
      <c r="B809" s="853" t="str">
        <f>'Cjenik M'!$B$21</f>
        <v>Oznaka ulice</v>
      </c>
      <c r="C809" s="853"/>
      <c r="D809" s="67" t="str">
        <f>'Cjenik M'!$C$21</f>
        <v>kom</v>
      </c>
      <c r="E809" s="81">
        <v>0.4</v>
      </c>
      <c r="F809" s="249">
        <f>'Cjenik M'!$D$21</f>
        <v>150</v>
      </c>
      <c r="G809" s="70">
        <f>+F809*E809</f>
        <v>60</v>
      </c>
      <c r="I809" s="706"/>
      <c r="J809" s="67" t="str">
        <f>'Cjenik M'!$C$21</f>
        <v>kom</v>
      </c>
      <c r="K809" s="81">
        <v>0.4</v>
      </c>
      <c r="L809" s="249">
        <f>'Cjenik M'!$D$21</f>
        <v>150</v>
      </c>
      <c r="M809" s="70">
        <f>+L809*K809</f>
        <v>60</v>
      </c>
    </row>
    <row r="810" spans="1:13" ht="25.15" customHeight="1" thickTop="1" thickBot="1">
      <c r="B810" s="47"/>
      <c r="C810" s="24"/>
      <c r="D810" s="25"/>
      <c r="E810" s="147" t="str">
        <f>'Obrazac kalkulacije'!$E$18</f>
        <v>Ukupno (kn):</v>
      </c>
      <c r="F810" s="255"/>
      <c r="G810" s="26">
        <f>ROUND(SUM(G793+G795+G807),2)</f>
        <v>66.099999999999994</v>
      </c>
      <c r="H810" s="269"/>
      <c r="I810" s="24"/>
      <c r="J810" s="25"/>
      <c r="K810" s="147" t="str">
        <f>'Obrazac kalkulacije'!$E$18</f>
        <v>Ukupno (kn):</v>
      </c>
      <c r="L810" s="255"/>
      <c r="M810" s="26">
        <f>ROUND(SUM(M793+M795+M807),2)</f>
        <v>65.73</v>
      </c>
    </row>
    <row r="811" spans="1:13" ht="25.15" customHeight="1" thickTop="1" thickBot="1">
      <c r="E811" s="27" t="str">
        <f>'Obrazac kalkulacije'!$E$19</f>
        <v>PDV:</v>
      </c>
      <c r="F811" s="248">
        <f>'Obrazac kalkulacije'!$F$19</f>
        <v>0.25</v>
      </c>
      <c r="G811" s="29">
        <f>G810*F811</f>
        <v>16.524999999999999</v>
      </c>
      <c r="H811" s="561"/>
      <c r="K811" s="27" t="str">
        <f>'Obrazac kalkulacije'!$E$19</f>
        <v>PDV:</v>
      </c>
      <c r="L811" s="248">
        <f>'Obrazac kalkulacije'!$F$19</f>
        <v>0.25</v>
      </c>
      <c r="M811" s="29">
        <f>M810*L811</f>
        <v>16.432500000000001</v>
      </c>
    </row>
    <row r="812" spans="1:13" ht="25.15" customHeight="1" thickTop="1" thickBot="1">
      <c r="E812" s="148" t="str">
        <f>'Obrazac kalkulacije'!$E$20</f>
        <v>Sveukupno (kn):</v>
      </c>
      <c r="F812" s="256"/>
      <c r="G812" s="29">
        <f>ROUND(SUM(G810:G811),2)</f>
        <v>82.63</v>
      </c>
      <c r="H812" s="562"/>
      <c r="K812" s="148" t="str">
        <f>'Obrazac kalkulacije'!$E$20</f>
        <v>Sveukupno (kn):</v>
      </c>
      <c r="L812" s="256"/>
      <c r="M812" s="29">
        <f>ROUND(SUM(M810:M811),2)</f>
        <v>82.16</v>
      </c>
    </row>
    <row r="813" spans="1:13" ht="15" customHeight="1" thickTop="1"/>
    <row r="814" spans="1:13" ht="15" customHeight="1"/>
    <row r="815" spans="1:13" ht="15" customHeight="1"/>
    <row r="816" spans="1:13" ht="15" customHeight="1">
      <c r="C816" s="3" t="str">
        <f>'Obrazac kalkulacije'!$C$24</f>
        <v>IZVODITELJ:</v>
      </c>
      <c r="F816" s="841" t="str">
        <f>'Obrazac kalkulacije'!$F$24</f>
        <v>NARUČITELJ:</v>
      </c>
      <c r="G816" s="841"/>
      <c r="I816" s="3" t="str">
        <f>'Obrazac kalkulacije'!$C$24</f>
        <v>IZVODITELJ:</v>
      </c>
      <c r="L816" s="841" t="str">
        <f>'Obrazac kalkulacije'!$F$24</f>
        <v>NARUČITELJ:</v>
      </c>
      <c r="M816" s="841"/>
    </row>
    <row r="817" spans="1:13" ht="25.15" customHeight="1">
      <c r="C817" s="3" t="str">
        <f>'Obrazac kalkulacije'!$C$25</f>
        <v>__________________</v>
      </c>
      <c r="F817" s="841" t="str">
        <f>'Obrazac kalkulacije'!$F$25</f>
        <v>___________________</v>
      </c>
      <c r="G817" s="841"/>
      <c r="I817" s="3" t="str">
        <f>'Obrazac kalkulacije'!$C$25</f>
        <v>__________________</v>
      </c>
      <c r="L817" s="841" t="str">
        <f>'Obrazac kalkulacije'!$F$25</f>
        <v>___________________</v>
      </c>
      <c r="M817" s="841"/>
    </row>
    <row r="818" spans="1:13" ht="15" customHeight="1">
      <c r="G818" s="30"/>
      <c r="M818" s="30"/>
    </row>
    <row r="819" spans="1:13" ht="15" customHeight="1"/>
    <row r="820" spans="1:13" ht="15" customHeight="1">
      <c r="A820" s="144"/>
      <c r="B820" s="145" t="s">
        <v>17</v>
      </c>
      <c r="C820" s="146" t="s">
        <v>56</v>
      </c>
      <c r="D820" s="146"/>
      <c r="E820" s="146"/>
      <c r="F820" s="252"/>
      <c r="G820" s="146"/>
      <c r="I820" s="146" t="s">
        <v>56</v>
      </c>
      <c r="J820" s="146"/>
      <c r="K820" s="146"/>
      <c r="L820" s="252"/>
      <c r="M820" s="146"/>
    </row>
    <row r="821" spans="1:13" ht="15" customHeight="1">
      <c r="A821" s="38"/>
      <c r="B821" s="39" t="s">
        <v>64</v>
      </c>
      <c r="C821" s="8" t="s">
        <v>65</v>
      </c>
      <c r="D821" s="8"/>
      <c r="E821" s="8"/>
      <c r="F821" s="253"/>
      <c r="G821" s="8"/>
      <c r="I821" s="8" t="s">
        <v>65</v>
      </c>
      <c r="J821" s="8"/>
      <c r="K821" s="8"/>
      <c r="L821" s="253"/>
      <c r="M821" s="8"/>
    </row>
    <row r="822" spans="1:13" ht="15" customHeight="1">
      <c r="A822" s="48"/>
      <c r="B822" s="49" t="s">
        <v>154</v>
      </c>
      <c r="C822" s="50" t="s">
        <v>155</v>
      </c>
      <c r="D822" s="50"/>
      <c r="E822" s="50"/>
      <c r="F822" s="250"/>
      <c r="G822" s="50"/>
      <c r="I822" s="50" t="s">
        <v>155</v>
      </c>
      <c r="J822" s="50"/>
      <c r="K822" s="50"/>
      <c r="L822" s="250"/>
      <c r="M822" s="50"/>
    </row>
    <row r="823" spans="1:13" ht="150" customHeight="1">
      <c r="A823" s="40"/>
      <c r="B823" s="556" t="s">
        <v>156</v>
      </c>
      <c r="C823" s="852" t="s">
        <v>157</v>
      </c>
      <c r="D823" s="852"/>
      <c r="E823" s="852"/>
      <c r="F823" s="852"/>
      <c r="G823" s="852"/>
      <c r="I823" s="869" t="s">
        <v>157</v>
      </c>
      <c r="J823" s="869"/>
      <c r="K823" s="869"/>
      <c r="L823" s="869"/>
      <c r="M823" s="869"/>
    </row>
    <row r="824" spans="1:13" ht="15" customHeight="1" thickBot="1"/>
    <row r="825" spans="1:13" ht="30" customHeight="1" thickTop="1" thickBot="1">
      <c r="A825" s="10"/>
      <c r="B825" s="835" t="str">
        <f>'Obrazac kalkulacije'!$B$6:$C$6</f>
        <v>Opis</v>
      </c>
      <c r="C825" s="835"/>
      <c r="D825" s="10" t="str">
        <f>'Obrazac kalkulacije'!$D$6</f>
        <v>Jed.
mjere</v>
      </c>
      <c r="E825" s="10" t="str">
        <f>'Obrazac kalkulacije'!$E$6</f>
        <v>Normativ</v>
      </c>
      <c r="F825" s="10" t="str">
        <f>'Obrazac kalkulacije'!$F$6</f>
        <v>Jed.
cijena</v>
      </c>
      <c r="G825" s="10" t="str">
        <f>'Obrazac kalkulacije'!$G$6</f>
        <v>Iznos</v>
      </c>
      <c r="H825" s="3">
        <v>2500</v>
      </c>
      <c r="I825" s="703"/>
      <c r="J825" s="10" t="str">
        <f>'Obrazac kalkulacije'!$D$6</f>
        <v>Jed.
mjere</v>
      </c>
      <c r="K825" s="10" t="str">
        <f>'Obrazac kalkulacije'!$E$6</f>
        <v>Normativ</v>
      </c>
      <c r="L825" s="10" t="str">
        <f>'Obrazac kalkulacije'!$F$6</f>
        <v>Jed.
cijena</v>
      </c>
      <c r="M825" s="10" t="str">
        <f>'Obrazac kalkulacije'!$G$6</f>
        <v>Iznos</v>
      </c>
    </row>
    <row r="826" spans="1:13" ht="4.5" customHeight="1" thickTop="1">
      <c r="B826" s="42"/>
      <c r="C826" s="1"/>
      <c r="D826" s="11"/>
      <c r="E826" s="13"/>
      <c r="F826" s="245"/>
      <c r="G826" s="15"/>
      <c r="I826" s="1"/>
      <c r="J826" s="11"/>
      <c r="K826" s="13"/>
      <c r="L826" s="245"/>
      <c r="M826" s="15"/>
    </row>
    <row r="827" spans="1:13" ht="25.15" customHeight="1">
      <c r="A827" s="16"/>
      <c r="B827" s="17" t="str">
        <f>'Obrazac kalkulacije'!$B$8</f>
        <v>Radna snaga:</v>
      </c>
      <c r="C827" s="17"/>
      <c r="D827" s="16"/>
      <c r="E827" s="16"/>
      <c r="F827" s="246"/>
      <c r="G827" s="18">
        <f>SUM(G828:G828)</f>
        <v>0.88225199999999993</v>
      </c>
      <c r="I827" s="17"/>
      <c r="J827" s="16"/>
      <c r="K827" s="16"/>
      <c r="L827" s="246"/>
      <c r="M827" s="18">
        <f>SUM(M828:M828)</f>
        <v>0.90021213000000011</v>
      </c>
    </row>
    <row r="828" spans="1:13" ht="25.15" customHeight="1">
      <c r="A828" s="32"/>
      <c r="B828" s="854" t="s">
        <v>57</v>
      </c>
      <c r="C828" s="854"/>
      <c r="D828" s="33" t="s">
        <v>51</v>
      </c>
      <c r="E828" s="34">
        <f>H828/H$825</f>
        <v>8.3999999999999995E-3</v>
      </c>
      <c r="F828" s="243">
        <f>SUMIF('Cjenik RS'!$C$11:$C$26,$B828,'Cjenik RS'!$D$11:$D$90)</f>
        <v>105.03</v>
      </c>
      <c r="G828" s="35">
        <f>F828*E828</f>
        <v>0.88225199999999993</v>
      </c>
      <c r="H828" s="559">
        <v>21</v>
      </c>
      <c r="I828" s="701"/>
      <c r="J828" s="33" t="s">
        <v>51</v>
      </c>
      <c r="K828" s="34">
        <v>8.5710000000000005E-3</v>
      </c>
      <c r="L828" s="243">
        <f>SUMIF('Cjenik RS'!$C$11:$C$26,$B828,'Cjenik RS'!$D$11:$D$90)</f>
        <v>105.03</v>
      </c>
      <c r="M828" s="35">
        <f>L828*K828</f>
        <v>0.90021213000000011</v>
      </c>
    </row>
    <row r="829" spans="1:13" ht="25.15" customHeight="1">
      <c r="A829" s="16"/>
      <c r="B829" s="17" t="str">
        <f>'Obrazac kalkulacije'!$B$11</f>
        <v>Vozila, strojevi i oprema:</v>
      </c>
      <c r="C829" s="17"/>
      <c r="D829" s="16"/>
      <c r="E829" s="16"/>
      <c r="F829" s="243"/>
      <c r="G829" s="18">
        <f>SUM(G830:G835)</f>
        <v>5.2408240000000017</v>
      </c>
      <c r="H829" s="559"/>
      <c r="I829" s="17"/>
      <c r="J829" s="16"/>
      <c r="K829" s="16"/>
      <c r="L829" s="243"/>
      <c r="M829" s="18">
        <f>SUM(M830:M835)</f>
        <v>5.2002329500000002</v>
      </c>
    </row>
    <row r="830" spans="1:13" ht="25.15" customHeight="1">
      <c r="A830" s="56"/>
      <c r="B830" s="839" t="s">
        <v>74</v>
      </c>
      <c r="C830" s="839"/>
      <c r="D830" s="57" t="s">
        <v>51</v>
      </c>
      <c r="E830" s="34">
        <f t="shared" ref="E830:E835" si="56">H830/H$825</f>
        <v>6.0000000000000001E-3</v>
      </c>
      <c r="F830" s="241">
        <f>SUMIF('Cjenik VSO'!$B$9:$B$85,$B830,'Cjenik VSO'!$C$9:$C$85)</f>
        <v>355.64</v>
      </c>
      <c r="G830" s="59">
        <f t="shared" ref="G830:G835" si="57">E830*F830</f>
        <v>2.1338400000000002</v>
      </c>
      <c r="H830" s="559">
        <v>15</v>
      </c>
      <c r="I830" s="707"/>
      <c r="J830" s="57" t="s">
        <v>51</v>
      </c>
      <c r="K830" s="92">
        <v>6.4289999999999998E-3</v>
      </c>
      <c r="L830" s="241">
        <f>SUMIF('Cjenik VSO'!$B$9:$B$85,$B830,'Cjenik VSO'!$C$9:$C$85)</f>
        <v>355.64</v>
      </c>
      <c r="M830" s="59">
        <f t="shared" ref="M830:M835" si="58">K830*L830</f>
        <v>2.2864095600000001</v>
      </c>
    </row>
    <row r="831" spans="1:13" ht="25.15" customHeight="1">
      <c r="A831" s="56"/>
      <c r="B831" s="839" t="s">
        <v>75</v>
      </c>
      <c r="C831" s="839"/>
      <c r="D831" s="57" t="s">
        <v>51</v>
      </c>
      <c r="E831" s="34">
        <f t="shared" si="56"/>
        <v>3.2000000000000002E-3</v>
      </c>
      <c r="F831" s="241">
        <f>SUMIF('Cjenik VSO'!$B$9:$B$85,$B831,'Cjenik VSO'!$C$9:$C$85)</f>
        <v>718.97</v>
      </c>
      <c r="G831" s="59">
        <f t="shared" si="57"/>
        <v>2.3007040000000001</v>
      </c>
      <c r="H831" s="559">
        <v>8</v>
      </c>
      <c r="I831" s="707"/>
      <c r="J831" s="57" t="s">
        <v>51</v>
      </c>
      <c r="K831" s="92">
        <v>2.8570000000000002E-3</v>
      </c>
      <c r="L831" s="241">
        <f>SUMIF('Cjenik VSO'!$B$9:$B$85,$B831,'Cjenik VSO'!$C$9:$C$85)</f>
        <v>718.97</v>
      </c>
      <c r="M831" s="59">
        <f t="shared" si="58"/>
        <v>2.0540972900000001</v>
      </c>
    </row>
    <row r="832" spans="1:13" ht="25.15" customHeight="1">
      <c r="A832" s="56"/>
      <c r="B832" s="839" t="s">
        <v>60</v>
      </c>
      <c r="C832" s="839"/>
      <c r="D832" s="57" t="s">
        <v>51</v>
      </c>
      <c r="E832" s="34">
        <f t="shared" si="56"/>
        <v>1.1999999999999999E-3</v>
      </c>
      <c r="F832" s="241">
        <f>SUMIF('Cjenik VSO'!$B$9:$B$85,$B832,'Cjenik VSO'!$C$9:$C$85)</f>
        <v>328.73</v>
      </c>
      <c r="G832" s="59">
        <f t="shared" si="57"/>
        <v>0.39447599999999999</v>
      </c>
      <c r="H832" s="559">
        <v>3</v>
      </c>
      <c r="I832" s="707"/>
      <c r="J832" s="57" t="s">
        <v>51</v>
      </c>
      <c r="K832" s="92">
        <v>1.4289999999999999E-3</v>
      </c>
      <c r="L832" s="241">
        <f>SUMIF('Cjenik VSO'!$B$9:$B$85,$B832,'Cjenik VSO'!$C$9:$C$85)</f>
        <v>328.73</v>
      </c>
      <c r="M832" s="59">
        <f t="shared" si="58"/>
        <v>0.46975517</v>
      </c>
    </row>
    <row r="833" spans="1:13" ht="25.15" customHeight="1">
      <c r="A833" s="56"/>
      <c r="B833" s="839" t="s">
        <v>61</v>
      </c>
      <c r="C833" s="839"/>
      <c r="D833" s="57" t="s">
        <v>51</v>
      </c>
      <c r="E833" s="34">
        <f t="shared" si="56"/>
        <v>1.1999999999999999E-3</v>
      </c>
      <c r="F833" s="241">
        <f>SUMIF('Cjenik VSO'!$B$9:$B$85,$B833,'Cjenik VSO'!$C$9:$C$85)</f>
        <v>62.67</v>
      </c>
      <c r="G833" s="59">
        <f t="shared" si="57"/>
        <v>7.5203999999999993E-2</v>
      </c>
      <c r="H833" s="559">
        <v>3</v>
      </c>
      <c r="I833" s="707"/>
      <c r="J833" s="57" t="s">
        <v>51</v>
      </c>
      <c r="K833" s="92">
        <v>1.4289999999999999E-3</v>
      </c>
      <c r="L833" s="241">
        <f>SUMIF('Cjenik VSO'!$B$9:$B$85,$B833,'Cjenik VSO'!$C$9:$C$85)</f>
        <v>62.67</v>
      </c>
      <c r="M833" s="59">
        <f t="shared" si="58"/>
        <v>8.9555429999999991E-2</v>
      </c>
    </row>
    <row r="834" spans="1:13" ht="25.15" customHeight="1">
      <c r="A834" s="56"/>
      <c r="B834" s="839" t="s">
        <v>81</v>
      </c>
      <c r="C834" s="839"/>
      <c r="D834" s="57" t="s">
        <v>51</v>
      </c>
      <c r="E834" s="34">
        <f t="shared" si="56"/>
        <v>8.0000000000000004E-4</v>
      </c>
      <c r="F834" s="241">
        <f>SUMIF('Cjenik VSO'!$B$9:$B$85,$B834,'Cjenik VSO'!$C$9:$C$85)</f>
        <v>107.11</v>
      </c>
      <c r="G834" s="59">
        <f t="shared" si="57"/>
        <v>8.5688E-2</v>
      </c>
      <c r="H834" s="559">
        <v>2</v>
      </c>
      <c r="I834" s="707"/>
      <c r="J834" s="57" t="s">
        <v>51</v>
      </c>
      <c r="K834" s="92">
        <v>7.1400000000000001E-4</v>
      </c>
      <c r="L834" s="241">
        <f>SUMIF('Cjenik VSO'!$B$9:$B$85,$B834,'Cjenik VSO'!$C$9:$C$85)</f>
        <v>107.11</v>
      </c>
      <c r="M834" s="59">
        <f t="shared" si="58"/>
        <v>7.6476539999999996E-2</v>
      </c>
    </row>
    <row r="835" spans="1:13" ht="25.15" customHeight="1" thickBot="1">
      <c r="A835" s="66"/>
      <c r="B835" s="858" t="s">
        <v>63</v>
      </c>
      <c r="C835" s="858"/>
      <c r="D835" s="67" t="s">
        <v>51</v>
      </c>
      <c r="E835" s="34">
        <f t="shared" si="56"/>
        <v>8.0000000000000004E-4</v>
      </c>
      <c r="F835" s="249">
        <f>SUMIF('Cjenik VSO'!$B$9:$B$85,$B835,'Cjenik VSO'!$C$9:$C$85)</f>
        <v>313.64</v>
      </c>
      <c r="G835" s="69">
        <f t="shared" si="57"/>
        <v>0.25091200000000002</v>
      </c>
      <c r="H835" s="559">
        <v>2</v>
      </c>
      <c r="I835" s="712"/>
      <c r="J835" s="67" t="s">
        <v>51</v>
      </c>
      <c r="K835" s="103">
        <v>7.1400000000000001E-4</v>
      </c>
      <c r="L835" s="249">
        <f>SUMIF('Cjenik VSO'!$B$9:$B$85,$B835,'Cjenik VSO'!$C$9:$C$85)</f>
        <v>313.64</v>
      </c>
      <c r="M835" s="69">
        <f t="shared" si="58"/>
        <v>0.22393895999999999</v>
      </c>
    </row>
    <row r="836" spans="1:13" ht="25.15" customHeight="1" thickTop="1" thickBot="1">
      <c r="B836" s="47"/>
      <c r="C836" s="24"/>
      <c r="D836" s="25"/>
      <c r="E836" s="147" t="str">
        <f>'Obrazac kalkulacije'!$E$18</f>
        <v>Ukupno (kn):</v>
      </c>
      <c r="F836" s="255"/>
      <c r="G836" s="26">
        <f>ROUND(SUM(G827+G829),2)</f>
        <v>6.12</v>
      </c>
      <c r="H836" s="269"/>
      <c r="I836" s="24"/>
      <c r="J836" s="25"/>
      <c r="K836" s="147" t="str">
        <f>'Obrazac kalkulacije'!$E$18</f>
        <v>Ukupno (kn):</v>
      </c>
      <c r="L836" s="255"/>
      <c r="M836" s="26">
        <f>ROUND(SUM(M827+M829),2)</f>
        <v>6.1</v>
      </c>
    </row>
    <row r="837" spans="1:13" ht="25.15" customHeight="1" thickTop="1" thickBot="1">
      <c r="E837" s="27" t="str">
        <f>'Obrazac kalkulacije'!$E$19</f>
        <v>PDV:</v>
      </c>
      <c r="F837" s="248">
        <f>'Obrazac kalkulacije'!$F$19</f>
        <v>0.25</v>
      </c>
      <c r="G837" s="29">
        <f>G836*F837</f>
        <v>1.53</v>
      </c>
      <c r="H837" s="561"/>
      <c r="K837" s="27" t="str">
        <f>'Obrazac kalkulacije'!$E$19</f>
        <v>PDV:</v>
      </c>
      <c r="L837" s="248">
        <f>'Obrazac kalkulacije'!$F$19</f>
        <v>0.25</v>
      </c>
      <c r="M837" s="29">
        <f>M836*L837</f>
        <v>1.5249999999999999</v>
      </c>
    </row>
    <row r="838" spans="1:13" ht="25.15" customHeight="1" thickTop="1" thickBot="1">
      <c r="E838" s="148" t="str">
        <f>'Obrazac kalkulacije'!$E$20</f>
        <v>Sveukupno (kn):</v>
      </c>
      <c r="F838" s="256"/>
      <c r="G838" s="29">
        <f>ROUND(SUM(G836:G837),2)</f>
        <v>7.65</v>
      </c>
      <c r="H838" s="562"/>
      <c r="K838" s="148" t="str">
        <f>'Obrazac kalkulacije'!$E$20</f>
        <v>Sveukupno (kn):</v>
      </c>
      <c r="L838" s="256"/>
      <c r="M838" s="29">
        <f>ROUND(SUM(M836:M837),2)</f>
        <v>7.63</v>
      </c>
    </row>
    <row r="839" spans="1:13" ht="15" customHeight="1" thickTop="1"/>
    <row r="840" spans="1:13" ht="15" customHeight="1"/>
    <row r="841" spans="1:13" ht="15" customHeight="1"/>
    <row r="842" spans="1:13" ht="15" customHeight="1">
      <c r="C842" s="3" t="str">
        <f>'Obrazac kalkulacije'!$C$24</f>
        <v>IZVODITELJ:</v>
      </c>
      <c r="F842" s="841" t="str">
        <f>'Obrazac kalkulacije'!$F$24</f>
        <v>NARUČITELJ:</v>
      </c>
      <c r="G842" s="841"/>
      <c r="I842" s="3" t="str">
        <f>'Obrazac kalkulacije'!$C$24</f>
        <v>IZVODITELJ:</v>
      </c>
      <c r="L842" s="841" t="str">
        <f>'Obrazac kalkulacije'!$F$24</f>
        <v>NARUČITELJ:</v>
      </c>
      <c r="M842" s="841"/>
    </row>
    <row r="843" spans="1:13" ht="25.15" customHeight="1">
      <c r="C843" s="3" t="str">
        <f>'Obrazac kalkulacije'!$C$25</f>
        <v>__________________</v>
      </c>
      <c r="F843" s="841" t="str">
        <f>'Obrazac kalkulacije'!$F$25</f>
        <v>___________________</v>
      </c>
      <c r="G843" s="841"/>
      <c r="I843" s="3" t="str">
        <f>'Obrazac kalkulacije'!$C$25</f>
        <v>__________________</v>
      </c>
      <c r="L843" s="841" t="str">
        <f>'Obrazac kalkulacije'!$F$25</f>
        <v>___________________</v>
      </c>
      <c r="M843" s="841"/>
    </row>
    <row r="844" spans="1:13" ht="15" customHeight="1">
      <c r="G844" s="30"/>
      <c r="M844" s="30"/>
    </row>
    <row r="845" spans="1:13" ht="15" customHeight="1"/>
    <row r="846" spans="1:13" ht="15" customHeight="1">
      <c r="A846" s="144"/>
      <c r="B846" s="145" t="s">
        <v>17</v>
      </c>
      <c r="C846" s="146" t="s">
        <v>56</v>
      </c>
      <c r="D846" s="146"/>
      <c r="E846" s="146"/>
      <c r="F846" s="252"/>
      <c r="G846" s="146"/>
      <c r="I846" s="146" t="s">
        <v>56</v>
      </c>
      <c r="J846" s="146"/>
      <c r="K846" s="146"/>
      <c r="L846" s="252"/>
      <c r="M846" s="146"/>
    </row>
    <row r="847" spans="1:13" ht="15" customHeight="1">
      <c r="A847" s="38"/>
      <c r="B847" s="39" t="s">
        <v>64</v>
      </c>
      <c r="C847" s="8" t="s">
        <v>65</v>
      </c>
      <c r="D847" s="8"/>
      <c r="E847" s="8"/>
      <c r="F847" s="253"/>
      <c r="G847" s="8"/>
      <c r="I847" s="8" t="s">
        <v>65</v>
      </c>
      <c r="J847" s="8"/>
      <c r="K847" s="8"/>
      <c r="L847" s="253"/>
      <c r="M847" s="8"/>
    </row>
    <row r="848" spans="1:13" ht="15" customHeight="1">
      <c r="A848" s="48"/>
      <c r="B848" s="49" t="s">
        <v>154</v>
      </c>
      <c r="C848" s="50" t="s">
        <v>155</v>
      </c>
      <c r="D848" s="50"/>
      <c r="E848" s="50"/>
      <c r="F848" s="250"/>
      <c r="G848" s="50"/>
      <c r="I848" s="50" t="s">
        <v>155</v>
      </c>
      <c r="J848" s="50"/>
      <c r="K848" s="50"/>
      <c r="L848" s="250"/>
      <c r="M848" s="50"/>
    </row>
    <row r="849" spans="1:13" ht="150" customHeight="1">
      <c r="A849" s="40"/>
      <c r="B849" s="556" t="s">
        <v>158</v>
      </c>
      <c r="C849" s="852" t="s">
        <v>159</v>
      </c>
      <c r="D849" s="852"/>
      <c r="E849" s="852"/>
      <c r="F849" s="852"/>
      <c r="G849" s="852"/>
      <c r="I849" s="869" t="s">
        <v>159</v>
      </c>
      <c r="J849" s="869"/>
      <c r="K849" s="869"/>
      <c r="L849" s="869"/>
      <c r="M849" s="869"/>
    </row>
    <row r="850" spans="1:13" ht="15" customHeight="1" thickBot="1"/>
    <row r="851" spans="1:13" ht="30" customHeight="1" thickTop="1" thickBot="1">
      <c r="A851" s="10"/>
      <c r="B851" s="835" t="str">
        <f>'Obrazac kalkulacije'!$B$6:$C$6</f>
        <v>Opis</v>
      </c>
      <c r="C851" s="835"/>
      <c r="D851" s="10" t="str">
        <f>'Obrazac kalkulacije'!$D$6</f>
        <v>Jed.
mjere</v>
      </c>
      <c r="E851" s="10" t="str">
        <f>'Obrazac kalkulacije'!$E$6</f>
        <v>Normativ</v>
      </c>
      <c r="F851" s="10" t="str">
        <f>'Obrazac kalkulacije'!$F$6</f>
        <v>Jed.
cijena</v>
      </c>
      <c r="G851" s="10" t="str">
        <f>'Obrazac kalkulacije'!$G$6</f>
        <v>Iznos</v>
      </c>
      <c r="H851" s="3">
        <v>1700</v>
      </c>
      <c r="I851" s="703"/>
      <c r="J851" s="10" t="str">
        <f>'Obrazac kalkulacije'!$D$6</f>
        <v>Jed.
mjere</v>
      </c>
      <c r="K851" s="10" t="str">
        <f>'Obrazac kalkulacije'!$E$6</f>
        <v>Normativ</v>
      </c>
      <c r="L851" s="10" t="str">
        <f>'Obrazac kalkulacije'!$F$6</f>
        <v>Jed.
cijena</v>
      </c>
      <c r="M851" s="10" t="str">
        <f>'Obrazac kalkulacije'!$G$6</f>
        <v>Iznos</v>
      </c>
    </row>
    <row r="852" spans="1:13" ht="4.5" customHeight="1" thickTop="1">
      <c r="B852" s="42"/>
      <c r="C852" s="1"/>
      <c r="D852" s="11"/>
      <c r="E852" s="13"/>
      <c r="F852" s="245"/>
      <c r="G852" s="15"/>
      <c r="I852" s="1"/>
      <c r="J852" s="11"/>
      <c r="K852" s="13"/>
      <c r="L852" s="245"/>
      <c r="M852" s="15"/>
    </row>
    <row r="853" spans="1:13" ht="25.15" customHeight="1">
      <c r="A853" s="16"/>
      <c r="B853" s="17" t="str">
        <f>'Obrazac kalkulacije'!$B$8</f>
        <v>Radna snaga:</v>
      </c>
      <c r="C853" s="17"/>
      <c r="D853" s="16"/>
      <c r="E853" s="16"/>
      <c r="F853" s="246"/>
      <c r="G853" s="18">
        <f>SUM(G854:G854)</f>
        <v>1.2974294117647058</v>
      </c>
      <c r="I853" s="17"/>
      <c r="J853" s="16"/>
      <c r="K853" s="16"/>
      <c r="L853" s="246"/>
      <c r="M853" s="18">
        <f>SUM(M854:M854)</f>
        <v>1.68048</v>
      </c>
    </row>
    <row r="854" spans="1:13" ht="25.15" customHeight="1">
      <c r="A854" s="32"/>
      <c r="B854" s="854" t="s">
        <v>57</v>
      </c>
      <c r="C854" s="854"/>
      <c r="D854" s="33" t="s">
        <v>51</v>
      </c>
      <c r="E854" s="34">
        <f>H854/H851</f>
        <v>1.2352941176470587E-2</v>
      </c>
      <c r="F854" s="243">
        <f>SUMIF('Cjenik RS'!$C$11:$C$26,$B854,'Cjenik RS'!$D$11:$D$90)</f>
        <v>105.03</v>
      </c>
      <c r="G854" s="35">
        <f>F854*E854</f>
        <v>1.2974294117647058</v>
      </c>
      <c r="H854" s="559">
        <v>21</v>
      </c>
      <c r="I854" s="701"/>
      <c r="J854" s="33" t="s">
        <v>51</v>
      </c>
      <c r="K854" s="34">
        <v>1.6E-2</v>
      </c>
      <c r="L854" s="243">
        <f>SUMIF('Cjenik RS'!$C$11:$C$26,$B854,'Cjenik RS'!$D$11:$D$90)</f>
        <v>105.03</v>
      </c>
      <c r="M854" s="35">
        <f>L854*K854</f>
        <v>1.68048</v>
      </c>
    </row>
    <row r="855" spans="1:13" ht="25.15" customHeight="1">
      <c r="A855" s="16"/>
      <c r="B855" s="17" t="str">
        <f>'Obrazac kalkulacije'!$B$11</f>
        <v>Vozila, strojevi i oprema:</v>
      </c>
      <c r="C855" s="17"/>
      <c r="D855" s="16"/>
      <c r="E855" s="16"/>
      <c r="F855" s="243"/>
      <c r="G855" s="18">
        <f>SUM(G856:G861)</f>
        <v>7.7070941176470589</v>
      </c>
      <c r="H855" s="559"/>
      <c r="I855" s="17"/>
      <c r="J855" s="16"/>
      <c r="K855" s="16"/>
      <c r="L855" s="243"/>
      <c r="M855" s="18">
        <f>SUM(M856:M861)</f>
        <v>7.2801899999999993</v>
      </c>
    </row>
    <row r="856" spans="1:13" ht="25.15" customHeight="1">
      <c r="A856" s="56"/>
      <c r="B856" s="839" t="s">
        <v>74</v>
      </c>
      <c r="C856" s="839"/>
      <c r="D856" s="57" t="s">
        <v>51</v>
      </c>
      <c r="E856" s="34">
        <f>H856/H851</f>
        <v>8.8235294117647058E-3</v>
      </c>
      <c r="F856" s="241">
        <f>SUMIF('Cjenik VSO'!$B$9:$B$85,$B856,'Cjenik VSO'!$C$9:$C$85)</f>
        <v>355.64</v>
      </c>
      <c r="G856" s="59">
        <f t="shared" ref="G856:G861" si="59">E856*F856</f>
        <v>3.1379999999999999</v>
      </c>
      <c r="H856" s="559">
        <v>15</v>
      </c>
      <c r="I856" s="707"/>
      <c r="J856" s="57" t="s">
        <v>51</v>
      </c>
      <c r="K856" s="92">
        <v>8.9999999999999993E-3</v>
      </c>
      <c r="L856" s="241">
        <f>SUMIF('Cjenik VSO'!$B$9:$B$85,$B856,'Cjenik VSO'!$C$9:$C$85)</f>
        <v>355.64</v>
      </c>
      <c r="M856" s="59">
        <f t="shared" ref="M856:M861" si="60">K856*L856</f>
        <v>3.2007599999999998</v>
      </c>
    </row>
    <row r="857" spans="1:13" ht="25.15" customHeight="1">
      <c r="A857" s="56"/>
      <c r="B857" s="839" t="s">
        <v>75</v>
      </c>
      <c r="C857" s="839"/>
      <c r="D857" s="57" t="s">
        <v>51</v>
      </c>
      <c r="E857" s="34">
        <f>H857/H851</f>
        <v>4.7058823529411761E-3</v>
      </c>
      <c r="F857" s="241">
        <f>SUMIF('Cjenik VSO'!$B$9:$B$85,$B857,'Cjenik VSO'!$C$9:$C$85)</f>
        <v>718.97</v>
      </c>
      <c r="G857" s="59">
        <f t="shared" si="59"/>
        <v>3.3833882352941176</v>
      </c>
      <c r="H857" s="559">
        <v>8</v>
      </c>
      <c r="I857" s="707"/>
      <c r="J857" s="57" t="s">
        <v>51</v>
      </c>
      <c r="K857" s="92">
        <v>4.0000000000000001E-3</v>
      </c>
      <c r="L857" s="241">
        <f>SUMIF('Cjenik VSO'!$B$9:$B$85,$B857,'Cjenik VSO'!$C$9:$C$85)</f>
        <v>718.97</v>
      </c>
      <c r="M857" s="59">
        <f t="shared" si="60"/>
        <v>2.87588</v>
      </c>
    </row>
    <row r="858" spans="1:13" ht="25.15" customHeight="1">
      <c r="A858" s="56"/>
      <c r="B858" s="839" t="s">
        <v>60</v>
      </c>
      <c r="C858" s="839"/>
      <c r="D858" s="57" t="s">
        <v>51</v>
      </c>
      <c r="E858" s="34">
        <f>H858/H851</f>
        <v>1.7647058823529412E-3</v>
      </c>
      <c r="F858" s="241">
        <f>SUMIF('Cjenik VSO'!$B$9:$B$85,$B858,'Cjenik VSO'!$C$9:$C$85)</f>
        <v>328.73</v>
      </c>
      <c r="G858" s="59">
        <f t="shared" si="59"/>
        <v>0.58011176470588244</v>
      </c>
      <c r="H858" s="559">
        <v>3</v>
      </c>
      <c r="I858" s="707"/>
      <c r="J858" s="57" t="s">
        <v>51</v>
      </c>
      <c r="K858" s="92">
        <v>2E-3</v>
      </c>
      <c r="L858" s="241">
        <f>SUMIF('Cjenik VSO'!$B$9:$B$85,$B858,'Cjenik VSO'!$C$9:$C$85)</f>
        <v>328.73</v>
      </c>
      <c r="M858" s="59">
        <f t="shared" si="60"/>
        <v>0.65746000000000004</v>
      </c>
    </row>
    <row r="859" spans="1:13" ht="25.15" customHeight="1">
      <c r="A859" s="56"/>
      <c r="B859" s="839" t="s">
        <v>61</v>
      </c>
      <c r="C859" s="839"/>
      <c r="D859" s="57" t="s">
        <v>51</v>
      </c>
      <c r="E859" s="34">
        <f>H859/H851</f>
        <v>1.7647058823529412E-3</v>
      </c>
      <c r="F859" s="241">
        <f>SUMIF('Cjenik VSO'!$B$9:$B$85,$B859,'Cjenik VSO'!$C$9:$C$85)</f>
        <v>62.67</v>
      </c>
      <c r="G859" s="59">
        <f t="shared" si="59"/>
        <v>0.11059411764705883</v>
      </c>
      <c r="H859" s="559">
        <v>3</v>
      </c>
      <c r="I859" s="707"/>
      <c r="J859" s="57" t="s">
        <v>51</v>
      </c>
      <c r="K859" s="92">
        <v>2E-3</v>
      </c>
      <c r="L859" s="241">
        <f>SUMIF('Cjenik VSO'!$B$9:$B$85,$B859,'Cjenik VSO'!$C$9:$C$85)</f>
        <v>62.67</v>
      </c>
      <c r="M859" s="59">
        <f t="shared" si="60"/>
        <v>0.12534000000000001</v>
      </c>
    </row>
    <row r="860" spans="1:13" ht="25.15" customHeight="1">
      <c r="A860" s="56"/>
      <c r="B860" s="839" t="s">
        <v>81</v>
      </c>
      <c r="C860" s="839"/>
      <c r="D860" s="57" t="s">
        <v>51</v>
      </c>
      <c r="E860" s="34">
        <f>H860/H851</f>
        <v>1.176470588235294E-3</v>
      </c>
      <c r="F860" s="241">
        <f>SUMIF('Cjenik VSO'!$B$9:$B$85,$B860,'Cjenik VSO'!$C$9:$C$85)</f>
        <v>107.11</v>
      </c>
      <c r="G860" s="59">
        <f t="shared" si="59"/>
        <v>0.12601176470588235</v>
      </c>
      <c r="H860" s="559">
        <v>2</v>
      </c>
      <c r="I860" s="707"/>
      <c r="J860" s="57" t="s">
        <v>51</v>
      </c>
      <c r="K860" s="92">
        <v>1E-3</v>
      </c>
      <c r="L860" s="241">
        <f>SUMIF('Cjenik VSO'!$B$9:$B$85,$B860,'Cjenik VSO'!$C$9:$C$85)</f>
        <v>107.11</v>
      </c>
      <c r="M860" s="59">
        <f t="shared" si="60"/>
        <v>0.10711</v>
      </c>
    </row>
    <row r="861" spans="1:13" ht="25.15" customHeight="1" thickBot="1">
      <c r="A861" s="66"/>
      <c r="B861" s="858" t="s">
        <v>63</v>
      </c>
      <c r="C861" s="858"/>
      <c r="D861" s="67" t="s">
        <v>51</v>
      </c>
      <c r="E861" s="34">
        <f>H861/H851</f>
        <v>1.176470588235294E-3</v>
      </c>
      <c r="F861" s="249">
        <f>SUMIF('Cjenik VSO'!$B$9:$B$85,$B861,'Cjenik VSO'!$C$9:$C$85)</f>
        <v>313.64</v>
      </c>
      <c r="G861" s="69">
        <f t="shared" si="59"/>
        <v>0.36898823529411762</v>
      </c>
      <c r="H861" s="559">
        <v>2</v>
      </c>
      <c r="I861" s="712"/>
      <c r="J861" s="67" t="s">
        <v>51</v>
      </c>
      <c r="K861" s="103">
        <v>1E-3</v>
      </c>
      <c r="L861" s="249">
        <f>SUMIF('Cjenik VSO'!$B$9:$B$85,$B861,'Cjenik VSO'!$C$9:$C$85)</f>
        <v>313.64</v>
      </c>
      <c r="M861" s="69">
        <f t="shared" si="60"/>
        <v>0.31363999999999997</v>
      </c>
    </row>
    <row r="862" spans="1:13" ht="25.15" customHeight="1" thickTop="1" thickBot="1">
      <c r="B862" s="47"/>
      <c r="C862" s="24"/>
      <c r="D862" s="25"/>
      <c r="E862" s="147" t="str">
        <f>'Obrazac kalkulacije'!$E$18</f>
        <v>Ukupno (kn):</v>
      </c>
      <c r="F862" s="255"/>
      <c r="G862" s="26">
        <f>ROUND(SUM(G853+G855),2)</f>
        <v>9</v>
      </c>
      <c r="H862" s="269"/>
      <c r="I862" s="24"/>
      <c r="J862" s="25"/>
      <c r="K862" s="147" t="str">
        <f>'Obrazac kalkulacije'!$E$18</f>
        <v>Ukupno (kn):</v>
      </c>
      <c r="L862" s="255"/>
      <c r="M862" s="26">
        <f>ROUND(SUM(M853+M855),2)</f>
        <v>8.9600000000000009</v>
      </c>
    </row>
    <row r="863" spans="1:13" ht="25.15" customHeight="1" thickTop="1" thickBot="1">
      <c r="E863" s="27" t="str">
        <f>'Obrazac kalkulacije'!$E$19</f>
        <v>PDV:</v>
      </c>
      <c r="F863" s="248">
        <f>'Obrazac kalkulacije'!$F$19</f>
        <v>0.25</v>
      </c>
      <c r="G863" s="29">
        <f>G862*F863</f>
        <v>2.25</v>
      </c>
      <c r="H863" s="561"/>
      <c r="K863" s="27" t="str">
        <f>'Obrazac kalkulacije'!$E$19</f>
        <v>PDV:</v>
      </c>
      <c r="L863" s="248">
        <f>'Obrazac kalkulacije'!$F$19</f>
        <v>0.25</v>
      </c>
      <c r="M863" s="29">
        <f>M862*L863</f>
        <v>2.2400000000000002</v>
      </c>
    </row>
    <row r="864" spans="1:13" ht="25.15" customHeight="1" thickTop="1" thickBot="1">
      <c r="E864" s="148" t="str">
        <f>'Obrazac kalkulacije'!$E$20</f>
        <v>Sveukupno (kn):</v>
      </c>
      <c r="F864" s="256"/>
      <c r="G864" s="29">
        <f>ROUND(SUM(G862:G863),2)</f>
        <v>11.25</v>
      </c>
      <c r="H864" s="562"/>
      <c r="K864" s="148" t="str">
        <f>'Obrazac kalkulacije'!$E$20</f>
        <v>Sveukupno (kn):</v>
      </c>
      <c r="L864" s="256"/>
      <c r="M864" s="29">
        <f>ROUND(SUM(M862:M863),2)</f>
        <v>11.2</v>
      </c>
    </row>
    <row r="865" spans="1:13" ht="15" customHeight="1" thickTop="1"/>
    <row r="866" spans="1:13" ht="15" customHeight="1"/>
    <row r="867" spans="1:13" ht="15" customHeight="1"/>
    <row r="868" spans="1:13" ht="15" customHeight="1">
      <c r="C868" s="3" t="str">
        <f>'Obrazac kalkulacije'!$C$24</f>
        <v>IZVODITELJ:</v>
      </c>
      <c r="F868" s="841" t="str">
        <f>'Obrazac kalkulacije'!$F$24</f>
        <v>NARUČITELJ:</v>
      </c>
      <c r="G868" s="841"/>
      <c r="I868" s="3" t="str">
        <f>'Obrazac kalkulacije'!$C$24</f>
        <v>IZVODITELJ:</v>
      </c>
      <c r="L868" s="841" t="str">
        <f>'Obrazac kalkulacije'!$F$24</f>
        <v>NARUČITELJ:</v>
      </c>
      <c r="M868" s="841"/>
    </row>
    <row r="869" spans="1:13" ht="25.15" customHeight="1">
      <c r="C869" s="3" t="str">
        <f>'Obrazac kalkulacije'!$C$25</f>
        <v>__________________</v>
      </c>
      <c r="F869" s="841" t="str">
        <f>'Obrazac kalkulacije'!$F$25</f>
        <v>___________________</v>
      </c>
      <c r="G869" s="841"/>
      <c r="I869" s="3" t="str">
        <f>'Obrazac kalkulacije'!$C$25</f>
        <v>__________________</v>
      </c>
      <c r="L869" s="841" t="str">
        <f>'Obrazac kalkulacije'!$F$25</f>
        <v>___________________</v>
      </c>
      <c r="M869" s="841"/>
    </row>
    <row r="870" spans="1:13" ht="15" customHeight="1">
      <c r="G870" s="30"/>
      <c r="M870" s="30"/>
    </row>
    <row r="871" spans="1:13" ht="15" customHeight="1"/>
    <row r="872" spans="1:13" ht="15" customHeight="1">
      <c r="A872" s="144"/>
      <c r="B872" s="145" t="s">
        <v>17</v>
      </c>
      <c r="C872" s="146" t="s">
        <v>56</v>
      </c>
      <c r="D872" s="146"/>
      <c r="E872" s="146"/>
      <c r="F872" s="252"/>
      <c r="G872" s="146"/>
      <c r="I872" s="146" t="s">
        <v>56</v>
      </c>
      <c r="J872" s="146"/>
      <c r="K872" s="146"/>
      <c r="L872" s="252"/>
      <c r="M872" s="146"/>
    </row>
    <row r="873" spans="1:13" ht="15" customHeight="1">
      <c r="A873" s="38"/>
      <c r="B873" s="39" t="s">
        <v>64</v>
      </c>
      <c r="C873" s="8" t="s">
        <v>65</v>
      </c>
      <c r="D873" s="8"/>
      <c r="E873" s="8"/>
      <c r="F873" s="253"/>
      <c r="G873" s="8"/>
      <c r="I873" s="8" t="s">
        <v>65</v>
      </c>
      <c r="J873" s="8"/>
      <c r="K873" s="8"/>
      <c r="L873" s="253"/>
      <c r="M873" s="8"/>
    </row>
    <row r="874" spans="1:13" ht="15" customHeight="1">
      <c r="A874" s="48"/>
      <c r="B874" s="49" t="s">
        <v>154</v>
      </c>
      <c r="C874" s="50" t="s">
        <v>155</v>
      </c>
      <c r="D874" s="50"/>
      <c r="E874" s="50"/>
      <c r="F874" s="250"/>
      <c r="G874" s="50"/>
      <c r="I874" s="50" t="s">
        <v>155</v>
      </c>
      <c r="J874" s="50"/>
      <c r="K874" s="50"/>
      <c r="L874" s="250"/>
      <c r="M874" s="50"/>
    </row>
    <row r="875" spans="1:13" ht="150" customHeight="1">
      <c r="A875" s="40"/>
      <c r="B875" s="556" t="s">
        <v>160</v>
      </c>
      <c r="C875" s="852" t="s">
        <v>161</v>
      </c>
      <c r="D875" s="852"/>
      <c r="E875" s="852"/>
      <c r="F875" s="852"/>
      <c r="G875" s="852"/>
      <c r="I875" s="869" t="s">
        <v>161</v>
      </c>
      <c r="J875" s="869"/>
      <c r="K875" s="869"/>
      <c r="L875" s="869"/>
      <c r="M875" s="869"/>
    </row>
    <row r="876" spans="1:13" ht="15" customHeight="1" thickBot="1"/>
    <row r="877" spans="1:13" ht="30" customHeight="1" thickTop="1" thickBot="1">
      <c r="A877" s="10"/>
      <c r="B877" s="835" t="str">
        <f>'Obrazac kalkulacije'!$B$6:$C$6</f>
        <v>Opis</v>
      </c>
      <c r="C877" s="835"/>
      <c r="D877" s="10" t="str">
        <f>'Obrazac kalkulacije'!$D$6</f>
        <v>Jed.
mjere</v>
      </c>
      <c r="E877" s="10" t="str">
        <f>'Obrazac kalkulacije'!$E$6</f>
        <v>Normativ</v>
      </c>
      <c r="F877" s="10" t="str">
        <f>'Obrazac kalkulacije'!$F$6</f>
        <v>Jed.
cijena</v>
      </c>
      <c r="G877" s="10" t="str">
        <f>'Obrazac kalkulacije'!$G$6</f>
        <v>Iznos</v>
      </c>
      <c r="H877" s="3">
        <v>1400</v>
      </c>
      <c r="I877" s="703"/>
      <c r="J877" s="10" t="str">
        <f>'Obrazac kalkulacije'!$D$6</f>
        <v>Jed.
mjere</v>
      </c>
      <c r="K877" s="10" t="str">
        <f>'Obrazac kalkulacije'!$E$6</f>
        <v>Normativ</v>
      </c>
      <c r="L877" s="10" t="str">
        <f>'Obrazac kalkulacije'!$F$6</f>
        <v>Jed.
cijena</v>
      </c>
      <c r="M877" s="10" t="str">
        <f>'Obrazac kalkulacije'!$G$6</f>
        <v>Iznos</v>
      </c>
    </row>
    <row r="878" spans="1:13" ht="4.5" customHeight="1" thickTop="1">
      <c r="B878" s="42"/>
      <c r="C878" s="1"/>
      <c r="D878" s="11"/>
      <c r="E878" s="13"/>
      <c r="F878" s="245"/>
      <c r="G878" s="15"/>
      <c r="I878" s="1"/>
      <c r="J878" s="11"/>
      <c r="K878" s="13"/>
      <c r="L878" s="245"/>
      <c r="M878" s="15"/>
    </row>
    <row r="879" spans="1:13" ht="25.15" customHeight="1">
      <c r="A879" s="16"/>
      <c r="B879" s="17" t="str">
        <f>'Obrazac kalkulacije'!$B$8</f>
        <v>Radna snaga:</v>
      </c>
      <c r="C879" s="17"/>
      <c r="D879" s="16"/>
      <c r="E879" s="16"/>
      <c r="F879" s="246"/>
      <c r="G879" s="18">
        <f>SUM(G880:G880)</f>
        <v>1.57545</v>
      </c>
      <c r="I879" s="17"/>
      <c r="J879" s="16"/>
      <c r="K879" s="16"/>
      <c r="L879" s="246"/>
      <c r="M879" s="18">
        <f>SUM(M880:M880)</f>
        <v>2.1006</v>
      </c>
    </row>
    <row r="880" spans="1:13" ht="25.15" customHeight="1">
      <c r="A880" s="32"/>
      <c r="B880" s="854" t="s">
        <v>57</v>
      </c>
      <c r="C880" s="854"/>
      <c r="D880" s="33" t="s">
        <v>51</v>
      </c>
      <c r="E880" s="34">
        <f>H880/H877</f>
        <v>1.4999999999999999E-2</v>
      </c>
      <c r="F880" s="243">
        <f>SUMIF('Cjenik RS'!$C$11:$C$26,$B880,'Cjenik RS'!$D$11:$D$90)</f>
        <v>105.03</v>
      </c>
      <c r="G880" s="35">
        <f>F880*E880</f>
        <v>1.57545</v>
      </c>
      <c r="H880" s="559">
        <v>21</v>
      </c>
      <c r="I880" s="701"/>
      <c r="J880" s="33" t="s">
        <v>51</v>
      </c>
      <c r="K880" s="34">
        <v>0.02</v>
      </c>
      <c r="L880" s="243">
        <f>SUMIF('Cjenik RS'!$C$11:$C$26,$B880,'Cjenik RS'!$D$11:$D$90)</f>
        <v>105.03</v>
      </c>
      <c r="M880" s="35">
        <f>L880*K880</f>
        <v>2.1006</v>
      </c>
    </row>
    <row r="881" spans="1:13" ht="25.15" customHeight="1">
      <c r="A881" s="16"/>
      <c r="B881" s="17" t="str">
        <f>'Obrazac kalkulacije'!$B$11</f>
        <v>Vozila, strojevi i oprema:</v>
      </c>
      <c r="C881" s="17"/>
      <c r="D881" s="16"/>
      <c r="E881" s="16"/>
      <c r="F881" s="243"/>
      <c r="G881" s="18">
        <f>SUM(G882:G887)</f>
        <v>9.3586142857142853</v>
      </c>
      <c r="H881" s="559"/>
      <c r="I881" s="17"/>
      <c r="J881" s="16"/>
      <c r="K881" s="16"/>
      <c r="L881" s="243"/>
      <c r="M881" s="18">
        <f>SUM(M882:M887)</f>
        <v>9.1002374999999986</v>
      </c>
    </row>
    <row r="882" spans="1:13" ht="25.15" customHeight="1">
      <c r="A882" s="56"/>
      <c r="B882" s="839" t="s">
        <v>74</v>
      </c>
      <c r="C882" s="839"/>
      <c r="D882" s="57" t="s">
        <v>51</v>
      </c>
      <c r="E882" s="34">
        <f>H882/H877</f>
        <v>1.0714285714285714E-2</v>
      </c>
      <c r="F882" s="241">
        <f>SUMIF('Cjenik VSO'!$B$9:$B$85,$B882,'Cjenik VSO'!$C$9:$C$85)</f>
        <v>355.64</v>
      </c>
      <c r="G882" s="59">
        <f t="shared" ref="G882:G887" si="61">E882*F882</f>
        <v>3.8104285714285715</v>
      </c>
      <c r="H882" s="559">
        <v>15</v>
      </c>
      <c r="I882" s="707"/>
      <c r="J882" s="57" t="s">
        <v>51</v>
      </c>
      <c r="K882" s="92">
        <v>1.125E-2</v>
      </c>
      <c r="L882" s="241">
        <f>SUMIF('Cjenik VSO'!$B$9:$B$85,$B882,'Cjenik VSO'!$C$9:$C$85)</f>
        <v>355.64</v>
      </c>
      <c r="M882" s="59">
        <f t="shared" ref="M882:M887" si="62">K882*L882</f>
        <v>4.0009499999999996</v>
      </c>
    </row>
    <row r="883" spans="1:13" ht="25.15" customHeight="1">
      <c r="A883" s="56"/>
      <c r="B883" s="839" t="s">
        <v>75</v>
      </c>
      <c r="C883" s="839"/>
      <c r="D883" s="57" t="s">
        <v>51</v>
      </c>
      <c r="E883" s="34">
        <f>H883/H877</f>
        <v>5.7142857142857143E-3</v>
      </c>
      <c r="F883" s="241">
        <f>SUMIF('Cjenik VSO'!$B$9:$B$85,$B883,'Cjenik VSO'!$C$9:$C$85)</f>
        <v>718.97</v>
      </c>
      <c r="G883" s="59">
        <f t="shared" si="61"/>
        <v>4.1084000000000005</v>
      </c>
      <c r="H883" s="559">
        <v>8</v>
      </c>
      <c r="I883" s="707"/>
      <c r="J883" s="57" t="s">
        <v>51</v>
      </c>
      <c r="K883" s="92">
        <v>5.0000000000000001E-3</v>
      </c>
      <c r="L883" s="241">
        <f>SUMIF('Cjenik VSO'!$B$9:$B$85,$B883,'Cjenik VSO'!$C$9:$C$85)</f>
        <v>718.97</v>
      </c>
      <c r="M883" s="59">
        <f t="shared" si="62"/>
        <v>3.5948500000000001</v>
      </c>
    </row>
    <row r="884" spans="1:13" ht="25.15" customHeight="1">
      <c r="A884" s="56"/>
      <c r="B884" s="839" t="s">
        <v>60</v>
      </c>
      <c r="C884" s="839"/>
      <c r="D884" s="57" t="s">
        <v>51</v>
      </c>
      <c r="E884" s="34">
        <f>H884/H877</f>
        <v>2.142857142857143E-3</v>
      </c>
      <c r="F884" s="241">
        <f>SUMIF('Cjenik VSO'!$B$9:$B$85,$B884,'Cjenik VSO'!$C$9:$C$85)</f>
        <v>328.73</v>
      </c>
      <c r="G884" s="59">
        <f t="shared" si="61"/>
        <v>0.70442142857142864</v>
      </c>
      <c r="H884" s="559">
        <v>3</v>
      </c>
      <c r="I884" s="707"/>
      <c r="J884" s="57" t="s">
        <v>51</v>
      </c>
      <c r="K884" s="92">
        <v>2.5000000000000001E-3</v>
      </c>
      <c r="L884" s="241">
        <f>SUMIF('Cjenik VSO'!$B$9:$B$85,$B884,'Cjenik VSO'!$C$9:$C$85)</f>
        <v>328.73</v>
      </c>
      <c r="M884" s="59">
        <f t="shared" si="62"/>
        <v>0.82182500000000003</v>
      </c>
    </row>
    <row r="885" spans="1:13" ht="25.15" customHeight="1">
      <c r="A885" s="56"/>
      <c r="B885" s="839" t="s">
        <v>61</v>
      </c>
      <c r="C885" s="839"/>
      <c r="D885" s="57" t="s">
        <v>51</v>
      </c>
      <c r="E885" s="34">
        <f>H885/H877</f>
        <v>2.142857142857143E-3</v>
      </c>
      <c r="F885" s="241">
        <f>SUMIF('Cjenik VSO'!$B$9:$B$85,$B885,'Cjenik VSO'!$C$9:$C$85)</f>
        <v>62.67</v>
      </c>
      <c r="G885" s="59">
        <f t="shared" si="61"/>
        <v>0.13429285714285716</v>
      </c>
      <c r="H885" s="559">
        <v>3</v>
      </c>
      <c r="I885" s="707"/>
      <c r="J885" s="57" t="s">
        <v>51</v>
      </c>
      <c r="K885" s="92">
        <v>2.5000000000000001E-3</v>
      </c>
      <c r="L885" s="241">
        <f>SUMIF('Cjenik VSO'!$B$9:$B$85,$B885,'Cjenik VSO'!$C$9:$C$85)</f>
        <v>62.67</v>
      </c>
      <c r="M885" s="59">
        <f t="shared" si="62"/>
        <v>0.15667500000000001</v>
      </c>
    </row>
    <row r="886" spans="1:13" ht="25.15" customHeight="1">
      <c r="A886" s="56"/>
      <c r="B886" s="839" t="s">
        <v>81</v>
      </c>
      <c r="C886" s="839"/>
      <c r="D886" s="57" t="s">
        <v>51</v>
      </c>
      <c r="E886" s="34">
        <f>H886/H877</f>
        <v>1.4285714285714286E-3</v>
      </c>
      <c r="F886" s="241">
        <f>SUMIF('Cjenik VSO'!$B$9:$B$85,$B886,'Cjenik VSO'!$C$9:$C$85)</f>
        <v>107.11</v>
      </c>
      <c r="G886" s="59">
        <f t="shared" si="61"/>
        <v>0.15301428571428571</v>
      </c>
      <c r="H886" s="559">
        <v>2</v>
      </c>
      <c r="I886" s="707"/>
      <c r="J886" s="57" t="s">
        <v>51</v>
      </c>
      <c r="K886" s="92">
        <v>1.25E-3</v>
      </c>
      <c r="L886" s="241">
        <f>SUMIF('Cjenik VSO'!$B$9:$B$85,$B886,'Cjenik VSO'!$C$9:$C$85)</f>
        <v>107.11</v>
      </c>
      <c r="M886" s="59">
        <f t="shared" si="62"/>
        <v>0.13388749999999999</v>
      </c>
    </row>
    <row r="887" spans="1:13" ht="25.15" customHeight="1" thickBot="1">
      <c r="A887" s="66"/>
      <c r="B887" s="858" t="s">
        <v>63</v>
      </c>
      <c r="C887" s="858"/>
      <c r="D887" s="67" t="s">
        <v>51</v>
      </c>
      <c r="E887" s="34">
        <f>H887/H877</f>
        <v>1.4285714285714286E-3</v>
      </c>
      <c r="F887" s="249">
        <f>SUMIF('Cjenik VSO'!$B$9:$B$85,$B887,'Cjenik VSO'!$C$9:$C$85)</f>
        <v>313.64</v>
      </c>
      <c r="G887" s="69">
        <f t="shared" si="61"/>
        <v>0.44805714285714282</v>
      </c>
      <c r="H887" s="559">
        <v>2</v>
      </c>
      <c r="I887" s="712"/>
      <c r="J887" s="67" t="s">
        <v>51</v>
      </c>
      <c r="K887" s="103">
        <v>1.25E-3</v>
      </c>
      <c r="L887" s="249">
        <f>SUMIF('Cjenik VSO'!$B$9:$B$85,$B887,'Cjenik VSO'!$C$9:$C$85)</f>
        <v>313.64</v>
      </c>
      <c r="M887" s="69">
        <f t="shared" si="62"/>
        <v>0.39205000000000001</v>
      </c>
    </row>
    <row r="888" spans="1:13" ht="25.15" customHeight="1" thickTop="1" thickBot="1">
      <c r="B888" s="47"/>
      <c r="C888" s="24"/>
      <c r="D888" s="25"/>
      <c r="E888" s="147" t="str">
        <f>'Obrazac kalkulacije'!$E$18</f>
        <v>Ukupno (kn):</v>
      </c>
      <c r="F888" s="255"/>
      <c r="G888" s="26">
        <f>ROUND(SUM(G879+G881),2)</f>
        <v>10.93</v>
      </c>
      <c r="H888" s="269"/>
      <c r="I888" s="24"/>
      <c r="J888" s="25"/>
      <c r="K888" s="147" t="str">
        <f>'Obrazac kalkulacije'!$E$18</f>
        <v>Ukupno (kn):</v>
      </c>
      <c r="L888" s="255"/>
      <c r="M888" s="26">
        <f>ROUND(SUM(M879+M881),2)</f>
        <v>11.2</v>
      </c>
    </row>
    <row r="889" spans="1:13" ht="25.15" customHeight="1" thickTop="1" thickBot="1">
      <c r="E889" s="27" t="str">
        <f>'Obrazac kalkulacije'!$E$19</f>
        <v>PDV:</v>
      </c>
      <c r="F889" s="248">
        <f>'Obrazac kalkulacije'!$F$19</f>
        <v>0.25</v>
      </c>
      <c r="G889" s="29">
        <f>G888*F889</f>
        <v>2.7324999999999999</v>
      </c>
      <c r="H889" s="561"/>
      <c r="K889" s="27" t="str">
        <f>'Obrazac kalkulacije'!$E$19</f>
        <v>PDV:</v>
      </c>
      <c r="L889" s="248">
        <f>'Obrazac kalkulacije'!$F$19</f>
        <v>0.25</v>
      </c>
      <c r="M889" s="29">
        <f>M888*L889</f>
        <v>2.8</v>
      </c>
    </row>
    <row r="890" spans="1:13" ht="25.15" customHeight="1" thickTop="1" thickBot="1">
      <c r="E890" s="148" t="str">
        <f>'Obrazac kalkulacije'!$E$20</f>
        <v>Sveukupno (kn):</v>
      </c>
      <c r="F890" s="256"/>
      <c r="G890" s="29">
        <f>ROUND(SUM(G888:G889),2)</f>
        <v>13.66</v>
      </c>
      <c r="H890" s="562"/>
      <c r="K890" s="148" t="str">
        <f>'Obrazac kalkulacije'!$E$20</f>
        <v>Sveukupno (kn):</v>
      </c>
      <c r="L890" s="256"/>
      <c r="M890" s="29">
        <f>ROUND(SUM(M888:M889),2)</f>
        <v>14</v>
      </c>
    </row>
    <row r="891" spans="1:13" ht="15" customHeight="1" thickTop="1"/>
    <row r="892" spans="1:13" ht="15" customHeight="1"/>
    <row r="893" spans="1:13" ht="15" customHeight="1"/>
    <row r="894" spans="1:13" ht="15" customHeight="1">
      <c r="C894" s="3" t="str">
        <f>'Obrazac kalkulacije'!$C$24</f>
        <v>IZVODITELJ:</v>
      </c>
      <c r="F894" s="841" t="str">
        <f>'Obrazac kalkulacije'!$F$24</f>
        <v>NARUČITELJ:</v>
      </c>
      <c r="G894" s="841"/>
      <c r="I894" s="3" t="str">
        <f>'Obrazac kalkulacije'!$C$24</f>
        <v>IZVODITELJ:</v>
      </c>
      <c r="L894" s="841" t="str">
        <f>'Obrazac kalkulacije'!$F$24</f>
        <v>NARUČITELJ:</v>
      </c>
      <c r="M894" s="841"/>
    </row>
    <row r="895" spans="1:13" ht="25.15" customHeight="1">
      <c r="C895" s="3" t="str">
        <f>'Obrazac kalkulacije'!$C$25</f>
        <v>__________________</v>
      </c>
      <c r="F895" s="841" t="str">
        <f>'Obrazac kalkulacije'!$F$25</f>
        <v>___________________</v>
      </c>
      <c r="G895" s="841"/>
      <c r="I895" s="3" t="str">
        <f>'Obrazac kalkulacije'!$C$25</f>
        <v>__________________</v>
      </c>
      <c r="L895" s="841" t="str">
        <f>'Obrazac kalkulacije'!$F$25</f>
        <v>___________________</v>
      </c>
      <c r="M895" s="841"/>
    </row>
    <row r="896" spans="1:13" ht="15" customHeight="1">
      <c r="G896" s="30"/>
      <c r="M896" s="30"/>
    </row>
    <row r="897" spans="1:13" ht="15" customHeight="1"/>
    <row r="898" spans="1:13" ht="15" customHeight="1">
      <c r="A898" s="144"/>
      <c r="B898" s="145" t="s">
        <v>17</v>
      </c>
      <c r="C898" s="146" t="s">
        <v>56</v>
      </c>
      <c r="D898" s="146"/>
      <c r="E898" s="146"/>
      <c r="F898" s="252"/>
      <c r="G898" s="146"/>
      <c r="I898" s="146" t="s">
        <v>56</v>
      </c>
      <c r="J898" s="146"/>
      <c r="K898" s="146"/>
      <c r="L898" s="252"/>
      <c r="M898" s="146"/>
    </row>
    <row r="899" spans="1:13" ht="15" customHeight="1">
      <c r="A899" s="38"/>
      <c r="B899" s="39" t="s">
        <v>64</v>
      </c>
      <c r="C899" s="8" t="s">
        <v>65</v>
      </c>
      <c r="D899" s="8"/>
      <c r="E899" s="8"/>
      <c r="F899" s="253"/>
      <c r="G899" s="8"/>
      <c r="I899" s="8" t="s">
        <v>65</v>
      </c>
      <c r="J899" s="8"/>
      <c r="K899" s="8"/>
      <c r="L899" s="253"/>
      <c r="M899" s="8"/>
    </row>
    <row r="900" spans="1:13" ht="15" customHeight="1">
      <c r="A900" s="48"/>
      <c r="B900" s="49" t="s">
        <v>154</v>
      </c>
      <c r="C900" s="50" t="s">
        <v>155</v>
      </c>
      <c r="D900" s="50"/>
      <c r="E900" s="50"/>
      <c r="F900" s="250"/>
      <c r="G900" s="50"/>
      <c r="I900" s="50" t="s">
        <v>155</v>
      </c>
      <c r="J900" s="50"/>
      <c r="K900" s="50"/>
      <c r="L900" s="250"/>
      <c r="M900" s="50"/>
    </row>
    <row r="901" spans="1:13" ht="150" customHeight="1">
      <c r="A901" s="40"/>
      <c r="B901" s="556" t="s">
        <v>162</v>
      </c>
      <c r="C901" s="852" t="s">
        <v>163</v>
      </c>
      <c r="D901" s="852"/>
      <c r="E901" s="852"/>
      <c r="F901" s="852"/>
      <c r="G901" s="852"/>
      <c r="I901" s="869" t="s">
        <v>163</v>
      </c>
      <c r="J901" s="869"/>
      <c r="K901" s="869"/>
      <c r="L901" s="869"/>
      <c r="M901" s="869"/>
    </row>
    <row r="902" spans="1:13" ht="15" customHeight="1" thickBot="1"/>
    <row r="903" spans="1:13" ht="30" customHeight="1" thickTop="1" thickBot="1">
      <c r="A903" s="10"/>
      <c r="B903" s="835" t="str">
        <f>'Obrazac kalkulacije'!$B$6:$C$6</f>
        <v>Opis</v>
      </c>
      <c r="C903" s="835"/>
      <c r="D903" s="10" t="str">
        <f>'Obrazac kalkulacije'!$D$6</f>
        <v>Jed.
mjere</v>
      </c>
      <c r="E903" s="10" t="str">
        <f>'Obrazac kalkulacije'!$E$6</f>
        <v>Normativ</v>
      </c>
      <c r="F903" s="10" t="str">
        <f>'Obrazac kalkulacije'!$F$6</f>
        <v>Jed.
cijena</v>
      </c>
      <c r="G903" s="10" t="str">
        <f>'Obrazac kalkulacije'!$G$6</f>
        <v>Iznos</v>
      </c>
      <c r="H903" s="3">
        <v>1100</v>
      </c>
      <c r="I903" s="703"/>
      <c r="J903" s="10" t="str">
        <f>'Obrazac kalkulacije'!$D$6</f>
        <v>Jed.
mjere</v>
      </c>
      <c r="K903" s="10" t="str">
        <f>'Obrazac kalkulacije'!$E$6</f>
        <v>Normativ</v>
      </c>
      <c r="L903" s="10" t="str">
        <f>'Obrazac kalkulacije'!$F$6</f>
        <v>Jed.
cijena</v>
      </c>
      <c r="M903" s="10" t="str">
        <f>'Obrazac kalkulacije'!$G$6</f>
        <v>Iznos</v>
      </c>
    </row>
    <row r="904" spans="1:13" ht="4.5" customHeight="1" thickTop="1">
      <c r="B904" s="42"/>
      <c r="C904" s="1"/>
      <c r="D904" s="11"/>
      <c r="E904" s="13"/>
      <c r="F904" s="245"/>
      <c r="G904" s="15"/>
      <c r="I904" s="1"/>
      <c r="J904" s="11"/>
      <c r="K904" s="13"/>
      <c r="L904" s="245"/>
      <c r="M904" s="15"/>
    </row>
    <row r="905" spans="1:13" ht="25.15" customHeight="1">
      <c r="A905" s="16"/>
      <c r="B905" s="17" t="str">
        <f>'Obrazac kalkulacije'!$B$8</f>
        <v>Radna snaga:</v>
      </c>
      <c r="C905" s="17"/>
      <c r="D905" s="16"/>
      <c r="E905" s="16"/>
      <c r="F905" s="246"/>
      <c r="G905" s="18">
        <f>SUM(G906:G906)</f>
        <v>2.0051181818181818</v>
      </c>
      <c r="I905" s="17"/>
      <c r="J905" s="16"/>
      <c r="K905" s="16"/>
      <c r="L905" s="246"/>
      <c r="M905" s="18">
        <f>SUM(M906:M906)</f>
        <v>1.8005292899999998</v>
      </c>
    </row>
    <row r="906" spans="1:13" ht="25.15" customHeight="1">
      <c r="A906" s="32"/>
      <c r="B906" s="854" t="s">
        <v>57</v>
      </c>
      <c r="C906" s="854"/>
      <c r="D906" s="33" t="s">
        <v>51</v>
      </c>
      <c r="E906" s="34">
        <f>H906/H903</f>
        <v>1.9090909090909092E-2</v>
      </c>
      <c r="F906" s="243">
        <f>SUMIF('Cjenik RS'!$C$11:$C$26,$B906,'Cjenik RS'!$D$11:$D$90)</f>
        <v>105.03</v>
      </c>
      <c r="G906" s="35">
        <f>F906*E906</f>
        <v>2.0051181818181818</v>
      </c>
      <c r="H906" s="559">
        <v>21</v>
      </c>
      <c r="I906" s="701"/>
      <c r="J906" s="33" t="s">
        <v>51</v>
      </c>
      <c r="K906" s="34">
        <v>1.7142999999999999E-2</v>
      </c>
      <c r="L906" s="243">
        <f>SUMIF('Cjenik RS'!$C$11:$C$26,$B906,'Cjenik RS'!$D$11:$D$90)</f>
        <v>105.03</v>
      </c>
      <c r="M906" s="35">
        <f>+L906*K906</f>
        <v>1.8005292899999998</v>
      </c>
    </row>
    <row r="907" spans="1:13" ht="25.15" customHeight="1">
      <c r="A907" s="16"/>
      <c r="B907" s="17" t="str">
        <f>'Obrazac kalkulacije'!$B$11</f>
        <v>Vozila, strojevi i oprema:</v>
      </c>
      <c r="C907" s="17"/>
      <c r="D907" s="16"/>
      <c r="E907" s="16"/>
      <c r="F907" s="243"/>
      <c r="G907" s="18">
        <f>SUM(G908:G913)</f>
        <v>11.910963636363636</v>
      </c>
      <c r="H907" s="559"/>
      <c r="I907" s="17"/>
      <c r="J907" s="16"/>
      <c r="K907" s="16"/>
      <c r="L907" s="243"/>
      <c r="M907" s="18">
        <f>SUM(M908:M913)</f>
        <v>12.483723249999999</v>
      </c>
    </row>
    <row r="908" spans="1:13" ht="25.15" customHeight="1">
      <c r="A908" s="56"/>
      <c r="B908" s="839" t="s">
        <v>74</v>
      </c>
      <c r="C908" s="839"/>
      <c r="D908" s="57" t="s">
        <v>51</v>
      </c>
      <c r="E908" s="34">
        <f>H908/H903</f>
        <v>1.3636363636363636E-2</v>
      </c>
      <c r="F908" s="241">
        <f>SUMIF('Cjenik VSO'!$B$9:$B$85,$B908,'Cjenik VSO'!$C$9:$C$85)</f>
        <v>355.64</v>
      </c>
      <c r="G908" s="59">
        <f t="shared" ref="G908:G913" si="63">E908*F908</f>
        <v>4.8496363636363631</v>
      </c>
      <c r="H908" s="559">
        <v>15</v>
      </c>
      <c r="I908" s="707"/>
      <c r="J908" s="57" t="s">
        <v>51</v>
      </c>
      <c r="K908" s="92">
        <v>1.7142999999999999E-2</v>
      </c>
      <c r="L908" s="241">
        <f>SUMIF('Cjenik VSO'!$B$9:$B$85,$B908,'Cjenik VSO'!$C$9:$C$85)</f>
        <v>355.64</v>
      </c>
      <c r="M908" s="59">
        <f t="shared" ref="M908:M913" si="64">K908*L908</f>
        <v>6.0967365199999994</v>
      </c>
    </row>
    <row r="909" spans="1:13" ht="25.15" customHeight="1">
      <c r="A909" s="56"/>
      <c r="B909" s="839" t="s">
        <v>75</v>
      </c>
      <c r="C909" s="839"/>
      <c r="D909" s="57" t="s">
        <v>51</v>
      </c>
      <c r="E909" s="34">
        <f>H909/H903</f>
        <v>7.2727272727272727E-3</v>
      </c>
      <c r="F909" s="241">
        <f>SUMIF('Cjenik VSO'!$B$9:$B$85,$B909,'Cjenik VSO'!$C$9:$C$85)</f>
        <v>718.97</v>
      </c>
      <c r="G909" s="59">
        <f t="shared" si="63"/>
        <v>5.2288727272727273</v>
      </c>
      <c r="H909" s="559">
        <v>8</v>
      </c>
      <c r="I909" s="707"/>
      <c r="J909" s="57" t="s">
        <v>51</v>
      </c>
      <c r="K909" s="92">
        <v>5.7140000000000003E-3</v>
      </c>
      <c r="L909" s="241">
        <f>SUMIF('Cjenik VSO'!$B$9:$B$85,$B909,'Cjenik VSO'!$C$9:$C$85)</f>
        <v>718.97</v>
      </c>
      <c r="M909" s="59">
        <f t="shared" si="64"/>
        <v>4.1081945800000002</v>
      </c>
    </row>
    <row r="910" spans="1:13" ht="25.15" customHeight="1">
      <c r="A910" s="56"/>
      <c r="B910" s="839" t="s">
        <v>60</v>
      </c>
      <c r="C910" s="839"/>
      <c r="D910" s="57" t="s">
        <v>51</v>
      </c>
      <c r="E910" s="34">
        <f>H910/H903</f>
        <v>2.7272727272727275E-3</v>
      </c>
      <c r="F910" s="241">
        <f>SUMIF('Cjenik VSO'!$B$9:$B$85,$B910,'Cjenik VSO'!$C$9:$C$85)</f>
        <v>328.73</v>
      </c>
      <c r="G910" s="59">
        <f t="shared" si="63"/>
        <v>0.8965363636363638</v>
      </c>
      <c r="H910" s="559">
        <v>3</v>
      </c>
      <c r="I910" s="707"/>
      <c r="J910" s="57" t="s">
        <v>51</v>
      </c>
      <c r="K910" s="92">
        <v>4.2859999999999999E-3</v>
      </c>
      <c r="L910" s="241">
        <f>SUMIF('Cjenik VSO'!$B$9:$B$85,$B910,'Cjenik VSO'!$C$9:$C$85)</f>
        <v>328.73</v>
      </c>
      <c r="M910" s="59">
        <f t="shared" si="64"/>
        <v>1.4089367800000001</v>
      </c>
    </row>
    <row r="911" spans="1:13" ht="25.15" customHeight="1">
      <c r="A911" s="56"/>
      <c r="B911" s="839" t="s">
        <v>61</v>
      </c>
      <c r="C911" s="839"/>
      <c r="D911" s="57" t="s">
        <v>51</v>
      </c>
      <c r="E911" s="34">
        <f>H911/H903</f>
        <v>2.7272727272727275E-3</v>
      </c>
      <c r="F911" s="241">
        <f>SUMIF('Cjenik VSO'!$B$9:$B$85,$B911,'Cjenik VSO'!$C$9:$C$85)</f>
        <v>62.67</v>
      </c>
      <c r="G911" s="59">
        <f t="shared" si="63"/>
        <v>0.17091818181818183</v>
      </c>
      <c r="H911" s="559">
        <v>3</v>
      </c>
      <c r="I911" s="707"/>
      <c r="J911" s="57" t="s">
        <v>51</v>
      </c>
      <c r="K911" s="92">
        <v>4.2859999999999999E-3</v>
      </c>
      <c r="L911" s="241">
        <f>SUMIF('Cjenik VSO'!$B$9:$B$85,$B911,'Cjenik VSO'!$C$9:$C$85)</f>
        <v>62.67</v>
      </c>
      <c r="M911" s="59">
        <f t="shared" si="64"/>
        <v>0.26860361999999999</v>
      </c>
    </row>
    <row r="912" spans="1:13" ht="25.15" customHeight="1">
      <c r="A912" s="56"/>
      <c r="B912" s="839" t="s">
        <v>81</v>
      </c>
      <c r="C912" s="839"/>
      <c r="D912" s="57" t="s">
        <v>51</v>
      </c>
      <c r="E912" s="34">
        <f>H912/H903</f>
        <v>1.8181818181818182E-3</v>
      </c>
      <c r="F912" s="241">
        <f>SUMIF('Cjenik VSO'!$B$9:$B$85,$B912,'Cjenik VSO'!$C$9:$C$85)</f>
        <v>107.11</v>
      </c>
      <c r="G912" s="59">
        <f t="shared" si="63"/>
        <v>0.19474545454545455</v>
      </c>
      <c r="H912" s="559">
        <v>2</v>
      </c>
      <c r="I912" s="707"/>
      <c r="J912" s="57" t="s">
        <v>51</v>
      </c>
      <c r="K912" s="92">
        <v>1.4289999999999999E-3</v>
      </c>
      <c r="L912" s="241">
        <f>SUMIF('Cjenik VSO'!$B$9:$B$85,$B912,'Cjenik VSO'!$C$9:$C$85)</f>
        <v>107.11</v>
      </c>
      <c r="M912" s="59">
        <f t="shared" si="64"/>
        <v>0.15306018999999998</v>
      </c>
    </row>
    <row r="913" spans="1:13" ht="25.15" customHeight="1" thickBot="1">
      <c r="A913" s="66"/>
      <c r="B913" s="858" t="s">
        <v>63</v>
      </c>
      <c r="C913" s="858"/>
      <c r="D913" s="67" t="s">
        <v>51</v>
      </c>
      <c r="E913" s="34">
        <f>H913/H903</f>
        <v>1.8181818181818182E-3</v>
      </c>
      <c r="F913" s="249">
        <f>SUMIF('Cjenik VSO'!$B$9:$B$85,$B913,'Cjenik VSO'!$C$9:$C$85)</f>
        <v>313.64</v>
      </c>
      <c r="G913" s="69">
        <f t="shared" si="63"/>
        <v>0.57025454545454546</v>
      </c>
      <c r="H913" s="559">
        <v>2</v>
      </c>
      <c r="I913" s="712"/>
      <c r="J913" s="67" t="s">
        <v>51</v>
      </c>
      <c r="K913" s="103">
        <v>1.4289999999999999E-3</v>
      </c>
      <c r="L913" s="249">
        <f>SUMIF('Cjenik VSO'!$B$9:$B$85,$B913,'Cjenik VSO'!$C$9:$C$85)</f>
        <v>313.64</v>
      </c>
      <c r="M913" s="69">
        <f t="shared" si="64"/>
        <v>0.44819155999999993</v>
      </c>
    </row>
    <row r="914" spans="1:13" ht="25.15" customHeight="1" thickTop="1" thickBot="1">
      <c r="B914" s="47"/>
      <c r="C914" s="24"/>
      <c r="D914" s="25"/>
      <c r="E914" s="147" t="str">
        <f>'Obrazac kalkulacije'!$E$18</f>
        <v>Ukupno (kn):</v>
      </c>
      <c r="F914" s="255"/>
      <c r="G914" s="26">
        <f>ROUND(SUM(G905+G907),2)</f>
        <v>13.92</v>
      </c>
      <c r="H914" s="269"/>
      <c r="I914" s="24"/>
      <c r="J914" s="25"/>
      <c r="K914" s="147" t="str">
        <f>'Obrazac kalkulacije'!$E$18</f>
        <v>Ukupno (kn):</v>
      </c>
      <c r="L914" s="255"/>
      <c r="M914" s="26">
        <f>ROUND(SUM(M905+M907),2)</f>
        <v>14.28</v>
      </c>
    </row>
    <row r="915" spans="1:13" ht="25.15" customHeight="1" thickTop="1" thickBot="1">
      <c r="E915" s="27" t="str">
        <f>'Obrazac kalkulacije'!$E$19</f>
        <v>PDV:</v>
      </c>
      <c r="F915" s="248">
        <f>'Obrazac kalkulacije'!$F$19</f>
        <v>0.25</v>
      </c>
      <c r="G915" s="29">
        <f>G914*F915</f>
        <v>3.48</v>
      </c>
      <c r="H915" s="561"/>
      <c r="K915" s="27" t="str">
        <f>'Obrazac kalkulacije'!$E$19</f>
        <v>PDV:</v>
      </c>
      <c r="L915" s="248">
        <f>'Obrazac kalkulacije'!$F$19</f>
        <v>0.25</v>
      </c>
      <c r="M915" s="29">
        <f>M914*L915</f>
        <v>3.57</v>
      </c>
    </row>
    <row r="916" spans="1:13" ht="25.15" customHeight="1" thickTop="1" thickBot="1">
      <c r="E916" s="148" t="str">
        <f>'Obrazac kalkulacije'!$E$20</f>
        <v>Sveukupno (kn):</v>
      </c>
      <c r="F916" s="256"/>
      <c r="G916" s="29">
        <f>ROUND(SUM(G914:G915),2)</f>
        <v>17.399999999999999</v>
      </c>
      <c r="H916" s="562"/>
      <c r="K916" s="148" t="str">
        <f>'Obrazac kalkulacije'!$E$20</f>
        <v>Sveukupno (kn):</v>
      </c>
      <c r="L916" s="256"/>
      <c r="M916" s="29">
        <f>ROUND(SUM(M914:M915),2)</f>
        <v>17.850000000000001</v>
      </c>
    </row>
    <row r="917" spans="1:13" ht="15" customHeight="1" thickTop="1"/>
    <row r="918" spans="1:13" ht="15" customHeight="1"/>
    <row r="919" spans="1:13" ht="15" customHeight="1"/>
    <row r="920" spans="1:13" ht="15" customHeight="1">
      <c r="C920" s="3" t="str">
        <f>'Obrazac kalkulacije'!$C$24</f>
        <v>IZVODITELJ:</v>
      </c>
      <c r="F920" s="841" t="str">
        <f>'Obrazac kalkulacije'!$F$24</f>
        <v>NARUČITELJ:</v>
      </c>
      <c r="G920" s="841"/>
      <c r="I920" s="3" t="str">
        <f>'Obrazac kalkulacije'!$C$24</f>
        <v>IZVODITELJ:</v>
      </c>
      <c r="L920" s="841" t="str">
        <f>'Obrazac kalkulacije'!$F$24</f>
        <v>NARUČITELJ:</v>
      </c>
      <c r="M920" s="841"/>
    </row>
    <row r="921" spans="1:13" ht="25.15" customHeight="1">
      <c r="C921" s="3" t="str">
        <f>'Obrazac kalkulacije'!$C$25</f>
        <v>__________________</v>
      </c>
      <c r="F921" s="841" t="str">
        <f>'Obrazac kalkulacije'!$F$25</f>
        <v>___________________</v>
      </c>
      <c r="G921" s="841"/>
      <c r="I921" s="3" t="str">
        <f>'Obrazac kalkulacije'!$C$25</f>
        <v>__________________</v>
      </c>
      <c r="L921" s="841" t="str">
        <f>'Obrazac kalkulacije'!$F$25</f>
        <v>___________________</v>
      </c>
      <c r="M921" s="841"/>
    </row>
    <row r="922" spans="1:13" ht="15" customHeight="1">
      <c r="G922" s="30"/>
      <c r="M922" s="30"/>
    </row>
    <row r="923" spans="1:13" ht="15" customHeight="1"/>
    <row r="924" spans="1:13" ht="15" customHeight="1">
      <c r="A924" s="144"/>
      <c r="B924" s="145" t="s">
        <v>17</v>
      </c>
      <c r="C924" s="146" t="s">
        <v>56</v>
      </c>
      <c r="D924" s="146"/>
      <c r="E924" s="146"/>
      <c r="F924" s="252"/>
      <c r="G924" s="146"/>
      <c r="I924" s="146" t="s">
        <v>56</v>
      </c>
      <c r="J924" s="146"/>
      <c r="K924" s="146"/>
      <c r="L924" s="252"/>
      <c r="M924" s="146"/>
    </row>
    <row r="925" spans="1:13" ht="15" customHeight="1">
      <c r="A925" s="38"/>
      <c r="B925" s="39" t="s">
        <v>164</v>
      </c>
      <c r="C925" s="8" t="s">
        <v>165</v>
      </c>
      <c r="D925" s="8"/>
      <c r="E925" s="8"/>
      <c r="F925" s="253"/>
      <c r="G925" s="8"/>
      <c r="I925" s="8" t="s">
        <v>165</v>
      </c>
      <c r="J925" s="8"/>
      <c r="K925" s="8"/>
      <c r="L925" s="253"/>
      <c r="M925" s="8"/>
    </row>
    <row r="926" spans="1:13" ht="150" customHeight="1">
      <c r="A926" s="40"/>
      <c r="B926" s="556" t="s">
        <v>166</v>
      </c>
      <c r="C926" s="852" t="s">
        <v>167</v>
      </c>
      <c r="D926" s="852"/>
      <c r="E926" s="852"/>
      <c r="F926" s="852"/>
      <c r="G926" s="852"/>
      <c r="I926" s="869" t="s">
        <v>167</v>
      </c>
      <c r="J926" s="869"/>
      <c r="K926" s="869"/>
      <c r="L926" s="869"/>
      <c r="M926" s="869"/>
    </row>
    <row r="927" spans="1:13" ht="15" customHeight="1" thickBot="1"/>
    <row r="928" spans="1:13" ht="30" customHeight="1" thickTop="1" thickBot="1">
      <c r="A928" s="10"/>
      <c r="B928" s="835" t="str">
        <f>'Obrazac kalkulacije'!$B$6:$C$6</f>
        <v>Opis</v>
      </c>
      <c r="C928" s="835"/>
      <c r="D928" s="10" t="str">
        <f>'Obrazac kalkulacije'!$D$6</f>
        <v>Jed.
mjere</v>
      </c>
      <c r="E928" s="10" t="str">
        <f>'Obrazac kalkulacije'!$E$6</f>
        <v>Normativ</v>
      </c>
      <c r="F928" s="10" t="str">
        <f>'Obrazac kalkulacije'!$F$6</f>
        <v>Jed.
cijena</v>
      </c>
      <c r="G928" s="10" t="str">
        <f>'Obrazac kalkulacije'!$G$6</f>
        <v>Iznos</v>
      </c>
      <c r="I928" s="703"/>
      <c r="J928" s="10" t="str">
        <f>'Obrazac kalkulacije'!$D$6</f>
        <v>Jed.
mjere</v>
      </c>
      <c r="K928" s="10" t="str">
        <f>'Obrazac kalkulacije'!$E$6</f>
        <v>Normativ</v>
      </c>
      <c r="L928" s="10" t="str">
        <f>'Obrazac kalkulacije'!$F$6</f>
        <v>Jed.
cijena</v>
      </c>
      <c r="M928" s="10" t="str">
        <f>'Obrazac kalkulacije'!$G$6</f>
        <v>Iznos</v>
      </c>
    </row>
    <row r="929" spans="1:13" ht="4.5" customHeight="1" thickTop="1">
      <c r="B929" s="42"/>
      <c r="C929" s="1"/>
      <c r="D929" s="11"/>
      <c r="E929" s="13"/>
      <c r="F929" s="245"/>
      <c r="G929" s="15"/>
      <c r="I929" s="1"/>
      <c r="J929" s="11"/>
      <c r="K929" s="13"/>
      <c r="L929" s="245"/>
      <c r="M929" s="15"/>
    </row>
    <row r="930" spans="1:13" ht="25.15" customHeight="1">
      <c r="A930" s="16"/>
      <c r="B930" s="17" t="str">
        <f>'Obrazac kalkulacije'!$B$8</f>
        <v>Radna snaga:</v>
      </c>
      <c r="C930" s="17"/>
      <c r="D930" s="16"/>
      <c r="E930" s="16"/>
      <c r="F930" s="246"/>
      <c r="G930" s="18">
        <f>SUM(G931:G931)</f>
        <v>3.1658979216739715</v>
      </c>
      <c r="I930" s="17"/>
      <c r="J930" s="16"/>
      <c r="K930" s="16"/>
      <c r="L930" s="246"/>
      <c r="M930" s="18">
        <f>SUM(M931:M931)</f>
        <v>3.1509</v>
      </c>
    </row>
    <row r="931" spans="1:13" ht="25.15" customHeight="1">
      <c r="A931" s="32"/>
      <c r="B931" s="854" t="s">
        <v>57</v>
      </c>
      <c r="C931" s="854"/>
      <c r="D931" s="33" t="s">
        <v>51</v>
      </c>
      <c r="E931" s="34">
        <v>3.0142796550261558E-2</v>
      </c>
      <c r="F931" s="243">
        <f>SUMIF('Cjenik RS'!$C$11:$C$26,$B931,'Cjenik RS'!$D$11:$D$90)</f>
        <v>105.03</v>
      </c>
      <c r="G931" s="35">
        <f>+F931*E931</f>
        <v>3.1658979216739715</v>
      </c>
      <c r="I931" s="701"/>
      <c r="J931" s="33" t="s">
        <v>51</v>
      </c>
      <c r="K931" s="34">
        <v>0.03</v>
      </c>
      <c r="L931" s="243">
        <f>SUMIF('Cjenik RS'!$C$11:$C$26,$B931,'Cjenik RS'!$D$11:$D$90)</f>
        <v>105.03</v>
      </c>
      <c r="M931" s="35">
        <f>+L931*K931</f>
        <v>3.1509</v>
      </c>
    </row>
    <row r="932" spans="1:13" ht="25.15" customHeight="1">
      <c r="A932" s="16"/>
      <c r="B932" s="851" t="str">
        <f>'Obrazac kalkulacije'!$B$15</f>
        <v>Materijali:</v>
      </c>
      <c r="C932" s="851"/>
      <c r="D932" s="16"/>
      <c r="E932" s="16"/>
      <c r="F932" s="243"/>
      <c r="G932" s="18" t="e">
        <f>SUM(G933:G933)</f>
        <v>#VALUE!</v>
      </c>
      <c r="I932" s="709"/>
      <c r="J932" s="16"/>
      <c r="K932" s="16"/>
      <c r="L932" s="243"/>
      <c r="M932" s="18">
        <f>SUM(M933:M933)</f>
        <v>0</v>
      </c>
    </row>
    <row r="933" spans="1:13" ht="25.15" customHeight="1" thickBot="1">
      <c r="A933" s="74"/>
      <c r="B933" s="861" t="str">
        <f>'Cjenik M'!B27</f>
        <v>____________</v>
      </c>
      <c r="C933" s="861"/>
      <c r="D933" s="57">
        <f>'Cjenik M'!C27</f>
        <v>0</v>
      </c>
      <c r="E933" s="75">
        <v>1</v>
      </c>
      <c r="F933" s="241" t="str">
        <f>'Cjenik M'!D27</f>
        <v>___________</v>
      </c>
      <c r="G933" s="60" t="e">
        <f>+F933*E933</f>
        <v>#VALUE!</v>
      </c>
      <c r="I933" s="699"/>
      <c r="J933" s="57">
        <f>'Cjenik M'!K27</f>
        <v>0</v>
      </c>
      <c r="K933" s="75">
        <v>1</v>
      </c>
      <c r="L933" s="241">
        <f>'Cjenik M'!L27</f>
        <v>0</v>
      </c>
      <c r="M933" s="60">
        <f>+L933*K933</f>
        <v>0</v>
      </c>
    </row>
    <row r="934" spans="1:13" ht="25.15" customHeight="1" thickTop="1" thickBot="1">
      <c r="B934" s="47"/>
      <c r="C934" s="24"/>
      <c r="D934" s="25"/>
      <c r="E934" s="147" t="str">
        <f>'Obrazac kalkulacije'!$E$18</f>
        <v>Ukupno (kn):</v>
      </c>
      <c r="F934" s="255"/>
      <c r="G934" s="26" t="e">
        <f>ROUND(SUM(G930+G932),2)</f>
        <v>#VALUE!</v>
      </c>
      <c r="H934" s="269"/>
      <c r="I934" s="24"/>
      <c r="J934" s="25"/>
      <c r="K934" s="147" t="str">
        <f>'Obrazac kalkulacije'!$E$18</f>
        <v>Ukupno (kn):</v>
      </c>
      <c r="L934" s="255"/>
      <c r="M934" s="26">
        <f>ROUND(SUM(M930+M932),2)</f>
        <v>3.15</v>
      </c>
    </row>
    <row r="935" spans="1:13" ht="25.15" customHeight="1" thickTop="1" thickBot="1">
      <c r="E935" s="27" t="str">
        <f>'Obrazac kalkulacije'!$E$19</f>
        <v>PDV:</v>
      </c>
      <c r="F935" s="248">
        <f>'Obrazac kalkulacije'!$F$19</f>
        <v>0.25</v>
      </c>
      <c r="G935" s="29" t="e">
        <f>G934*F935</f>
        <v>#VALUE!</v>
      </c>
      <c r="H935" s="561"/>
      <c r="K935" s="27" t="str">
        <f>'Obrazac kalkulacije'!$E$19</f>
        <v>PDV:</v>
      </c>
      <c r="L935" s="248">
        <f>'Obrazac kalkulacije'!$F$19</f>
        <v>0.25</v>
      </c>
      <c r="M935" s="29">
        <f>M934*L935</f>
        <v>0.78749999999999998</v>
      </c>
    </row>
    <row r="936" spans="1:13" ht="25.15" customHeight="1" thickTop="1" thickBot="1">
      <c r="E936" s="148" t="str">
        <f>'Obrazac kalkulacije'!$E$20</f>
        <v>Sveukupno (kn):</v>
      </c>
      <c r="F936" s="256"/>
      <c r="G936" s="29" t="e">
        <f>ROUND(SUM(G934:G935),2)</f>
        <v>#VALUE!</v>
      </c>
      <c r="H936" s="562"/>
      <c r="K936" s="148" t="str">
        <f>'Obrazac kalkulacije'!$E$20</f>
        <v>Sveukupno (kn):</v>
      </c>
      <c r="L936" s="256"/>
      <c r="M936" s="29">
        <f>ROUND(SUM(M934:M935),2)</f>
        <v>3.94</v>
      </c>
    </row>
    <row r="937" spans="1:13" ht="15" customHeight="1" thickTop="1"/>
    <row r="938" spans="1:13" ht="15" customHeight="1"/>
    <row r="939" spans="1:13" ht="15" customHeight="1"/>
    <row r="940" spans="1:13" ht="15" customHeight="1">
      <c r="C940" s="3" t="str">
        <f>'Obrazac kalkulacije'!$C$24</f>
        <v>IZVODITELJ:</v>
      </c>
      <c r="F940" s="841" t="str">
        <f>'Obrazac kalkulacije'!$F$24</f>
        <v>NARUČITELJ:</v>
      </c>
      <c r="G940" s="841"/>
      <c r="I940" s="3" t="str">
        <f>'Obrazac kalkulacije'!$C$24</f>
        <v>IZVODITELJ:</v>
      </c>
      <c r="L940" s="841" t="str">
        <f>'Obrazac kalkulacije'!$F$24</f>
        <v>NARUČITELJ:</v>
      </c>
      <c r="M940" s="841"/>
    </row>
    <row r="941" spans="1:13" ht="25.15" customHeight="1">
      <c r="C941" s="3" t="str">
        <f>'Obrazac kalkulacije'!$C$25</f>
        <v>__________________</v>
      </c>
      <c r="F941" s="841" t="str">
        <f>'Obrazac kalkulacije'!$F$25</f>
        <v>___________________</v>
      </c>
      <c r="G941" s="841"/>
      <c r="I941" s="3" t="str">
        <f>'Obrazac kalkulacije'!$C$25</f>
        <v>__________________</v>
      </c>
      <c r="L941" s="841" t="str">
        <f>'Obrazac kalkulacije'!$F$25</f>
        <v>___________________</v>
      </c>
      <c r="M941" s="841"/>
    </row>
    <row r="942" spans="1:13" ht="15" customHeight="1">
      <c r="G942" s="30"/>
      <c r="M942" s="30"/>
    </row>
    <row r="943" spans="1:13" ht="15" customHeight="1"/>
    <row r="944" spans="1:13" ht="15" customHeight="1">
      <c r="A944" s="144"/>
      <c r="B944" s="145" t="s">
        <v>17</v>
      </c>
      <c r="C944" s="146" t="s">
        <v>56</v>
      </c>
      <c r="D944" s="146"/>
      <c r="E944" s="146"/>
      <c r="F944" s="252"/>
      <c r="G944" s="146"/>
      <c r="I944" s="146" t="s">
        <v>56</v>
      </c>
      <c r="J944" s="146"/>
      <c r="K944" s="146"/>
      <c r="L944" s="252"/>
      <c r="M944" s="146"/>
    </row>
    <row r="945" spans="1:13" ht="15" customHeight="1">
      <c r="A945" s="38"/>
      <c r="B945" s="39" t="s">
        <v>164</v>
      </c>
      <c r="C945" s="8" t="s">
        <v>165</v>
      </c>
      <c r="D945" s="8"/>
      <c r="E945" s="8"/>
      <c r="F945" s="253"/>
      <c r="G945" s="8"/>
      <c r="I945" s="8" t="s">
        <v>165</v>
      </c>
      <c r="J945" s="8"/>
      <c r="K945" s="8"/>
      <c r="L945" s="253"/>
      <c r="M945" s="8"/>
    </row>
    <row r="946" spans="1:13" ht="150" customHeight="1">
      <c r="A946" s="40"/>
      <c r="B946" s="556" t="s">
        <v>168</v>
      </c>
      <c r="C946" s="852" t="s">
        <v>169</v>
      </c>
      <c r="D946" s="852"/>
      <c r="E946" s="852"/>
      <c r="F946" s="852"/>
      <c r="G946" s="852"/>
      <c r="I946" s="869" t="s">
        <v>169</v>
      </c>
      <c r="J946" s="869"/>
      <c r="K946" s="869"/>
      <c r="L946" s="869"/>
      <c r="M946" s="869"/>
    </row>
    <row r="947" spans="1:13" ht="15" customHeight="1" thickBot="1"/>
    <row r="948" spans="1:13" ht="30" customHeight="1" thickTop="1" thickBot="1">
      <c r="A948" s="10"/>
      <c r="B948" s="835" t="str">
        <f>'Obrazac kalkulacije'!$B$6:$C$6</f>
        <v>Opis</v>
      </c>
      <c r="C948" s="835"/>
      <c r="D948" s="10" t="str">
        <f>'Obrazac kalkulacije'!$D$6</f>
        <v>Jed.
mjere</v>
      </c>
      <c r="E948" s="10" t="str">
        <f>'Obrazac kalkulacije'!$E$6</f>
        <v>Normativ</v>
      </c>
      <c r="F948" s="10" t="str">
        <f>'Obrazac kalkulacije'!$F$6</f>
        <v>Jed.
cijena</v>
      </c>
      <c r="G948" s="10" t="str">
        <f>'Obrazac kalkulacije'!$G$6</f>
        <v>Iznos</v>
      </c>
      <c r="I948" s="703"/>
      <c r="J948" s="10" t="str">
        <f>'Obrazac kalkulacije'!$D$6</f>
        <v>Jed.
mjere</v>
      </c>
      <c r="K948" s="10" t="str">
        <f>'Obrazac kalkulacije'!$E$6</f>
        <v>Normativ</v>
      </c>
      <c r="L948" s="10" t="str">
        <f>'Obrazac kalkulacije'!$F$6</f>
        <v>Jed.
cijena</v>
      </c>
      <c r="M948" s="10" t="str">
        <f>'Obrazac kalkulacije'!$G$6</f>
        <v>Iznos</v>
      </c>
    </row>
    <row r="949" spans="1:13" ht="4.5" customHeight="1" thickTop="1">
      <c r="B949" s="42"/>
      <c r="C949" s="1"/>
      <c r="D949" s="11"/>
      <c r="E949" s="13"/>
      <c r="F949" s="245"/>
      <c r="G949" s="15"/>
      <c r="I949" s="1"/>
      <c r="J949" s="11"/>
      <c r="K949" s="13"/>
      <c r="L949" s="245"/>
      <c r="M949" s="15"/>
    </row>
    <row r="950" spans="1:13" ht="25.15" customHeight="1">
      <c r="A950" s="16"/>
      <c r="B950" s="17" t="str">
        <f>'Obrazac kalkulacije'!$B$8</f>
        <v>Radna snaga:</v>
      </c>
      <c r="C950" s="17"/>
      <c r="D950" s="16"/>
      <c r="E950" s="16"/>
      <c r="F950" s="246"/>
      <c r="G950" s="18">
        <f>SUM(G951:G951)</f>
        <v>210.06</v>
      </c>
      <c r="I950" s="17"/>
      <c r="J950" s="16"/>
      <c r="K950" s="16"/>
      <c r="L950" s="246"/>
      <c r="M950" s="18">
        <f>SUM(M951:M951)</f>
        <v>210.06</v>
      </c>
    </row>
    <row r="951" spans="1:13" ht="25.15" customHeight="1" thickBot="1">
      <c r="A951" s="19"/>
      <c r="B951" s="862" t="s">
        <v>57</v>
      </c>
      <c r="C951" s="862"/>
      <c r="D951" s="33" t="s">
        <v>51</v>
      </c>
      <c r="E951" s="34">
        <v>2</v>
      </c>
      <c r="F951" s="243">
        <f>SUMIF('Cjenik RS'!$C$11:$C$26,$B951,'Cjenik RS'!$D$11:$D$90)</f>
        <v>105.03</v>
      </c>
      <c r="G951" s="35">
        <f>E951*F951</f>
        <v>210.06</v>
      </c>
      <c r="I951" s="711"/>
      <c r="J951" s="33" t="s">
        <v>51</v>
      </c>
      <c r="K951" s="34">
        <v>2</v>
      </c>
      <c r="L951" s="243">
        <f>SUMIF('Cjenik RS'!$C$11:$C$26,$B951,'Cjenik RS'!$D$11:$D$90)</f>
        <v>105.03</v>
      </c>
      <c r="M951" s="35">
        <f>K951*L951</f>
        <v>210.06</v>
      </c>
    </row>
    <row r="952" spans="1:13" ht="25.15" customHeight="1" thickTop="1" thickBot="1">
      <c r="B952" s="47"/>
      <c r="C952" s="24"/>
      <c r="D952" s="25"/>
      <c r="E952" s="147" t="str">
        <f>'Obrazac kalkulacije'!$E$18</f>
        <v>Ukupno (kn):</v>
      </c>
      <c r="F952" s="255"/>
      <c r="G952" s="26">
        <f>ROUND(SUM(G950),2)</f>
        <v>210.06</v>
      </c>
      <c r="H952" s="269"/>
      <c r="I952" s="24"/>
      <c r="J952" s="25"/>
      <c r="K952" s="147" t="str">
        <f>'Obrazac kalkulacije'!$E$18</f>
        <v>Ukupno (kn):</v>
      </c>
      <c r="L952" s="255"/>
      <c r="M952" s="26">
        <f>ROUND(SUM(M950),2)</f>
        <v>210.06</v>
      </c>
    </row>
    <row r="953" spans="1:13" ht="25.15" customHeight="1" thickTop="1" thickBot="1">
      <c r="E953" s="27" t="str">
        <f>'Obrazac kalkulacije'!$E$19</f>
        <v>PDV:</v>
      </c>
      <c r="F953" s="248">
        <f>'Obrazac kalkulacije'!$F$19</f>
        <v>0.25</v>
      </c>
      <c r="G953" s="29">
        <f>G952*F953</f>
        <v>52.515000000000001</v>
      </c>
      <c r="H953" s="561"/>
      <c r="K953" s="27" t="str">
        <f>'Obrazac kalkulacije'!$E$19</f>
        <v>PDV:</v>
      </c>
      <c r="L953" s="248">
        <f>'Obrazac kalkulacije'!$F$19</f>
        <v>0.25</v>
      </c>
      <c r="M953" s="29">
        <f>M952*L953</f>
        <v>52.515000000000001</v>
      </c>
    </row>
    <row r="954" spans="1:13" ht="25.15" customHeight="1" thickTop="1" thickBot="1">
      <c r="E954" s="148" t="str">
        <f>'Obrazac kalkulacije'!$E$20</f>
        <v>Sveukupno (kn):</v>
      </c>
      <c r="F954" s="256"/>
      <c r="G954" s="29">
        <f>ROUND(SUM(G952:G953),2)</f>
        <v>262.58</v>
      </c>
      <c r="H954" s="562"/>
      <c r="K954" s="148" t="str">
        <f>'Obrazac kalkulacije'!$E$20</f>
        <v>Sveukupno (kn):</v>
      </c>
      <c r="L954" s="256"/>
      <c r="M954" s="29">
        <f>ROUND(SUM(M952:M953),2)</f>
        <v>262.58</v>
      </c>
    </row>
    <row r="955" spans="1:13" ht="15" customHeight="1" thickTop="1"/>
    <row r="956" spans="1:13" ht="15" customHeight="1"/>
    <row r="957" spans="1:13" ht="15" customHeight="1"/>
    <row r="958" spans="1:13" ht="15" customHeight="1">
      <c r="C958" s="3" t="str">
        <f>'Obrazac kalkulacije'!$C$24</f>
        <v>IZVODITELJ:</v>
      </c>
      <c r="F958" s="841" t="str">
        <f>'Obrazac kalkulacije'!$F$24</f>
        <v>NARUČITELJ:</v>
      </c>
      <c r="G958" s="841"/>
      <c r="I958" s="3" t="str">
        <f>'Obrazac kalkulacije'!$C$24</f>
        <v>IZVODITELJ:</v>
      </c>
      <c r="L958" s="841" t="str">
        <f>'Obrazac kalkulacije'!$F$24</f>
        <v>NARUČITELJ:</v>
      </c>
      <c r="M958" s="841"/>
    </row>
    <row r="959" spans="1:13" ht="25.15" customHeight="1">
      <c r="C959" s="3" t="str">
        <f>'Obrazac kalkulacije'!$C$25</f>
        <v>__________________</v>
      </c>
      <c r="F959" s="841" t="str">
        <f>'Obrazac kalkulacije'!$F$25</f>
        <v>___________________</v>
      </c>
      <c r="G959" s="841"/>
      <c r="I959" s="3" t="str">
        <f>'Obrazac kalkulacije'!$C$25</f>
        <v>__________________</v>
      </c>
      <c r="L959" s="841" t="str">
        <f>'Obrazac kalkulacije'!$F$25</f>
        <v>___________________</v>
      </c>
      <c r="M959" s="841"/>
    </row>
    <row r="960" spans="1:13" ht="15" customHeight="1">
      <c r="G960" s="30"/>
      <c r="M960" s="30"/>
    </row>
    <row r="961" spans="1:13" ht="15" customHeight="1"/>
    <row r="962" spans="1:13" ht="15" customHeight="1">
      <c r="A962" s="144"/>
      <c r="B962" s="145" t="s">
        <v>17</v>
      </c>
      <c r="C962" s="146" t="s">
        <v>56</v>
      </c>
      <c r="D962" s="146"/>
      <c r="E962" s="146"/>
      <c r="F962" s="252"/>
      <c r="G962" s="146"/>
      <c r="I962" s="146" t="s">
        <v>56</v>
      </c>
      <c r="J962" s="146"/>
      <c r="K962" s="146"/>
      <c r="L962" s="252"/>
      <c r="M962" s="146"/>
    </row>
    <row r="963" spans="1:13" ht="15" customHeight="1">
      <c r="A963" s="38"/>
      <c r="B963" s="39" t="s">
        <v>164</v>
      </c>
      <c r="C963" s="8" t="s">
        <v>165</v>
      </c>
      <c r="D963" s="8"/>
      <c r="E963" s="8"/>
      <c r="F963" s="253"/>
      <c r="G963" s="8"/>
      <c r="I963" s="8" t="s">
        <v>165</v>
      </c>
      <c r="J963" s="8"/>
      <c r="K963" s="8"/>
      <c r="L963" s="253"/>
      <c r="M963" s="8"/>
    </row>
    <row r="964" spans="1:13" ht="150" customHeight="1">
      <c r="A964" s="40"/>
      <c r="B964" s="556" t="s">
        <v>170</v>
      </c>
      <c r="C964" s="852" t="s">
        <v>171</v>
      </c>
      <c r="D964" s="852"/>
      <c r="E964" s="852"/>
      <c r="F964" s="852"/>
      <c r="G964" s="852"/>
      <c r="I964" s="869" t="s">
        <v>171</v>
      </c>
      <c r="J964" s="869"/>
      <c r="K964" s="869"/>
      <c r="L964" s="869"/>
      <c r="M964" s="869"/>
    </row>
    <row r="965" spans="1:13" ht="15" customHeight="1" thickBot="1"/>
    <row r="966" spans="1:13" ht="30" customHeight="1" thickTop="1" thickBot="1">
      <c r="A966" s="10"/>
      <c r="B966" s="835" t="str">
        <f>'Obrazac kalkulacije'!$B$6:$C$6</f>
        <v>Opis</v>
      </c>
      <c r="C966" s="835"/>
      <c r="D966" s="10" t="str">
        <f>'Obrazac kalkulacije'!$D$6</f>
        <v>Jed.
mjere</v>
      </c>
      <c r="E966" s="10" t="str">
        <f>'Obrazac kalkulacije'!$E$6</f>
        <v>Normativ</v>
      </c>
      <c r="F966" s="10" t="str">
        <f>'Obrazac kalkulacije'!$F$6</f>
        <v>Jed.
cijena</v>
      </c>
      <c r="G966" s="10" t="str">
        <f>'Obrazac kalkulacije'!$G$6</f>
        <v>Iznos</v>
      </c>
      <c r="I966" s="703"/>
      <c r="J966" s="10" t="str">
        <f>'Obrazac kalkulacije'!$D$6</f>
        <v>Jed.
mjere</v>
      </c>
      <c r="K966" s="10" t="str">
        <f>'Obrazac kalkulacije'!$E$6</f>
        <v>Normativ</v>
      </c>
      <c r="L966" s="10" t="str">
        <f>'Obrazac kalkulacije'!$F$6</f>
        <v>Jed.
cijena</v>
      </c>
      <c r="M966" s="10" t="str">
        <f>'Obrazac kalkulacije'!$G$6</f>
        <v>Iznos</v>
      </c>
    </row>
    <row r="967" spans="1:13" ht="4.5" customHeight="1" thickTop="1">
      <c r="B967" s="42"/>
      <c r="C967" s="1"/>
      <c r="D967" s="11"/>
      <c r="E967" s="13"/>
      <c r="F967" s="245"/>
      <c r="G967" s="15"/>
      <c r="I967" s="1"/>
      <c r="J967" s="11"/>
      <c r="K967" s="13"/>
      <c r="L967" s="245"/>
      <c r="M967" s="15"/>
    </row>
    <row r="968" spans="1:13" ht="25.15" customHeight="1">
      <c r="A968" s="16"/>
      <c r="B968" s="17" t="str">
        <f>'Obrazac kalkulacije'!$B$8</f>
        <v>Radna snaga:</v>
      </c>
      <c r="C968" s="17"/>
      <c r="D968" s="16"/>
      <c r="E968" s="16"/>
      <c r="F968" s="246"/>
      <c r="G968" s="18">
        <f>SUM(G969:G969)</f>
        <v>5.9972129999999998E-2</v>
      </c>
      <c r="I968" s="17"/>
      <c r="J968" s="16"/>
      <c r="K968" s="16"/>
      <c r="L968" s="246"/>
      <c r="M968" s="18">
        <f>SUM(M969:M969)</f>
        <v>5.9972129999999998E-2</v>
      </c>
    </row>
    <row r="969" spans="1:13" ht="25.15" customHeight="1">
      <c r="A969" s="32"/>
      <c r="B969" s="854" t="s">
        <v>57</v>
      </c>
      <c r="C969" s="854"/>
      <c r="D969" s="33" t="s">
        <v>51</v>
      </c>
      <c r="E969" s="34">
        <v>5.71E-4</v>
      </c>
      <c r="F969" s="243">
        <f>SUMIF('Cjenik RS'!$C$11:$C$26,$B969,'Cjenik RS'!$D$11:$D$90)</f>
        <v>105.03</v>
      </c>
      <c r="G969" s="35">
        <f>+F969*E969</f>
        <v>5.9972129999999998E-2</v>
      </c>
      <c r="H969" s="3">
        <f>8/E969</f>
        <v>14010.507880910684</v>
      </c>
      <c r="I969" s="701"/>
      <c r="J969" s="33" t="s">
        <v>51</v>
      </c>
      <c r="K969" s="34">
        <v>5.71E-4</v>
      </c>
      <c r="L969" s="243">
        <f>SUMIF('Cjenik RS'!$C$11:$C$26,$B969,'Cjenik RS'!$D$11:$D$90)</f>
        <v>105.03</v>
      </c>
      <c r="M969" s="35">
        <f>+L969*K969</f>
        <v>5.9972129999999998E-2</v>
      </c>
    </row>
    <row r="970" spans="1:13" ht="25.15" customHeight="1">
      <c r="A970" s="16"/>
      <c r="B970" s="17" t="str">
        <f>'Obrazac kalkulacije'!$B$11</f>
        <v>Vozila, strojevi i oprema:</v>
      </c>
      <c r="C970" s="17"/>
      <c r="D970" s="16"/>
      <c r="E970" s="16"/>
      <c r="F970" s="243"/>
      <c r="G970" s="18">
        <f>SUM(G971:G971)</f>
        <v>0.25544826999999998</v>
      </c>
      <c r="I970" s="17"/>
      <c r="J970" s="16"/>
      <c r="K970" s="16"/>
      <c r="L970" s="243"/>
      <c r="M970" s="18">
        <f>SUM(M971:M971)</f>
        <v>0.25544826999999998</v>
      </c>
    </row>
    <row r="971" spans="1:13" ht="25.15" customHeight="1" thickBot="1">
      <c r="A971" s="19"/>
      <c r="B971" s="861" t="s">
        <v>172</v>
      </c>
      <c r="C971" s="861"/>
      <c r="D971" s="52" t="s">
        <v>51</v>
      </c>
      <c r="E971" s="34">
        <v>5.71E-4</v>
      </c>
      <c r="F971" s="240">
        <f>SUMIF('Cjenik VSO'!$B$9:$B$85,$B971,'Cjenik VSO'!$C$9:$C$85)</f>
        <v>447.37</v>
      </c>
      <c r="G971" s="55">
        <f>+F971*E971</f>
        <v>0.25544826999999998</v>
      </c>
      <c r="H971" s="3">
        <f>8/E971</f>
        <v>14010.507880910684</v>
      </c>
      <c r="I971" s="699"/>
      <c r="J971" s="52" t="s">
        <v>51</v>
      </c>
      <c r="K971" s="73">
        <v>5.71E-4</v>
      </c>
      <c r="L971" s="240">
        <f>SUMIF('Cjenik VSO'!$B$9:$B$85,$B971,'Cjenik VSO'!$C$9:$C$85)</f>
        <v>447.37</v>
      </c>
      <c r="M971" s="55">
        <f>+L971*K971</f>
        <v>0.25544826999999998</v>
      </c>
    </row>
    <row r="972" spans="1:13" ht="25.15" customHeight="1" thickTop="1" thickBot="1">
      <c r="B972" s="47"/>
      <c r="C972" s="24"/>
      <c r="D972" s="25"/>
      <c r="E972" s="147" t="str">
        <f>'Obrazac kalkulacije'!$E$18</f>
        <v>Ukupno (kn):</v>
      </c>
      <c r="F972" s="255"/>
      <c r="G972" s="26">
        <f>ROUND(SUM(G968+G970),2)</f>
        <v>0.32</v>
      </c>
      <c r="H972" s="269"/>
      <c r="I972" s="24"/>
      <c r="J972" s="25"/>
      <c r="K972" s="147" t="str">
        <f>'Obrazac kalkulacije'!$E$18</f>
        <v>Ukupno (kn):</v>
      </c>
      <c r="L972" s="255"/>
      <c r="M972" s="26">
        <f>ROUND(SUM(M968+M970),2)</f>
        <v>0.32</v>
      </c>
    </row>
    <row r="973" spans="1:13" ht="25.15" customHeight="1" thickTop="1" thickBot="1">
      <c r="E973" s="27" t="str">
        <f>'Obrazac kalkulacije'!$E$19</f>
        <v>PDV:</v>
      </c>
      <c r="F973" s="248">
        <f>'Obrazac kalkulacije'!$F$19</f>
        <v>0.25</v>
      </c>
      <c r="G973" s="29">
        <f>G972*F973</f>
        <v>0.08</v>
      </c>
      <c r="H973" s="561"/>
      <c r="K973" s="27" t="str">
        <f>'Obrazac kalkulacije'!$E$19</f>
        <v>PDV:</v>
      </c>
      <c r="L973" s="248">
        <f>'Obrazac kalkulacije'!$F$19</f>
        <v>0.25</v>
      </c>
      <c r="M973" s="29">
        <f>M972*L973</f>
        <v>0.08</v>
      </c>
    </row>
    <row r="974" spans="1:13" ht="25.15" customHeight="1" thickTop="1" thickBot="1">
      <c r="E974" s="148" t="str">
        <f>'Obrazac kalkulacije'!$E$20</f>
        <v>Sveukupno (kn):</v>
      </c>
      <c r="F974" s="256"/>
      <c r="G974" s="29">
        <f>ROUND(SUM(G972:G973),2)</f>
        <v>0.4</v>
      </c>
      <c r="H974" s="562"/>
      <c r="K974" s="148" t="str">
        <f>'Obrazac kalkulacije'!$E$20</f>
        <v>Sveukupno (kn):</v>
      </c>
      <c r="L974" s="256"/>
      <c r="M974" s="29">
        <f>ROUND(SUM(M972:M973),2)</f>
        <v>0.4</v>
      </c>
    </row>
    <row r="975" spans="1:13" ht="15" customHeight="1" thickTop="1"/>
    <row r="976" spans="1:13" ht="15" customHeight="1"/>
    <row r="977" spans="1:13" ht="15" customHeight="1"/>
    <row r="978" spans="1:13" ht="15" customHeight="1">
      <c r="C978" s="3" t="str">
        <f>'Obrazac kalkulacije'!$C$24</f>
        <v>IZVODITELJ:</v>
      </c>
      <c r="F978" s="841" t="str">
        <f>'Obrazac kalkulacije'!$F$24</f>
        <v>NARUČITELJ:</v>
      </c>
      <c r="G978" s="841"/>
      <c r="I978" s="3" t="str">
        <f>'Obrazac kalkulacije'!$C$24</f>
        <v>IZVODITELJ:</v>
      </c>
      <c r="L978" s="841" t="str">
        <f>'Obrazac kalkulacije'!$F$24</f>
        <v>NARUČITELJ:</v>
      </c>
      <c r="M978" s="841"/>
    </row>
    <row r="979" spans="1:13" ht="25.15" customHeight="1">
      <c r="C979" s="3" t="str">
        <f>'Obrazac kalkulacije'!$C$25</f>
        <v>__________________</v>
      </c>
      <c r="F979" s="841" t="str">
        <f>'Obrazac kalkulacije'!$F$25</f>
        <v>___________________</v>
      </c>
      <c r="G979" s="841"/>
      <c r="I979" s="3" t="str">
        <f>'Obrazac kalkulacije'!$C$25</f>
        <v>__________________</v>
      </c>
      <c r="L979" s="841" t="str">
        <f>'Obrazac kalkulacije'!$F$25</f>
        <v>___________________</v>
      </c>
      <c r="M979" s="841"/>
    </row>
    <row r="980" spans="1:13" ht="15" customHeight="1">
      <c r="G980" s="30"/>
      <c r="M980" s="30"/>
    </row>
    <row r="981" spans="1:13" ht="15" customHeight="1"/>
    <row r="982" spans="1:13" ht="15" customHeight="1">
      <c r="A982" s="144"/>
      <c r="B982" s="145" t="s">
        <v>17</v>
      </c>
      <c r="C982" s="146" t="s">
        <v>56</v>
      </c>
      <c r="D982" s="146"/>
      <c r="E982" s="146"/>
      <c r="F982" s="252"/>
      <c r="G982" s="146"/>
      <c r="I982" s="146" t="s">
        <v>56</v>
      </c>
      <c r="J982" s="146"/>
      <c r="K982" s="146"/>
      <c r="L982" s="252"/>
      <c r="M982" s="146"/>
    </row>
    <row r="983" spans="1:13" ht="15" customHeight="1">
      <c r="A983" s="38"/>
      <c r="B983" s="39" t="s">
        <v>164</v>
      </c>
      <c r="C983" s="8" t="s">
        <v>165</v>
      </c>
      <c r="D983" s="8"/>
      <c r="E983" s="8"/>
      <c r="F983" s="253"/>
      <c r="G983" s="8"/>
      <c r="I983" s="8" t="s">
        <v>165</v>
      </c>
      <c r="J983" s="8"/>
      <c r="K983" s="8"/>
      <c r="L983" s="253"/>
      <c r="M983" s="8"/>
    </row>
    <row r="984" spans="1:13" ht="150" customHeight="1">
      <c r="A984" s="40"/>
      <c r="B984" s="556" t="s">
        <v>173</v>
      </c>
      <c r="C984" s="852" t="s">
        <v>174</v>
      </c>
      <c r="D984" s="852"/>
      <c r="E984" s="852"/>
      <c r="F984" s="852"/>
      <c r="G984" s="852"/>
      <c r="I984" s="869" t="s">
        <v>174</v>
      </c>
      <c r="J984" s="869"/>
      <c r="K984" s="869"/>
      <c r="L984" s="869"/>
      <c r="M984" s="869"/>
    </row>
    <row r="985" spans="1:13" ht="15" customHeight="1" thickBot="1"/>
    <row r="986" spans="1:13" ht="30" customHeight="1" thickTop="1" thickBot="1">
      <c r="A986" s="10"/>
      <c r="B986" s="835" t="str">
        <f>'Obrazac kalkulacije'!$B$6:$C$6</f>
        <v>Opis</v>
      </c>
      <c r="C986" s="835"/>
      <c r="D986" s="10" t="str">
        <f>'Obrazac kalkulacije'!$D$6</f>
        <v>Jed.
mjere</v>
      </c>
      <c r="E986" s="10" t="str">
        <f>'Obrazac kalkulacije'!$E$6</f>
        <v>Normativ</v>
      </c>
      <c r="F986" s="10" t="str">
        <f>'Obrazac kalkulacije'!$F$6</f>
        <v>Jed.
cijena</v>
      </c>
      <c r="G986" s="10" t="str">
        <f>'Obrazac kalkulacije'!$G$6</f>
        <v>Iznos</v>
      </c>
      <c r="I986" s="703"/>
      <c r="J986" s="10" t="str">
        <f>'Obrazac kalkulacije'!$D$6</f>
        <v>Jed.
mjere</v>
      </c>
      <c r="K986" s="10" t="str">
        <f>'Obrazac kalkulacije'!$E$6</f>
        <v>Normativ</v>
      </c>
      <c r="L986" s="10" t="str">
        <f>'Obrazac kalkulacije'!$F$6</f>
        <v>Jed.
cijena</v>
      </c>
      <c r="M986" s="10" t="str">
        <f>'Obrazac kalkulacije'!$G$6</f>
        <v>Iznos</v>
      </c>
    </row>
    <row r="987" spans="1:13" ht="4.5" customHeight="1" thickTop="1">
      <c r="B987" s="42"/>
      <c r="C987" s="1"/>
      <c r="D987" s="11"/>
      <c r="E987" s="13"/>
      <c r="F987" s="245"/>
      <c r="G987" s="15"/>
      <c r="I987" s="1"/>
      <c r="J987" s="11"/>
      <c r="K987" s="13"/>
      <c r="L987" s="245"/>
      <c r="M987" s="15"/>
    </row>
    <row r="988" spans="1:13" ht="25.15" customHeight="1">
      <c r="A988" s="16"/>
      <c r="B988" s="17" t="str">
        <f>'Obrazac kalkulacije'!$B$8</f>
        <v>Radna snaga:</v>
      </c>
      <c r="C988" s="17"/>
      <c r="D988" s="16"/>
      <c r="E988" s="16"/>
      <c r="F988" s="246"/>
      <c r="G988" s="18">
        <f>SUM(G989:G989)</f>
        <v>4.00111785</v>
      </c>
      <c r="I988" s="17"/>
      <c r="J988" s="16"/>
      <c r="K988" s="16"/>
      <c r="L988" s="246"/>
      <c r="M988" s="18">
        <f>SUM(M989:M989)</f>
        <v>4.00111785</v>
      </c>
    </row>
    <row r="989" spans="1:13" ht="25.15" customHeight="1">
      <c r="A989" s="32"/>
      <c r="B989" s="854" t="s">
        <v>57</v>
      </c>
      <c r="C989" s="854"/>
      <c r="D989" s="33" t="s">
        <v>51</v>
      </c>
      <c r="E989" s="34">
        <v>3.8094999999999997E-2</v>
      </c>
      <c r="F989" s="243">
        <f>SUMIF('Cjenik RS'!$C$11:$C$26,$B989,'Cjenik RS'!$D$11:$D$90)</f>
        <v>105.03</v>
      </c>
      <c r="G989" s="35">
        <f>+F989*E989</f>
        <v>4.00111785</v>
      </c>
      <c r="I989" s="701"/>
      <c r="J989" s="33" t="s">
        <v>51</v>
      </c>
      <c r="K989" s="34">
        <v>3.8094999999999997E-2</v>
      </c>
      <c r="L989" s="243">
        <f>SUMIF('Cjenik RS'!$C$11:$C$26,$B989,'Cjenik RS'!$D$11:$D$90)</f>
        <v>105.03</v>
      </c>
      <c r="M989" s="35">
        <f>+L989*K989</f>
        <v>4.00111785</v>
      </c>
    </row>
    <row r="990" spans="1:13" ht="25.15" customHeight="1">
      <c r="A990" s="16"/>
      <c r="B990" s="851" t="str">
        <f>'Obrazac kalkulacije'!$B$11</f>
        <v>Vozila, strojevi i oprema:</v>
      </c>
      <c r="C990" s="851"/>
      <c r="D990" s="16"/>
      <c r="E990" s="16"/>
      <c r="F990" s="243"/>
      <c r="G990" s="18">
        <f>SUM(G991:G991)</f>
        <v>17.04256015</v>
      </c>
      <c r="I990" s="709"/>
      <c r="J990" s="16"/>
      <c r="K990" s="16"/>
      <c r="L990" s="243"/>
      <c r="M990" s="18">
        <f>SUM(M991:M991)</f>
        <v>17.04256015</v>
      </c>
    </row>
    <row r="991" spans="1:13" ht="25.15" customHeight="1" thickBot="1">
      <c r="A991" s="19"/>
      <c r="B991" s="861" t="s">
        <v>172</v>
      </c>
      <c r="C991" s="861"/>
      <c r="D991" s="52" t="s">
        <v>51</v>
      </c>
      <c r="E991" s="73">
        <v>3.8094999999999997E-2</v>
      </c>
      <c r="F991" s="240">
        <f>SUMIF('Cjenik VSO'!$B$9:$B$85,$B991,'Cjenik VSO'!$C$9:$C$85)</f>
        <v>447.37</v>
      </c>
      <c r="G991" s="55">
        <f>+F991*E991</f>
        <v>17.04256015</v>
      </c>
      <c r="H991" s="3">
        <f>8/E991</f>
        <v>210.0013125082032</v>
      </c>
      <c r="I991" s="699"/>
      <c r="J991" s="52" t="s">
        <v>51</v>
      </c>
      <c r="K991" s="73">
        <v>3.8094999999999997E-2</v>
      </c>
      <c r="L991" s="240">
        <f>SUMIF('Cjenik VSO'!$B$9:$B$85,$B991,'Cjenik VSO'!$C$9:$C$85)</f>
        <v>447.37</v>
      </c>
      <c r="M991" s="55">
        <f>+L991*K991</f>
        <v>17.04256015</v>
      </c>
    </row>
    <row r="992" spans="1:13" ht="25.15" customHeight="1" thickTop="1" thickBot="1">
      <c r="B992" s="47"/>
      <c r="C992" s="24"/>
      <c r="D992" s="25"/>
      <c r="E992" s="147" t="str">
        <f>'Obrazac kalkulacije'!$E$18</f>
        <v>Ukupno (kn):</v>
      </c>
      <c r="F992" s="255"/>
      <c r="G992" s="26">
        <f>ROUND(SUM(G988+G990),2)</f>
        <v>21.04</v>
      </c>
      <c r="H992" s="269"/>
      <c r="I992" s="24"/>
      <c r="J992" s="25"/>
      <c r="K992" s="147" t="str">
        <f>'Obrazac kalkulacije'!$E$18</f>
        <v>Ukupno (kn):</v>
      </c>
      <c r="L992" s="255"/>
      <c r="M992" s="26">
        <f>ROUND(SUM(M988+M990),2)</f>
        <v>21.04</v>
      </c>
    </row>
    <row r="993" spans="1:13" ht="25.15" customHeight="1" thickTop="1" thickBot="1">
      <c r="E993" s="27" t="str">
        <f>'Obrazac kalkulacije'!$E$19</f>
        <v>PDV:</v>
      </c>
      <c r="F993" s="248">
        <f>'Obrazac kalkulacije'!$F$19</f>
        <v>0.25</v>
      </c>
      <c r="G993" s="29">
        <f>G992*F993</f>
        <v>5.26</v>
      </c>
      <c r="H993" s="561"/>
      <c r="K993" s="27" t="str">
        <f>'Obrazac kalkulacije'!$E$19</f>
        <v>PDV:</v>
      </c>
      <c r="L993" s="248">
        <f>'Obrazac kalkulacije'!$F$19</f>
        <v>0.25</v>
      </c>
      <c r="M993" s="29">
        <f>M992*L993</f>
        <v>5.26</v>
      </c>
    </row>
    <row r="994" spans="1:13" ht="25.15" customHeight="1" thickTop="1" thickBot="1">
      <c r="E994" s="148" t="str">
        <f>'Obrazac kalkulacije'!$E$20</f>
        <v>Sveukupno (kn):</v>
      </c>
      <c r="F994" s="256"/>
      <c r="G994" s="29">
        <f>ROUND(SUM(G992:G993),2)</f>
        <v>26.3</v>
      </c>
      <c r="H994" s="562"/>
      <c r="K994" s="148" t="str">
        <f>'Obrazac kalkulacije'!$E$20</f>
        <v>Sveukupno (kn):</v>
      </c>
      <c r="L994" s="256"/>
      <c r="M994" s="29">
        <f>ROUND(SUM(M992:M993),2)</f>
        <v>26.3</v>
      </c>
    </row>
    <row r="995" spans="1:13" ht="15" customHeight="1" thickTop="1"/>
    <row r="996" spans="1:13" ht="15" customHeight="1"/>
    <row r="997" spans="1:13" ht="15" customHeight="1"/>
    <row r="998" spans="1:13" ht="15" customHeight="1">
      <c r="C998" s="3" t="str">
        <f>'Obrazac kalkulacije'!$C$24</f>
        <v>IZVODITELJ:</v>
      </c>
      <c r="F998" s="841" t="str">
        <f>'Obrazac kalkulacije'!$F$24</f>
        <v>NARUČITELJ:</v>
      </c>
      <c r="G998" s="841"/>
      <c r="I998" s="3" t="str">
        <f>'Obrazac kalkulacije'!$C$24</f>
        <v>IZVODITELJ:</v>
      </c>
      <c r="L998" s="841" t="str">
        <f>'Obrazac kalkulacije'!$F$24</f>
        <v>NARUČITELJ:</v>
      </c>
      <c r="M998" s="841"/>
    </row>
    <row r="999" spans="1:13" ht="25.15" customHeight="1">
      <c r="C999" s="3" t="str">
        <f>'Obrazac kalkulacije'!$C$25</f>
        <v>__________________</v>
      </c>
      <c r="F999" s="841" t="str">
        <f>'Obrazac kalkulacije'!$F$25</f>
        <v>___________________</v>
      </c>
      <c r="G999" s="841"/>
      <c r="I999" s="3" t="str">
        <f>'Obrazac kalkulacije'!$C$25</f>
        <v>__________________</v>
      </c>
      <c r="L999" s="841" t="str">
        <f>'Obrazac kalkulacije'!$F$25</f>
        <v>___________________</v>
      </c>
      <c r="M999" s="841"/>
    </row>
    <row r="1000" spans="1:13" ht="15" customHeight="1">
      <c r="G1000" s="30"/>
      <c r="M1000" s="30"/>
    </row>
    <row r="1001" spans="1:13" ht="15" customHeight="1"/>
    <row r="1002" spans="1:13" ht="15" customHeight="1">
      <c r="A1002" s="144"/>
      <c r="B1002" s="145" t="s">
        <v>17</v>
      </c>
      <c r="C1002" s="146" t="s">
        <v>56</v>
      </c>
      <c r="D1002" s="146"/>
      <c r="E1002" s="146"/>
      <c r="F1002" s="252"/>
      <c r="G1002" s="146"/>
      <c r="I1002" s="146" t="s">
        <v>56</v>
      </c>
      <c r="J1002" s="146"/>
      <c r="K1002" s="146"/>
      <c r="L1002" s="252"/>
      <c r="M1002" s="146"/>
    </row>
    <row r="1003" spans="1:13" ht="15" customHeight="1">
      <c r="A1003" s="38"/>
      <c r="B1003" s="39" t="s">
        <v>164</v>
      </c>
      <c r="C1003" s="8" t="s">
        <v>165</v>
      </c>
      <c r="D1003" s="8"/>
      <c r="E1003" s="8"/>
      <c r="F1003" s="253"/>
      <c r="G1003" s="8"/>
      <c r="I1003" s="8" t="s">
        <v>165</v>
      </c>
      <c r="J1003" s="8"/>
      <c r="K1003" s="8"/>
      <c r="L1003" s="253"/>
      <c r="M1003" s="8"/>
    </row>
    <row r="1004" spans="1:13" ht="150" customHeight="1">
      <c r="A1004" s="40"/>
      <c r="B1004" s="556" t="s">
        <v>175</v>
      </c>
      <c r="C1004" s="852" t="s">
        <v>176</v>
      </c>
      <c r="D1004" s="852"/>
      <c r="E1004" s="852"/>
      <c r="F1004" s="852"/>
      <c r="G1004" s="852"/>
      <c r="I1004" s="869" t="s">
        <v>177</v>
      </c>
      <c r="J1004" s="869"/>
      <c r="K1004" s="869"/>
      <c r="L1004" s="869"/>
      <c r="M1004" s="869"/>
    </row>
    <row r="1005" spans="1:13" ht="15" customHeight="1" thickBot="1"/>
    <row r="1006" spans="1:13" ht="30" customHeight="1" thickTop="1" thickBot="1">
      <c r="A1006" s="10"/>
      <c r="B1006" s="835" t="str">
        <f>'Obrazac kalkulacije'!$B$6:$C$6</f>
        <v>Opis</v>
      </c>
      <c r="C1006" s="835"/>
      <c r="D1006" s="10" t="str">
        <f>'Obrazac kalkulacije'!$D$6</f>
        <v>Jed.
mjere</v>
      </c>
      <c r="E1006" s="10" t="str">
        <f>'Obrazac kalkulacije'!$E$6</f>
        <v>Normativ</v>
      </c>
      <c r="F1006" s="10" t="str">
        <f>'Obrazac kalkulacije'!$F$6</f>
        <v>Jed.
cijena</v>
      </c>
      <c r="G1006" s="10" t="str">
        <f>'Obrazac kalkulacije'!$G$6</f>
        <v>Iznos</v>
      </c>
      <c r="I1006" s="703"/>
      <c r="J1006" s="10" t="str">
        <f>'Obrazac kalkulacije'!$D$6</f>
        <v>Jed.
mjere</v>
      </c>
      <c r="K1006" s="10" t="str">
        <f>'Obrazac kalkulacije'!$E$6</f>
        <v>Normativ</v>
      </c>
      <c r="L1006" s="10" t="str">
        <f>'Obrazac kalkulacije'!$F$6</f>
        <v>Jed.
cijena</v>
      </c>
      <c r="M1006" s="10" t="str">
        <f>'Obrazac kalkulacije'!$G$6</f>
        <v>Iznos</v>
      </c>
    </row>
    <row r="1007" spans="1:13" ht="4.5" customHeight="1" thickTop="1">
      <c r="B1007" s="42"/>
      <c r="C1007" s="1"/>
      <c r="D1007" s="11"/>
      <c r="E1007" s="13"/>
      <c r="F1007" s="245"/>
      <c r="G1007" s="15"/>
      <c r="I1007" s="1"/>
      <c r="J1007" s="11"/>
      <c r="K1007" s="13"/>
      <c r="L1007" s="245"/>
      <c r="M1007" s="15"/>
    </row>
    <row r="1008" spans="1:13" ht="25.15" customHeight="1">
      <c r="A1008" s="16"/>
      <c r="B1008" s="17" t="str">
        <f>'Obrazac kalkulacije'!$B$8</f>
        <v>Radna snaga:</v>
      </c>
      <c r="C1008" s="17"/>
      <c r="D1008" s="16"/>
      <c r="E1008" s="16"/>
      <c r="F1008" s="246"/>
      <c r="G1008" s="18">
        <f>SUM(G1009:G1009)</f>
        <v>37.936836</v>
      </c>
      <c r="I1008" s="17"/>
      <c r="J1008" s="16"/>
      <c r="K1008" s="16"/>
      <c r="L1008" s="246"/>
      <c r="M1008" s="18">
        <f>SUM(M1009:M1009)</f>
        <v>37.936836</v>
      </c>
    </row>
    <row r="1009" spans="1:13" ht="25.15" customHeight="1">
      <c r="A1009" s="32"/>
      <c r="B1009" s="854" t="s">
        <v>57</v>
      </c>
      <c r="C1009" s="854"/>
      <c r="D1009" s="33" t="s">
        <v>51</v>
      </c>
      <c r="E1009" s="34">
        <v>0.36120000000000002</v>
      </c>
      <c r="F1009" s="243">
        <f>SUMIF('Cjenik RS'!$C$11:$C$26,$B1009,'Cjenik RS'!$D$11:$D$90)</f>
        <v>105.03</v>
      </c>
      <c r="G1009" s="35">
        <f>+F1009*E1009</f>
        <v>37.936836</v>
      </c>
      <c r="I1009" s="701"/>
      <c r="J1009" s="33" t="s">
        <v>51</v>
      </c>
      <c r="K1009" s="34">
        <v>0.36120000000000002</v>
      </c>
      <c r="L1009" s="243">
        <f>SUMIF('Cjenik RS'!$C$11:$C$26,$B1009,'Cjenik RS'!$D$11:$D$90)</f>
        <v>105.03</v>
      </c>
      <c r="M1009" s="35">
        <f>+L1009*K1009</f>
        <v>37.936836</v>
      </c>
    </row>
    <row r="1010" spans="1:13" ht="25.15" customHeight="1">
      <c r="A1010" s="16"/>
      <c r="B1010" s="17" t="str">
        <f>'Obrazac kalkulacije'!$B$11</f>
        <v>Vozila, strojevi i oprema:</v>
      </c>
      <c r="C1010" s="17"/>
      <c r="D1010" s="16"/>
      <c r="E1010" s="16"/>
      <c r="F1010" s="243"/>
      <c r="G1010" s="18">
        <f>SUM(G1011:G1013)</f>
        <v>24.679899930000005</v>
      </c>
      <c r="I1010" s="17"/>
      <c r="J1010" s="16"/>
      <c r="K1010" s="16"/>
      <c r="L1010" s="243"/>
      <c r="M1010" s="18">
        <f>SUM(M1011:M1013)</f>
        <v>24.679899930000005</v>
      </c>
    </row>
    <row r="1011" spans="1:13" ht="25.15" customHeight="1">
      <c r="A1011" s="51"/>
      <c r="B1011" s="849" t="s">
        <v>73</v>
      </c>
      <c r="C1011" s="849"/>
      <c r="D1011" s="52" t="s">
        <v>51</v>
      </c>
      <c r="E1011" s="86">
        <v>3.2058000000000003E-2</v>
      </c>
      <c r="F1011" s="240">
        <f>SUMIF('Cjenik VSO'!$B$9:$B$85,$B1011,'Cjenik VSO'!$C$9:$C$85)</f>
        <v>291.72000000000003</v>
      </c>
      <c r="G1011" s="55">
        <f>+F1011*E1011</f>
        <v>9.3519597600000015</v>
      </c>
      <c r="I1011" s="705"/>
      <c r="J1011" s="52" t="s">
        <v>51</v>
      </c>
      <c r="K1011" s="86">
        <v>3.2058000000000003E-2</v>
      </c>
      <c r="L1011" s="240">
        <f>SUMIF('Cjenik VSO'!$B$9:$B$85,$B1011,'Cjenik VSO'!$C$9:$C$85)</f>
        <v>291.72000000000003</v>
      </c>
      <c r="M1011" s="55">
        <f>+L1011*K1011</f>
        <v>9.3519597600000015</v>
      </c>
    </row>
    <row r="1012" spans="1:13" ht="25.15" customHeight="1">
      <c r="A1012" s="56"/>
      <c r="B1012" s="839" t="s">
        <v>97</v>
      </c>
      <c r="C1012" s="839"/>
      <c r="D1012" s="57" t="s">
        <v>51</v>
      </c>
      <c r="E1012" s="92">
        <v>3.8621000000000003E-2</v>
      </c>
      <c r="F1012" s="241">
        <f>SUMIF('Cjenik VSO'!$B$9:$B$85,$B1012,'Cjenik VSO'!$C$9:$C$85)</f>
        <v>279.37</v>
      </c>
      <c r="G1012" s="60">
        <f>+F1012*E1012</f>
        <v>10.789548770000001</v>
      </c>
      <c r="I1012" s="707"/>
      <c r="J1012" s="57" t="s">
        <v>51</v>
      </c>
      <c r="K1012" s="92">
        <v>3.8621000000000003E-2</v>
      </c>
      <c r="L1012" s="241">
        <f>SUMIF('Cjenik VSO'!$B$9:$B$85,$B1012,'Cjenik VSO'!$C$9:$C$85)</f>
        <v>279.37</v>
      </c>
      <c r="M1012" s="60">
        <f>+L1012*K1012</f>
        <v>10.789548770000001</v>
      </c>
    </row>
    <row r="1013" spans="1:13" ht="25.15" customHeight="1">
      <c r="A1013" s="61"/>
      <c r="B1013" s="855" t="s">
        <v>71</v>
      </c>
      <c r="C1013" s="855"/>
      <c r="D1013" s="62" t="s">
        <v>51</v>
      </c>
      <c r="E1013" s="87">
        <v>4.4420000000000001E-2</v>
      </c>
      <c r="F1013" s="242">
        <f>SUMIF('Cjenik VSO'!$B$9:$B$85,$B1013,'Cjenik VSO'!$C$9:$C$85)</f>
        <v>102.17</v>
      </c>
      <c r="G1013" s="65">
        <f>+F1013*E1013</f>
        <v>4.5383914000000001</v>
      </c>
      <c r="I1013" s="708"/>
      <c r="J1013" s="62" t="s">
        <v>51</v>
      </c>
      <c r="K1013" s="87">
        <v>4.4420000000000001E-2</v>
      </c>
      <c r="L1013" s="242">
        <f>SUMIF('Cjenik VSO'!$B$9:$B$85,$B1013,'Cjenik VSO'!$C$9:$C$85)</f>
        <v>102.17</v>
      </c>
      <c r="M1013" s="65">
        <f>+L1013*K1013</f>
        <v>4.5383914000000001</v>
      </c>
    </row>
    <row r="1014" spans="1:13" ht="25.15" customHeight="1">
      <c r="A1014" s="16"/>
      <c r="B1014" s="851" t="str">
        <f>'Obrazac kalkulacije'!$B$15</f>
        <v>Materijali:</v>
      </c>
      <c r="C1014" s="851"/>
      <c r="D1014" s="16"/>
      <c r="E1014" s="16"/>
      <c r="F1014" s="243"/>
      <c r="G1014" s="18" t="e">
        <f>SUM(G1015:G1015)</f>
        <v>#VALUE!</v>
      </c>
      <c r="I1014" s="709"/>
      <c r="J1014" s="16"/>
      <c r="K1014" s="16"/>
      <c r="L1014" s="243"/>
      <c r="M1014" s="18" t="e">
        <f>SUM(M1015:M1015)</f>
        <v>#VALUE!</v>
      </c>
    </row>
    <row r="1015" spans="1:13" ht="25.15" customHeight="1" thickBot="1">
      <c r="A1015" s="43"/>
      <c r="B1015" s="865" t="str">
        <f>'Cjenik M'!$B$27</f>
        <v>____________</v>
      </c>
      <c r="C1015" s="865"/>
      <c r="D1015" s="44">
        <f>'Cjenik M'!$C$27</f>
        <v>0</v>
      </c>
      <c r="E1015" s="45">
        <v>0.4375</v>
      </c>
      <c r="F1015" s="243" t="str">
        <f>'Cjenik M'!$D$27</f>
        <v>___________</v>
      </c>
      <c r="G1015" s="46" t="e">
        <f>E1015*F1015</f>
        <v>#VALUE!</v>
      </c>
      <c r="I1015" s="704"/>
      <c r="J1015" s="44">
        <f>'Cjenik M'!$C$27</f>
        <v>0</v>
      </c>
      <c r="K1015" s="45">
        <v>0.4375</v>
      </c>
      <c r="L1015" s="243" t="str">
        <f>'Cjenik M'!$D$27</f>
        <v>___________</v>
      </c>
      <c r="M1015" s="46" t="e">
        <f>K1015*L1015</f>
        <v>#VALUE!</v>
      </c>
    </row>
    <row r="1016" spans="1:13" ht="25.15" customHeight="1" thickTop="1" thickBot="1">
      <c r="B1016" s="47"/>
      <c r="C1016" s="24"/>
      <c r="D1016" s="25"/>
      <c r="E1016" s="147" t="str">
        <f>'Obrazac kalkulacije'!$E$18</f>
        <v>Ukupno (kn):</v>
      </c>
      <c r="F1016" s="255"/>
      <c r="G1016" s="26" t="e">
        <f>ROUND(SUM(G1008+G1010+G1014),2)</f>
        <v>#VALUE!</v>
      </c>
      <c r="H1016" s="269"/>
      <c r="I1016" s="24"/>
      <c r="J1016" s="25"/>
      <c r="K1016" s="147" t="str">
        <f>'Obrazac kalkulacije'!$E$18</f>
        <v>Ukupno (kn):</v>
      </c>
      <c r="L1016" s="255"/>
      <c r="M1016" s="26" t="e">
        <f>ROUND(SUM(M1008+M1010+M1014),2)</f>
        <v>#VALUE!</v>
      </c>
    </row>
    <row r="1017" spans="1:13" ht="25.15" customHeight="1" thickTop="1" thickBot="1">
      <c r="E1017" s="27" t="str">
        <f>'Obrazac kalkulacije'!$E$19</f>
        <v>PDV:</v>
      </c>
      <c r="F1017" s="248">
        <f>'Obrazac kalkulacije'!$F$19</f>
        <v>0.25</v>
      </c>
      <c r="G1017" s="29" t="e">
        <f>G1016*F1017</f>
        <v>#VALUE!</v>
      </c>
      <c r="H1017" s="561"/>
      <c r="K1017" s="27" t="str">
        <f>'Obrazac kalkulacije'!$E$19</f>
        <v>PDV:</v>
      </c>
      <c r="L1017" s="248">
        <f>'Obrazac kalkulacije'!$F$19</f>
        <v>0.25</v>
      </c>
      <c r="M1017" s="29" t="e">
        <f>M1016*L1017</f>
        <v>#VALUE!</v>
      </c>
    </row>
    <row r="1018" spans="1:13" ht="25.15" customHeight="1" thickTop="1" thickBot="1">
      <c r="E1018" s="148" t="str">
        <f>'Obrazac kalkulacije'!$E$20</f>
        <v>Sveukupno (kn):</v>
      </c>
      <c r="F1018" s="256"/>
      <c r="G1018" s="29" t="e">
        <f>ROUND(SUM(G1016:G1017),2)</f>
        <v>#VALUE!</v>
      </c>
      <c r="H1018" s="562"/>
      <c r="K1018" s="148" t="str">
        <f>'Obrazac kalkulacije'!$E$20</f>
        <v>Sveukupno (kn):</v>
      </c>
      <c r="L1018" s="256"/>
      <c r="M1018" s="29" t="e">
        <f>ROUND(SUM(M1016:M1017),2)</f>
        <v>#VALUE!</v>
      </c>
    </row>
    <row r="1019" spans="1:13" ht="15" customHeight="1" thickTop="1"/>
    <row r="1020" spans="1:13" ht="15" customHeight="1"/>
    <row r="1021" spans="1:13" ht="15" customHeight="1"/>
    <row r="1022" spans="1:13" ht="15" customHeight="1">
      <c r="C1022" s="3" t="str">
        <f>'Obrazac kalkulacije'!$C$24</f>
        <v>IZVODITELJ:</v>
      </c>
      <c r="F1022" s="841" t="str">
        <f>'Obrazac kalkulacije'!$F$24</f>
        <v>NARUČITELJ:</v>
      </c>
      <c r="G1022" s="841"/>
      <c r="I1022" s="3" t="str">
        <f>'Obrazac kalkulacije'!$C$24</f>
        <v>IZVODITELJ:</v>
      </c>
      <c r="L1022" s="841" t="str">
        <f>'Obrazac kalkulacije'!$F$24</f>
        <v>NARUČITELJ:</v>
      </c>
      <c r="M1022" s="841"/>
    </row>
    <row r="1023" spans="1:13" ht="25.15" customHeight="1">
      <c r="C1023" s="3" t="str">
        <f>'Obrazac kalkulacije'!$C$25</f>
        <v>__________________</v>
      </c>
      <c r="F1023" s="841" t="str">
        <f>'Obrazac kalkulacije'!$F$25</f>
        <v>___________________</v>
      </c>
      <c r="G1023" s="841"/>
      <c r="I1023" s="3" t="str">
        <f>'Obrazac kalkulacije'!$C$25</f>
        <v>__________________</v>
      </c>
      <c r="L1023" s="841" t="str">
        <f>'Obrazac kalkulacije'!$F$25</f>
        <v>___________________</v>
      </c>
      <c r="M1023" s="841"/>
    </row>
    <row r="1024" spans="1:13" ht="15" customHeight="1">
      <c r="A1024" s="2"/>
      <c r="B1024" s="2"/>
      <c r="D1024" s="2"/>
      <c r="E1024" s="2"/>
      <c r="F1024" s="257"/>
      <c r="G1024" s="2"/>
      <c r="J1024" s="2"/>
      <c r="K1024" s="2"/>
      <c r="L1024" s="257"/>
      <c r="M1024" s="2"/>
    </row>
    <row r="1025" spans="1:13" ht="15" customHeight="1">
      <c r="A1025" s="2"/>
      <c r="B1025" s="2"/>
      <c r="D1025" s="2"/>
      <c r="E1025" s="2"/>
      <c r="F1025" s="257"/>
      <c r="G1025" s="2"/>
      <c r="J1025" s="2"/>
      <c r="K1025" s="2"/>
      <c r="L1025" s="257"/>
      <c r="M1025" s="2"/>
    </row>
    <row r="1026" spans="1:13" ht="15" customHeight="1">
      <c r="A1026" s="2"/>
      <c r="B1026" s="2"/>
      <c r="D1026" s="2"/>
      <c r="E1026" s="2"/>
      <c r="F1026" s="257"/>
      <c r="G1026" s="2"/>
      <c r="J1026" s="2"/>
      <c r="K1026" s="2"/>
      <c r="L1026" s="257"/>
      <c r="M1026" s="2"/>
    </row>
    <row r="1027" spans="1:13">
      <c r="F1027" s="841"/>
      <c r="G1027" s="841"/>
      <c r="L1027" s="841"/>
      <c r="M1027" s="841"/>
    </row>
    <row r="1029" spans="1:13">
      <c r="F1029" s="841"/>
      <c r="G1029" s="841"/>
      <c r="L1029" s="841"/>
      <c r="M1029" s="841"/>
    </row>
  </sheetData>
  <sheetProtection selectLockedCells="1"/>
  <mergeCells count="762">
    <mergeCell ref="L958:M958"/>
    <mergeCell ref="L959:M959"/>
    <mergeCell ref="L920:M920"/>
    <mergeCell ref="L921:M921"/>
    <mergeCell ref="I926:M926"/>
    <mergeCell ref="I946:M946"/>
    <mergeCell ref="L941:M941"/>
    <mergeCell ref="I849:M849"/>
    <mergeCell ref="L1029:M1029"/>
    <mergeCell ref="L1022:M1022"/>
    <mergeCell ref="L1023:M1023"/>
    <mergeCell ref="L1027:M1027"/>
    <mergeCell ref="I964:M964"/>
    <mergeCell ref="L978:M978"/>
    <mergeCell ref="L979:M979"/>
    <mergeCell ref="L998:M998"/>
    <mergeCell ref="L999:M999"/>
    <mergeCell ref="I1004:M1004"/>
    <mergeCell ref="I984:M984"/>
    <mergeCell ref="L748:M748"/>
    <mergeCell ref="L749:M749"/>
    <mergeCell ref="L843:M843"/>
    <mergeCell ref="I823:M823"/>
    <mergeCell ref="L940:M940"/>
    <mergeCell ref="L894:M894"/>
    <mergeCell ref="L842:M842"/>
    <mergeCell ref="L895:M895"/>
    <mergeCell ref="I901:M901"/>
    <mergeCell ref="I755:M755"/>
    <mergeCell ref="L782:M782"/>
    <mergeCell ref="L783:M783"/>
    <mergeCell ref="I789:M789"/>
    <mergeCell ref="L816:M816"/>
    <mergeCell ref="L868:M868"/>
    <mergeCell ref="L869:M869"/>
    <mergeCell ref="I875:M875"/>
    <mergeCell ref="L817:M817"/>
    <mergeCell ref="L647:M647"/>
    <mergeCell ref="I653:M653"/>
    <mergeCell ref="L646:M646"/>
    <mergeCell ref="L680:M680"/>
    <mergeCell ref="L681:M681"/>
    <mergeCell ref="I687:M687"/>
    <mergeCell ref="L714:M714"/>
    <mergeCell ref="L715:M715"/>
    <mergeCell ref="I721:M721"/>
    <mergeCell ref="L511:M511"/>
    <mergeCell ref="I517:M517"/>
    <mergeCell ref="L510:M510"/>
    <mergeCell ref="I619:M619"/>
    <mergeCell ref="L544:M544"/>
    <mergeCell ref="L545:M545"/>
    <mergeCell ref="I551:M551"/>
    <mergeCell ref="L578:M578"/>
    <mergeCell ref="L579:M579"/>
    <mergeCell ref="I585:M585"/>
    <mergeCell ref="L612:M612"/>
    <mergeCell ref="L613:M613"/>
    <mergeCell ref="I380:M380"/>
    <mergeCell ref="L442:M442"/>
    <mergeCell ref="L407:M407"/>
    <mergeCell ref="L408:M408"/>
    <mergeCell ref="I414:M414"/>
    <mergeCell ref="I449:M449"/>
    <mergeCell ref="L476:M476"/>
    <mergeCell ref="L477:M477"/>
    <mergeCell ref="I483:M483"/>
    <mergeCell ref="L443:M443"/>
    <mergeCell ref="I346:M346"/>
    <mergeCell ref="L340:M340"/>
    <mergeCell ref="L339:M339"/>
    <mergeCell ref="S287:T287"/>
    <mergeCell ref="S288:T288"/>
    <mergeCell ref="S289:T289"/>
    <mergeCell ref="S290:T290"/>
    <mergeCell ref="L373:M373"/>
    <mergeCell ref="L374:M374"/>
    <mergeCell ref="S291:T291"/>
    <mergeCell ref="S292:T292"/>
    <mergeCell ref="S282:T282"/>
    <mergeCell ref="L272:M272"/>
    <mergeCell ref="L273:M273"/>
    <mergeCell ref="S280:T280"/>
    <mergeCell ref="I278:M278"/>
    <mergeCell ref="I275:M275"/>
    <mergeCell ref="I276:M276"/>
    <mergeCell ref="S286:T286"/>
    <mergeCell ref="S283:T283"/>
    <mergeCell ref="S284:T284"/>
    <mergeCell ref="S285:T285"/>
    <mergeCell ref="I247:M247"/>
    <mergeCell ref="L307:M307"/>
    <mergeCell ref="L305:M305"/>
    <mergeCell ref="I312:M312"/>
    <mergeCell ref="L306:M306"/>
    <mergeCell ref="K299:L299"/>
    <mergeCell ref="K301:L301"/>
    <mergeCell ref="K265:L265"/>
    <mergeCell ref="K267:L267"/>
    <mergeCell ref="L271:M271"/>
    <mergeCell ref="L129:M129"/>
    <mergeCell ref="I131:M131"/>
    <mergeCell ref="I132:M132"/>
    <mergeCell ref="I134:M134"/>
    <mergeCell ref="L165:M165"/>
    <mergeCell ref="I167:M167"/>
    <mergeCell ref="I168:M168"/>
    <mergeCell ref="L26:M26"/>
    <mergeCell ref="I28:M28"/>
    <mergeCell ref="I170:M170"/>
    <mergeCell ref="L188:M188"/>
    <mergeCell ref="I190:M190"/>
    <mergeCell ref="I191:M191"/>
    <mergeCell ref="I193:M193"/>
    <mergeCell ref="L186:M186"/>
    <mergeCell ref="L187:M187"/>
    <mergeCell ref="K157:L157"/>
    <mergeCell ref="K159:L159"/>
    <mergeCell ref="L163:M163"/>
    <mergeCell ref="L164:M164"/>
    <mergeCell ref="K180:L180"/>
    <mergeCell ref="K182:L182"/>
    <mergeCell ref="I1:M1"/>
    <mergeCell ref="I2:M2"/>
    <mergeCell ref="I4:M4"/>
    <mergeCell ref="L93:M93"/>
    <mergeCell ref="L94:M94"/>
    <mergeCell ref="I96:M96"/>
    <mergeCell ref="I97:M97"/>
    <mergeCell ref="I99:M99"/>
    <mergeCell ref="K87:L87"/>
    <mergeCell ref="K52:L52"/>
    <mergeCell ref="K54:L54"/>
    <mergeCell ref="L58:M58"/>
    <mergeCell ref="L59:M59"/>
    <mergeCell ref="L92:M92"/>
    <mergeCell ref="L60:M60"/>
    <mergeCell ref="I62:M62"/>
    <mergeCell ref="K18:L18"/>
    <mergeCell ref="K20:L20"/>
    <mergeCell ref="B569:C569"/>
    <mergeCell ref="B567:C567"/>
    <mergeCell ref="F578:G578"/>
    <mergeCell ref="B571:C571"/>
    <mergeCell ref="B524:C524"/>
    <mergeCell ref="B526:C526"/>
    <mergeCell ref="B556:C556"/>
    <mergeCell ref="B529:C529"/>
    <mergeCell ref="B537:C537"/>
    <mergeCell ref="B536:C536"/>
    <mergeCell ref="B565:C565"/>
    <mergeCell ref="B558:C558"/>
    <mergeCell ref="B555:C555"/>
    <mergeCell ref="B858:C858"/>
    <mergeCell ref="B672:C672"/>
    <mergeCell ref="B673:C673"/>
    <mergeCell ref="B667:C667"/>
    <mergeCell ref="B668:C668"/>
    <mergeCell ref="B669:C669"/>
    <mergeCell ref="B671:C671"/>
    <mergeCell ref="C849:G849"/>
    <mergeCell ref="F748:G748"/>
    <mergeCell ref="B728:C728"/>
    <mergeCell ref="F714:G714"/>
    <mergeCell ref="B726:C726"/>
    <mergeCell ref="B805:C805"/>
    <mergeCell ref="B800:C800"/>
    <mergeCell ref="B803:C803"/>
    <mergeCell ref="B799:C799"/>
    <mergeCell ref="B802:C802"/>
    <mergeCell ref="B804:C804"/>
    <mergeCell ref="B830:C830"/>
    <mergeCell ref="B806:C806"/>
    <mergeCell ref="C823:G823"/>
    <mergeCell ref="B773:C773"/>
    <mergeCell ref="B731:C731"/>
    <mergeCell ref="B736:C736"/>
    <mergeCell ref="L215:M215"/>
    <mergeCell ref="K234:L234"/>
    <mergeCell ref="K236:L236"/>
    <mergeCell ref="I217:M217"/>
    <mergeCell ref="I218:M218"/>
    <mergeCell ref="I244:M244"/>
    <mergeCell ref="I245:M245"/>
    <mergeCell ref="K207:L207"/>
    <mergeCell ref="K209:L209"/>
    <mergeCell ref="I220:M220"/>
    <mergeCell ref="L213:M213"/>
    <mergeCell ref="L214:M214"/>
    <mergeCell ref="L240:M240"/>
    <mergeCell ref="L241:M241"/>
    <mergeCell ref="L242:M242"/>
    <mergeCell ref="L24:M24"/>
    <mergeCell ref="L25:M25"/>
    <mergeCell ref="I29:M29"/>
    <mergeCell ref="I31:M31"/>
    <mergeCell ref="L127:M127"/>
    <mergeCell ref="L128:M128"/>
    <mergeCell ref="K121:L121"/>
    <mergeCell ref="K123:L123"/>
    <mergeCell ref="K89:L89"/>
    <mergeCell ref="B835:C835"/>
    <mergeCell ref="B828:C828"/>
    <mergeCell ref="B833:C833"/>
    <mergeCell ref="F817:G817"/>
    <mergeCell ref="F816:G816"/>
    <mergeCell ref="B801:C801"/>
    <mergeCell ref="B832:C832"/>
    <mergeCell ref="I63:M63"/>
    <mergeCell ref="I65:M65"/>
    <mergeCell ref="B740:C740"/>
    <mergeCell ref="B706:C706"/>
    <mergeCell ref="F783:G783"/>
    <mergeCell ref="F715:G715"/>
    <mergeCell ref="B496:C496"/>
    <mergeCell ref="B500:C500"/>
    <mergeCell ref="B498:C498"/>
    <mergeCell ref="B459:C459"/>
    <mergeCell ref="B499:C499"/>
    <mergeCell ref="B393:C393"/>
    <mergeCell ref="B388:C388"/>
    <mergeCell ref="B389:C389"/>
    <mergeCell ref="B422:C422"/>
    <mergeCell ref="B553:C553"/>
    <mergeCell ref="B534:C534"/>
    <mergeCell ref="B859:C859"/>
    <mergeCell ref="B831:C831"/>
    <mergeCell ref="B807:C807"/>
    <mergeCell ref="B763:C763"/>
    <mergeCell ref="B767:C767"/>
    <mergeCell ref="C755:G755"/>
    <mergeCell ref="B797:C797"/>
    <mergeCell ref="B699:C699"/>
    <mergeCell ref="B735:C735"/>
    <mergeCell ref="B729:C729"/>
    <mergeCell ref="B760:C760"/>
    <mergeCell ref="B834:C834"/>
    <mergeCell ref="B704:C704"/>
    <mergeCell ref="B700:C700"/>
    <mergeCell ref="B737:C737"/>
    <mergeCell ref="B732:C732"/>
    <mergeCell ref="B794:C794"/>
    <mergeCell ref="B739:C739"/>
    <mergeCell ref="B764:C764"/>
    <mergeCell ref="F843:G843"/>
    <mergeCell ref="F842:G842"/>
    <mergeCell ref="B808:C808"/>
    <mergeCell ref="B825:C825"/>
    <mergeCell ref="B809:C809"/>
    <mergeCell ref="B798:C798"/>
    <mergeCell ref="C245:G245"/>
    <mergeCell ref="B325:C325"/>
    <mergeCell ref="B326:C326"/>
    <mergeCell ref="B296:C296"/>
    <mergeCell ref="B295:C295"/>
    <mergeCell ref="B284:C284"/>
    <mergeCell ref="B286:C286"/>
    <mergeCell ref="F272:G272"/>
    <mergeCell ref="B287:C287"/>
    <mergeCell ref="B283:C283"/>
    <mergeCell ref="B282:C282"/>
    <mergeCell ref="B288:C288"/>
    <mergeCell ref="B293:C293"/>
    <mergeCell ref="C278:G278"/>
    <mergeCell ref="B291:C291"/>
    <mergeCell ref="F273:G273"/>
    <mergeCell ref="B723:C723"/>
    <mergeCell ref="C721:G721"/>
    <mergeCell ref="B774:C774"/>
    <mergeCell ref="B730:C730"/>
    <mergeCell ref="B261:C261"/>
    <mergeCell ref="F271:G271"/>
    <mergeCell ref="C789:G789"/>
    <mergeCell ref="B49:C49"/>
    <mergeCell ref="B51:C51"/>
    <mergeCell ref="F58:G58"/>
    <mergeCell ref="F59:G59"/>
    <mergeCell ref="F60:G60"/>
    <mergeCell ref="B76:C76"/>
    <mergeCell ref="B83:C83"/>
    <mergeCell ref="B86:C86"/>
    <mergeCell ref="B67:C67"/>
    <mergeCell ref="B70:C70"/>
    <mergeCell ref="B71:C71"/>
    <mergeCell ref="B80:C80"/>
    <mergeCell ref="B77:C77"/>
    <mergeCell ref="B103:C103"/>
    <mergeCell ref="B147:C147"/>
    <mergeCell ref="F242:G242"/>
    <mergeCell ref="B116:C116"/>
    <mergeCell ref="B118:C118"/>
    <mergeCell ref="B199:C199"/>
    <mergeCell ref="C134:G134"/>
    <mergeCell ref="B144:C144"/>
    <mergeCell ref="C132:G132"/>
    <mergeCell ref="B111:C111"/>
    <mergeCell ref="B114:C114"/>
    <mergeCell ref="B120:C120"/>
    <mergeCell ref="C131:G131"/>
    <mergeCell ref="F127:G127"/>
    <mergeCell ref="B108:C108"/>
    <mergeCell ref="B109:C109"/>
    <mergeCell ref="F128:G128"/>
    <mergeCell ref="B104:C104"/>
    <mergeCell ref="B145:C145"/>
    <mergeCell ref="B153:C153"/>
    <mergeCell ref="B222:C222"/>
    <mergeCell ref="B14:C14"/>
    <mergeCell ref="B82:C82"/>
    <mergeCell ref="B81:C81"/>
    <mergeCell ref="B84:C84"/>
    <mergeCell ref="C1:G1"/>
    <mergeCell ref="C2:G2"/>
    <mergeCell ref="B10:C10"/>
    <mergeCell ref="B17:C17"/>
    <mergeCell ref="C28:G28"/>
    <mergeCell ref="B8:C8"/>
    <mergeCell ref="B39:C39"/>
    <mergeCell ref="B44:C44"/>
    <mergeCell ref="B48:C48"/>
    <mergeCell ref="B45:C45"/>
    <mergeCell ref="F26:G26"/>
    <mergeCell ref="B40:C40"/>
    <mergeCell ref="C4:G4"/>
    <mergeCell ref="B50:C50"/>
    <mergeCell ref="C62:G62"/>
    <mergeCell ref="E52:F52"/>
    <mergeCell ref="B6:C6"/>
    <mergeCell ref="C31:G31"/>
    <mergeCell ref="C29:G29"/>
    <mergeCell ref="E18:F18"/>
    <mergeCell ref="F24:G24"/>
    <mergeCell ref="F25:G25"/>
    <mergeCell ref="E20:F20"/>
    <mergeCell ref="B33:C33"/>
    <mergeCell ref="B46:C46"/>
    <mergeCell ref="B47:C47"/>
    <mergeCell ref="B42:C42"/>
    <mergeCell ref="B43:C43"/>
    <mergeCell ref="B37:C37"/>
    <mergeCell ref="B41:C41"/>
    <mergeCell ref="B35:C35"/>
    <mergeCell ref="B38:C38"/>
    <mergeCell ref="B85:C85"/>
    <mergeCell ref="B75:C75"/>
    <mergeCell ref="B175:C175"/>
    <mergeCell ref="E54:F54"/>
    <mergeCell ref="B78:C78"/>
    <mergeCell ref="B79:C79"/>
    <mergeCell ref="B72:C72"/>
    <mergeCell ref="B74:C74"/>
    <mergeCell ref="C63:G63"/>
    <mergeCell ref="C65:G65"/>
    <mergeCell ref="B73:C73"/>
    <mergeCell ref="B146:C146"/>
    <mergeCell ref="E87:F87"/>
    <mergeCell ref="E89:F89"/>
    <mergeCell ref="C96:G96"/>
    <mergeCell ref="E121:F121"/>
    <mergeCell ref="E123:F123"/>
    <mergeCell ref="F92:G92"/>
    <mergeCell ref="B139:C139"/>
    <mergeCell ref="B142:C142"/>
    <mergeCell ref="B138:C138"/>
    <mergeCell ref="B110:C110"/>
    <mergeCell ref="B119:C119"/>
    <mergeCell ref="B69:C69"/>
    <mergeCell ref="F129:G129"/>
    <mergeCell ref="F93:G93"/>
    <mergeCell ref="B105:C105"/>
    <mergeCell ref="B106:C106"/>
    <mergeCell ref="F94:G94"/>
    <mergeCell ref="C97:G97"/>
    <mergeCell ref="B107:C107"/>
    <mergeCell ref="C99:G99"/>
    <mergeCell ref="B112:C112"/>
    <mergeCell ref="B101:C101"/>
    <mergeCell ref="B113:C113"/>
    <mergeCell ref="B115:C115"/>
    <mergeCell ref="B150:C150"/>
    <mergeCell ref="B172:C172"/>
    <mergeCell ref="B148:C148"/>
    <mergeCell ref="B152:C152"/>
    <mergeCell ref="B154:C154"/>
    <mergeCell ref="B155:C155"/>
    <mergeCell ref="B149:C149"/>
    <mergeCell ref="B151:C151"/>
    <mergeCell ref="B117:C117"/>
    <mergeCell ref="B140:C140"/>
    <mergeCell ref="B141:C141"/>
    <mergeCell ref="B143:C143"/>
    <mergeCell ref="B136:C136"/>
    <mergeCell ref="B228:C228"/>
    <mergeCell ref="B225:C225"/>
    <mergeCell ref="B206:C206"/>
    <mergeCell ref="B200:C200"/>
    <mergeCell ref="B264:C264"/>
    <mergeCell ref="B256:C256"/>
    <mergeCell ref="B262:C262"/>
    <mergeCell ref="B252:C252"/>
    <mergeCell ref="C247:G247"/>
    <mergeCell ref="B174:C174"/>
    <mergeCell ref="C167:G167"/>
    <mergeCell ref="C168:G168"/>
    <mergeCell ref="F165:G165"/>
    <mergeCell ref="C170:G170"/>
    <mergeCell ref="F164:G164"/>
    <mergeCell ref="E182:F182"/>
    <mergeCell ref="F215:G215"/>
    <mergeCell ref="E159:F159"/>
    <mergeCell ref="F163:G163"/>
    <mergeCell ref="F186:G186"/>
    <mergeCell ref="C191:G191"/>
    <mergeCell ref="F188:G188"/>
    <mergeCell ref="F1029:G1029"/>
    <mergeCell ref="B605:C605"/>
    <mergeCell ref="F1022:G1022"/>
    <mergeCell ref="F1023:G1023"/>
    <mergeCell ref="B762:C762"/>
    <mergeCell ref="B766:C766"/>
    <mergeCell ref="B738:C738"/>
    <mergeCell ref="B734:C734"/>
    <mergeCell ref="B733:C733"/>
    <mergeCell ref="F1027:G1027"/>
    <mergeCell ref="B1011:C1011"/>
    <mergeCell ref="B1015:C1015"/>
    <mergeCell ref="B1013:C1013"/>
    <mergeCell ref="B1014:C1014"/>
    <mergeCell ref="B1012:C1012"/>
    <mergeCell ref="B796:C796"/>
    <mergeCell ref="B696:C696"/>
    <mergeCell ref="B705:C705"/>
    <mergeCell ref="B703:C703"/>
    <mergeCell ref="B701:C701"/>
    <mergeCell ref="B702:C702"/>
    <mergeCell ref="B769:C769"/>
    <mergeCell ref="B741:C741"/>
    <mergeCell ref="B698:C698"/>
    <mergeCell ref="B463:C463"/>
    <mergeCell ref="B464:C464"/>
    <mergeCell ref="B320:C320"/>
    <mergeCell ref="B321:C321"/>
    <mergeCell ref="B322:C322"/>
    <mergeCell ref="C244:G244"/>
    <mergeCell ref="B491:C491"/>
    <mergeCell ref="B530:C530"/>
    <mergeCell ref="B329:C329"/>
    <mergeCell ref="F340:G340"/>
    <mergeCell ref="C449:G449"/>
    <mergeCell ref="B458:C458"/>
    <mergeCell ref="F407:G407"/>
    <mergeCell ref="B454:C454"/>
    <mergeCell ref="B354:C354"/>
    <mergeCell ref="B331:C331"/>
    <mergeCell ref="B332:C332"/>
    <mergeCell ref="B426:C426"/>
    <mergeCell ref="B460:C460"/>
    <mergeCell ref="B430:C430"/>
    <mergeCell ref="B396:C396"/>
    <mergeCell ref="B294:C294"/>
    <mergeCell ref="B292:C292"/>
    <mergeCell ref="B253:C253"/>
    <mergeCell ref="F782:G782"/>
    <mergeCell ref="B663:C663"/>
    <mergeCell ref="B638:C638"/>
    <mergeCell ref="B634:C634"/>
    <mergeCell ref="B768:C768"/>
    <mergeCell ref="B694:C694"/>
    <mergeCell ref="B695:C695"/>
    <mergeCell ref="B692:C692"/>
    <mergeCell ref="B757:C757"/>
    <mergeCell ref="B689:C689"/>
    <mergeCell ref="B765:C765"/>
    <mergeCell ref="F681:G681"/>
    <mergeCell ref="F680:G680"/>
    <mergeCell ref="B670:C670"/>
    <mergeCell ref="B635:C635"/>
    <mergeCell ref="B658:C658"/>
    <mergeCell ref="B666:C666"/>
    <mergeCell ref="B664:C664"/>
    <mergeCell ref="B636:C636"/>
    <mergeCell ref="B697:C697"/>
    <mergeCell ref="B662:C662"/>
    <mergeCell ref="B639:C639"/>
    <mergeCell ref="C653:G653"/>
    <mergeCell ref="F647:G647"/>
    <mergeCell ref="B314:C314"/>
    <mergeCell ref="F240:G240"/>
    <mergeCell ref="B251:C251"/>
    <mergeCell ref="C217:G217"/>
    <mergeCell ref="B230:C230"/>
    <mergeCell ref="B227:C227"/>
    <mergeCell ref="F241:G241"/>
    <mergeCell ref="C220:G220"/>
    <mergeCell ref="B224:C224"/>
    <mergeCell ref="E234:F234"/>
    <mergeCell ref="E301:F301"/>
    <mergeCell ref="B260:C260"/>
    <mergeCell ref="B226:C226"/>
    <mergeCell ref="B229:C229"/>
    <mergeCell ref="B258:C258"/>
    <mergeCell ref="B254:C254"/>
    <mergeCell ref="B255:C255"/>
    <mergeCell ref="C984:G984"/>
    <mergeCell ref="F978:G978"/>
    <mergeCell ref="C964:G964"/>
    <mergeCell ref="B906:C906"/>
    <mergeCell ref="B909:C909"/>
    <mergeCell ref="B887:C887"/>
    <mergeCell ref="B903:C903"/>
    <mergeCell ref="B886:C886"/>
    <mergeCell ref="B951:C951"/>
    <mergeCell ref="B948:C948"/>
    <mergeCell ref="C946:G946"/>
    <mergeCell ref="F895:G895"/>
    <mergeCell ref="F921:G921"/>
    <mergeCell ref="F920:G920"/>
    <mergeCell ref="F959:G959"/>
    <mergeCell ref="F958:G958"/>
    <mergeCell ref="F941:G941"/>
    <mergeCell ref="F940:G940"/>
    <mergeCell ref="F894:G894"/>
    <mergeCell ref="B467:C467"/>
    <mergeCell ref="F443:G443"/>
    <mergeCell ref="F476:G476"/>
    <mergeCell ref="F477:G477"/>
    <mergeCell ref="B1009:C1009"/>
    <mergeCell ref="B969:C969"/>
    <mergeCell ref="B966:C966"/>
    <mergeCell ref="B991:C991"/>
    <mergeCell ref="B990:C990"/>
    <mergeCell ref="B986:C986"/>
    <mergeCell ref="B971:C971"/>
    <mergeCell ref="B1006:C1006"/>
    <mergeCell ref="C1004:G1004"/>
    <mergeCell ref="F999:G999"/>
    <mergeCell ref="B913:C913"/>
    <mergeCell ref="B911:C911"/>
    <mergeCell ref="C926:G926"/>
    <mergeCell ref="B933:C933"/>
    <mergeCell ref="B908:C908"/>
    <mergeCell ref="B885:C885"/>
    <mergeCell ref="C901:G901"/>
    <mergeCell ref="F998:G998"/>
    <mergeCell ref="B989:C989"/>
    <mergeCell ref="F979:G979"/>
    <mergeCell ref="B495:C495"/>
    <mergeCell ref="B488:C488"/>
    <mergeCell ref="B598:C598"/>
    <mergeCell ref="B595:C595"/>
    <mergeCell ref="B590:C590"/>
    <mergeCell ref="B594:C594"/>
    <mergeCell ref="B592:C592"/>
    <mergeCell ref="B593:C593"/>
    <mergeCell ref="C585:G585"/>
    <mergeCell ref="B559:C559"/>
    <mergeCell ref="B596:C596"/>
    <mergeCell ref="B587:C587"/>
    <mergeCell ref="B560:C560"/>
    <mergeCell ref="B557:C557"/>
    <mergeCell ref="C551:G551"/>
    <mergeCell ref="B568:C568"/>
    <mergeCell ref="B564:C564"/>
    <mergeCell ref="B561:C561"/>
    <mergeCell ref="B535:C535"/>
    <mergeCell ref="B519:C519"/>
    <mergeCell ref="B493:C493"/>
    <mergeCell ref="B570:C570"/>
    <mergeCell ref="B566:C566"/>
    <mergeCell ref="F579:G579"/>
    <mergeCell ref="B465:C465"/>
    <mergeCell ref="F545:G545"/>
    <mergeCell ref="B501:C501"/>
    <mergeCell ref="B525:C525"/>
    <mergeCell ref="B503:C503"/>
    <mergeCell ref="B626:C626"/>
    <mergeCell ref="B603:C603"/>
    <mergeCell ref="B602:C602"/>
    <mergeCell ref="B390:C390"/>
    <mergeCell ref="B533:C533"/>
    <mergeCell ref="B497:C497"/>
    <mergeCell ref="B494:C494"/>
    <mergeCell ref="B485:C485"/>
    <mergeCell ref="B562:C562"/>
    <mergeCell ref="B599:C599"/>
    <mergeCell ref="B600:C600"/>
    <mergeCell ref="F511:G511"/>
    <mergeCell ref="B601:C601"/>
    <mergeCell ref="F544:G544"/>
    <mergeCell ref="B532:C532"/>
    <mergeCell ref="B527:C527"/>
    <mergeCell ref="B528:C528"/>
    <mergeCell ref="B531:C531"/>
    <mergeCell ref="B490:C490"/>
    <mergeCell ref="E157:F157"/>
    <mergeCell ref="B156:C156"/>
    <mergeCell ref="C218:G218"/>
    <mergeCell ref="B451:C451"/>
    <mergeCell ref="B427:C427"/>
    <mergeCell ref="B201:C201"/>
    <mergeCell ref="B348:C348"/>
    <mergeCell ref="B425:C425"/>
    <mergeCell ref="B400:C400"/>
    <mergeCell ref="B395:C395"/>
    <mergeCell ref="B399:C399"/>
    <mergeCell ref="B397:C397"/>
    <mergeCell ref="B416:C416"/>
    <mergeCell ref="B392:C392"/>
    <mergeCell ref="B198:C198"/>
    <mergeCell ref="B249:C249"/>
    <mergeCell ref="B289:C289"/>
    <mergeCell ref="B257:C257"/>
    <mergeCell ref="B319:C319"/>
    <mergeCell ref="E265:F265"/>
    <mergeCell ref="E267:F267"/>
    <mergeCell ref="B290:C290"/>
    <mergeCell ref="C276:G276"/>
    <mergeCell ref="B285:C285"/>
    <mergeCell ref="F613:G613"/>
    <mergeCell ref="C619:G619"/>
    <mergeCell ref="B632:C632"/>
    <mergeCell ref="B624:C624"/>
    <mergeCell ref="B604:C604"/>
    <mergeCell ref="B631:C631"/>
    <mergeCell ref="B771:C771"/>
    <mergeCell ref="C687:G687"/>
    <mergeCell ref="B661:C661"/>
    <mergeCell ref="B655:C655"/>
    <mergeCell ref="B665:C665"/>
    <mergeCell ref="B660:C660"/>
    <mergeCell ref="B630:C630"/>
    <mergeCell ref="B629:C629"/>
    <mergeCell ref="B770:C770"/>
    <mergeCell ref="F646:G646"/>
    <mergeCell ref="B932:C932"/>
    <mergeCell ref="B928:C928"/>
    <mergeCell ref="B931:C931"/>
    <mergeCell ref="B912:C912"/>
    <mergeCell ref="B563:C563"/>
    <mergeCell ref="B861:C861"/>
    <mergeCell ref="B910:C910"/>
    <mergeCell ref="B707:C707"/>
    <mergeCell ref="B597:C597"/>
    <mergeCell ref="B851:C851"/>
    <mergeCell ref="B860:C860"/>
    <mergeCell ref="B854:C854"/>
    <mergeCell ref="B633:C633"/>
    <mergeCell ref="B627:C627"/>
    <mergeCell ref="B791:C791"/>
    <mergeCell ref="B628:C628"/>
    <mergeCell ref="B621:C621"/>
    <mergeCell ref="B637:C637"/>
    <mergeCell ref="B882:C882"/>
    <mergeCell ref="B883:C883"/>
    <mergeCell ref="B884:C884"/>
    <mergeCell ref="B772:C772"/>
    <mergeCell ref="B775:C775"/>
    <mergeCell ref="B856:C856"/>
    <mergeCell ref="F510:G510"/>
    <mergeCell ref="B423:C423"/>
    <mergeCell ref="B434:C434"/>
    <mergeCell ref="B424:C424"/>
    <mergeCell ref="B466:C466"/>
    <mergeCell ref="B469:C469"/>
    <mergeCell ref="B880:C880"/>
    <mergeCell ref="B857:C857"/>
    <mergeCell ref="F868:G868"/>
    <mergeCell ref="C517:G517"/>
    <mergeCell ref="C483:G483"/>
    <mergeCell ref="B429:C429"/>
    <mergeCell ref="B431:C431"/>
    <mergeCell ref="B492:C492"/>
    <mergeCell ref="B502:C502"/>
    <mergeCell ref="B462:C462"/>
    <mergeCell ref="F869:G869"/>
    <mergeCell ref="F749:G749"/>
    <mergeCell ref="C875:G875"/>
    <mergeCell ref="B877:C877"/>
    <mergeCell ref="B461:C461"/>
    <mergeCell ref="B522:C522"/>
    <mergeCell ref="B468:C468"/>
    <mergeCell ref="F612:G612"/>
    <mergeCell ref="B351:C351"/>
    <mergeCell ref="B457:C457"/>
    <mergeCell ref="B433:C433"/>
    <mergeCell ref="B365:C365"/>
    <mergeCell ref="B362:C362"/>
    <mergeCell ref="B361:C361"/>
    <mergeCell ref="B356:C356"/>
    <mergeCell ref="F374:G374"/>
    <mergeCell ref="B456:C456"/>
    <mergeCell ref="B353:C353"/>
    <mergeCell ref="B421:C421"/>
    <mergeCell ref="F408:G408"/>
    <mergeCell ref="C414:G414"/>
    <mergeCell ref="B357:C357"/>
    <mergeCell ref="B391:C391"/>
    <mergeCell ref="B428:C428"/>
    <mergeCell ref="F442:G442"/>
    <mergeCell ref="B419:C419"/>
    <mergeCell ref="B364:C364"/>
    <mergeCell ref="B398:C398"/>
    <mergeCell ref="B432:C432"/>
    <mergeCell ref="B394:C394"/>
    <mergeCell ref="B387:C387"/>
    <mergeCell ref="B330:C330"/>
    <mergeCell ref="C346:G346"/>
    <mergeCell ref="F339:G339"/>
    <mergeCell ref="B298:C298"/>
    <mergeCell ref="C312:G312"/>
    <mergeCell ref="F305:G305"/>
    <mergeCell ref="B355:C355"/>
    <mergeCell ref="B385:C385"/>
    <mergeCell ref="B359:C359"/>
    <mergeCell ref="B358:C358"/>
    <mergeCell ref="B366:C366"/>
    <mergeCell ref="B363:C363"/>
    <mergeCell ref="B360:C360"/>
    <mergeCell ref="C380:G380"/>
    <mergeCell ref="B382:C382"/>
    <mergeCell ref="F373:G373"/>
    <mergeCell ref="F306:G306"/>
    <mergeCell ref="F307:G307"/>
    <mergeCell ref="E299:F299"/>
    <mergeCell ref="B324:C324"/>
    <mergeCell ref="B327:C327"/>
    <mergeCell ref="B328:C328"/>
    <mergeCell ref="B317:C317"/>
    <mergeCell ref="B323:C323"/>
    <mergeCell ref="V299:W299"/>
    <mergeCell ref="V301:W301"/>
    <mergeCell ref="S293:T293"/>
    <mergeCell ref="S294:T294"/>
    <mergeCell ref="S295:T295"/>
    <mergeCell ref="S296:T296"/>
    <mergeCell ref="S297:T297"/>
    <mergeCell ref="S298:T298"/>
    <mergeCell ref="B297:C297"/>
    <mergeCell ref="B263:C263"/>
    <mergeCell ref="B280:C280"/>
    <mergeCell ref="C275:G275"/>
    <mergeCell ref="B176:C176"/>
    <mergeCell ref="B177:C177"/>
    <mergeCell ref="B233:C233"/>
    <mergeCell ref="E236:F236"/>
    <mergeCell ref="F187:G187"/>
    <mergeCell ref="B197:C197"/>
    <mergeCell ref="E180:F180"/>
    <mergeCell ref="B259:C259"/>
    <mergeCell ref="E207:F207"/>
    <mergeCell ref="B195:C195"/>
    <mergeCell ref="C190:G190"/>
    <mergeCell ref="E209:F209"/>
    <mergeCell ref="B179:C179"/>
    <mergeCell ref="B204:C204"/>
    <mergeCell ref="F214:G214"/>
    <mergeCell ref="C193:G193"/>
    <mergeCell ref="F213:G213"/>
    <mergeCell ref="B178:C178"/>
    <mergeCell ref="B202:C202"/>
    <mergeCell ref="B203:C203"/>
    <mergeCell ref="B205:C205"/>
  </mergeCells>
  <phoneticPr fontId="0" type="noConversion"/>
  <dataValidations count="3">
    <dataValidation type="list" allowBlank="1" showInputMessage="1" showErrorMessage="1" sqref="B38:B47 C11:C13">
      <formula1>'[1]Cjenik VSO (pomoćna)'!$B$9:$B$85</formula1>
    </dataValidation>
    <dataValidation type="list" allowBlank="1" showInputMessage="1" showErrorMessage="1" sqref="C9 C36">
      <formula1>'[1]Cjenik RS'!$C$11:$C$26</formula1>
    </dataValidation>
    <dataValidation type="list" allowBlank="1" showInputMessage="1" showErrorMessage="1" sqref="C15:C16">
      <formula1>'[1]Cjenik M'!$B$11:$B$113</formula1>
    </dataValidation>
  </dataValidations>
  <pageMargins left="0.98425196850393704" right="0.39370078740157483" top="0.39370078740157483" bottom="0.39370078740157483" header="0.19685039370078741" footer="0.19685039370078741"/>
  <pageSetup paperSize="9" scale="91" orientation="portrait" r:id="rId1"/>
  <headerFooter alignWithMargins="0">
    <oddHeader>&amp;L&amp;8PERUŠIĆ d.o.o.&amp;C&amp;8ODRŽAVANJE GRAĐEVINA, UREĐAJA I PREDMETA JAVNE NAMJENE&amp;R&amp;8&amp;D</oddHeader>
    <oddFooter>&amp;L&amp;8PERUŠIĆ d.o.o.&amp;C&amp;8&amp;A&amp;R&amp;8&amp;P / &amp;N</oddFooter>
  </headerFooter>
  <rowBreaks count="34" manualBreakCount="34">
    <brk id="26" max="6" man="1"/>
    <brk id="60" max="6" man="1"/>
    <brk id="94" max="6" man="1"/>
    <brk id="129" max="6" man="1"/>
    <brk id="165" max="6" man="1"/>
    <brk id="188" max="6" man="1"/>
    <brk id="215" max="6" man="1"/>
    <brk id="242" max="6" man="1"/>
    <brk id="273" max="6" man="1"/>
    <brk id="307" max="6" man="1"/>
    <brk id="341" max="6" man="1"/>
    <brk id="375" max="6" man="1"/>
    <brk id="409" max="6" man="1"/>
    <brk id="444" max="6" man="1"/>
    <brk id="478" max="6" man="1"/>
    <brk id="512" max="6" man="1"/>
    <brk id="546" max="6" man="1"/>
    <brk id="580" max="6" man="1"/>
    <brk id="614" max="6" man="1"/>
    <brk id="648" max="6" man="1"/>
    <brk id="682" max="6" man="1"/>
    <brk id="716" max="6" man="1"/>
    <brk id="750" max="6" man="1"/>
    <brk id="784" max="6" man="1"/>
    <brk id="818" max="6" man="1"/>
    <brk id="844" max="6" man="1"/>
    <brk id="870" max="6" man="1"/>
    <brk id="896" max="6" man="1"/>
    <brk id="922" max="6" man="1"/>
    <brk id="942" max="6" man="1"/>
    <brk id="960" max="6" man="1"/>
    <brk id="980" max="6" man="1"/>
    <brk id="1000" max="6" man="1"/>
    <brk id="1024" max="6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'Cjenik VSO (pomoćna)'!$B$9:$B$13</xm:f>
          </x14:formula1>
          <xm:sqref>B11:C13 I11:I13 B38:C47 I38:I47 B73:C83 I73:I83 B106:C116 I106:I116 B141:C152 I141:I152 B177:C177 I177 B200:C206 I200:I206 B227:C229 I227:I229 B254:C260 I254:I260 B285:C295 I285:I295 B319:C329 I319:I329 B353:C363 I353:I363 B387:C397 I387:I397 B421:C431 I421:I431 B456:C466 I456:I466 B490:C500 I490:I500 B524:C534 I524:I534 B558:C568 I558:I568 B592:C602 I592:I602 B626:C636 I626:I636 B660:C670 I660:I670 B694:C704 I694:I704 B728:C738 I728:I738 B762:C772 I762:I772 B796:C806 I796:I806 B830:C835 I830:I835 B856:C861 I856:I861 B882:C887 I882:I887 B908:C913 I908:I913 B971:C971 I971:I972 B991:C991 I991 B1011:C1013 I1011:I1013</xm:sqref>
        </x14:dataValidation>
        <x14:dataValidation type="list" allowBlank="1" showInputMessage="1" showErrorMessage="1" xr:uid="{00000000-0002-0000-0300-000001000000}">
          <x14:formula1>
            <xm:f>'Cjenik RS'!$C$11:$C$26</xm:f>
          </x14:formula1>
          <xm:sqref>B9:C9 I9 B36:C36 I36 B71:C71 I71 B104:C104 I104 B139:C139 I139 B175:C175 I175 B1009:C1009 I1009 B989:C989 I989 B969:C969 I969 B951:C951 I951 I906 B931:C931 I880 B906:C906 B198:C198 I198 B225:C225 I225 B252:C252 I252 B283:C283 I283 B317:C317 I317 B351:C351 I351 B385:C385 I385 B419:C419 I419 B454:C454 I454 B488:C488 I488 B522:C522 I522 B556:C556 I556 B590:C590 I590 B624:C624 I624 B658:C658 I658 B692:C692 I692 B726:C726 I726 B760:C760 I760 B794:C794 I794 B828:C828 I828 B854:C854 I854 B880:C880 I931</xm:sqref>
        </x14:dataValidation>
        <x14:dataValidation type="list" allowBlank="1" showInputMessage="1" showErrorMessage="1" xr:uid="{00000000-0002-0000-0300-000002000000}">
          <x14:formula1>
            <xm:f>'Cjenik M'!$B$11:$B$119</xm:f>
          </x14:formula1>
          <xm:sqref>B15:C17 I15:I17 B49:C51 I49:I51 B85:C86 I85:I86 B118:C120 I118:I120 B154:C156 I154:I156 B179:C179 I179 B233:C233 I233 B262:C264 I262:I264 B297:C298 I297:I298 B331:C332 I331:I332 B365:C366 I365:I366 B399:C400 I399:I400 B433:C434 I433:I434 B468:C469 I468:I469 B502:C503 I502:I503 B536:C537 I536:I537 B570:C571 I570:I571 B604:C605 I604:I605 B638:C639 I638:I639 B672:C673 I672:I673 B706:C707 I706:I707 B740:C741 I740:I741 B774:C775 I774:I775 B808:C809 I808:I809 B933:C933 I933 B1015:C1015 I1015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O332"/>
  <sheetViews>
    <sheetView showZeros="0" topLeftCell="A29" zoomScale="130" zoomScaleNormal="130" zoomScaleSheetLayoutView="100" workbookViewId="0">
      <selection activeCell="G34" sqref="G34"/>
    </sheetView>
  </sheetViews>
  <sheetFormatPr defaultRowHeight="12.75"/>
  <cols>
    <col min="1" max="1" width="3.7109375" style="1" customWidth="1"/>
    <col min="2" max="2" width="10.7109375" style="37" customWidth="1"/>
    <col min="3" max="3" width="25.7109375" style="2" customWidth="1"/>
    <col min="4" max="4" width="6.7109375" style="3" customWidth="1"/>
    <col min="5" max="5" width="11.7109375" style="4" customWidth="1"/>
    <col min="6" max="6" width="11.7109375" style="244" customWidth="1"/>
    <col min="7" max="7" width="11.7109375" style="5" customWidth="1"/>
    <col min="8" max="8" width="9.140625" style="2"/>
    <col min="9" max="9" width="3.7109375" style="1" customWidth="1"/>
    <col min="10" max="10" width="10.7109375" style="37" customWidth="1"/>
    <col min="11" max="11" width="25.7109375" style="2" customWidth="1"/>
    <col min="12" max="12" width="6.7109375" style="3" customWidth="1"/>
    <col min="13" max="13" width="11.7109375" style="4" customWidth="1"/>
    <col min="14" max="14" width="11.7109375" style="244" customWidth="1"/>
    <col min="15" max="15" width="11.7109375" style="5" customWidth="1"/>
    <col min="16" max="16384" width="9.140625" style="2"/>
  </cols>
  <sheetData>
    <row r="1" spans="1:15" ht="15" customHeight="1"/>
    <row r="2" spans="1:15" s="6" customFormat="1" ht="15" customHeight="1">
      <c r="A2" s="144"/>
      <c r="B2" s="145" t="s">
        <v>23</v>
      </c>
      <c r="C2" s="836" t="s">
        <v>178</v>
      </c>
      <c r="D2" s="836"/>
      <c r="E2" s="836"/>
      <c r="F2" s="836"/>
      <c r="G2" s="836"/>
      <c r="I2" s="144"/>
      <c r="J2" s="145" t="s">
        <v>23</v>
      </c>
      <c r="K2" s="836" t="s">
        <v>178</v>
      </c>
      <c r="L2" s="836"/>
      <c r="M2" s="836"/>
      <c r="N2" s="836"/>
      <c r="O2" s="836"/>
    </row>
    <row r="3" spans="1:15" ht="150" customHeight="1">
      <c r="A3" s="40"/>
      <c r="B3" s="556" t="s">
        <v>25</v>
      </c>
      <c r="C3" s="852" t="s">
        <v>179</v>
      </c>
      <c r="D3" s="852"/>
      <c r="E3" s="852"/>
      <c r="F3" s="852"/>
      <c r="G3" s="852"/>
      <c r="I3" s="40"/>
      <c r="J3" s="41" t="s">
        <v>25</v>
      </c>
      <c r="K3" s="869" t="s">
        <v>179</v>
      </c>
      <c r="L3" s="869"/>
      <c r="M3" s="869"/>
      <c r="N3" s="869"/>
      <c r="O3" s="869"/>
    </row>
    <row r="4" spans="1:15" ht="15" customHeight="1" thickBot="1"/>
    <row r="5" spans="1:15" s="11" customFormat="1" ht="30" customHeight="1" thickTop="1" thickBot="1">
      <c r="A5" s="10"/>
      <c r="B5" s="835" t="str">
        <f>'Obrazac kalkulacije'!$B$6:$C$6</f>
        <v>Opis</v>
      </c>
      <c r="C5" s="835"/>
      <c r="D5" s="10" t="str">
        <f>'Obrazac kalkulacije'!$D$6</f>
        <v>Jed.
mjere</v>
      </c>
      <c r="E5" s="10" t="str">
        <f>'Obrazac kalkulacije'!$E$6</f>
        <v>Normativ</v>
      </c>
      <c r="F5" s="10" t="str">
        <f>'Obrazac kalkulacije'!$F$6</f>
        <v>Jed.
cijena</v>
      </c>
      <c r="G5" s="10" t="str">
        <f>'Obrazac kalkulacije'!$G$6</f>
        <v>Iznos</v>
      </c>
      <c r="I5" s="10"/>
      <c r="J5" s="835" t="e">
        <f>'Obrazac kalkulacije'!$B$6:$C$6</f>
        <v>#VALUE!</v>
      </c>
      <c r="K5" s="835"/>
      <c r="L5" s="10" t="str">
        <f>'Obrazac kalkulacije'!$D$6</f>
        <v>Jed.
mjere</v>
      </c>
      <c r="M5" s="10" t="str">
        <f>'Obrazac kalkulacije'!$E$6</f>
        <v>Normativ</v>
      </c>
      <c r="N5" s="10" t="str">
        <f>'Obrazac kalkulacije'!$F$6</f>
        <v>Jed.
cijena</v>
      </c>
      <c r="O5" s="10" t="str">
        <f>'Obrazac kalkulacije'!$G$6</f>
        <v>Iznos</v>
      </c>
    </row>
    <row r="6" spans="1:15" s="12" customFormat="1" ht="4.5" customHeight="1" thickTop="1">
      <c r="A6" s="1"/>
      <c r="B6" s="42"/>
      <c r="C6" s="1"/>
      <c r="D6" s="11"/>
      <c r="E6" s="13"/>
      <c r="F6" s="245"/>
      <c r="G6" s="15"/>
      <c r="I6" s="1"/>
      <c r="J6" s="42"/>
      <c r="K6" s="1"/>
      <c r="L6" s="11"/>
      <c r="M6" s="13"/>
      <c r="N6" s="245"/>
      <c r="O6" s="15"/>
    </row>
    <row r="7" spans="1:15" s="12" customFormat="1" ht="25.15" customHeight="1">
      <c r="A7" s="16"/>
      <c r="B7" s="837" t="str">
        <f>'Obrazac kalkulacije'!$B$8</f>
        <v>Radna snaga:</v>
      </c>
      <c r="C7" s="837"/>
      <c r="D7" s="16"/>
      <c r="E7" s="16"/>
      <c r="F7" s="246"/>
      <c r="G7" s="18">
        <f>SUM(G8:G8)</f>
        <v>0</v>
      </c>
      <c r="I7" s="16"/>
      <c r="J7" s="837" t="str">
        <f>'Obrazac kalkulacije'!$B$8</f>
        <v>Radna snaga:</v>
      </c>
      <c r="K7" s="837"/>
      <c r="L7" s="16"/>
      <c r="M7" s="16"/>
      <c r="N7" s="246"/>
      <c r="O7" s="18">
        <f>SUM(O8:O8)</f>
        <v>0</v>
      </c>
    </row>
    <row r="8" spans="1:15" s="12" customFormat="1" ht="25.15" customHeight="1">
      <c r="A8" s="32"/>
      <c r="B8" s="854" t="s">
        <v>103</v>
      </c>
      <c r="C8" s="854"/>
      <c r="D8" s="33" t="s">
        <v>51</v>
      </c>
      <c r="E8" s="34">
        <v>0.10091700000000001</v>
      </c>
      <c r="F8" s="243">
        <f>SUMIF('Cjenik RS'!$C$11:$C$26,$B8,'Cjenik RS'!$D$11:$D$90)</f>
        <v>0</v>
      </c>
      <c r="G8" s="35">
        <f>+F8*E8</f>
        <v>0</v>
      </c>
      <c r="I8" s="32"/>
      <c r="J8" s="854" t="s">
        <v>103</v>
      </c>
      <c r="K8" s="854"/>
      <c r="L8" s="33" t="s">
        <v>51</v>
      </c>
      <c r="M8" s="34">
        <v>0.10091700000000001</v>
      </c>
      <c r="N8" s="243">
        <f>SUMIF('Cjenik RS'!$C$11:$C$26,$B8,'Cjenik RS'!$D$11:$D$90)</f>
        <v>0</v>
      </c>
      <c r="O8" s="35">
        <f>+N8*M8</f>
        <v>0</v>
      </c>
    </row>
    <row r="9" spans="1:15" s="12" customFormat="1" ht="25.15" customHeight="1">
      <c r="A9" s="16"/>
      <c r="B9" s="837" t="str">
        <f>'Obrazac kalkulacije'!$B$11</f>
        <v>Vozila, strojevi i oprema:</v>
      </c>
      <c r="C9" s="837"/>
      <c r="D9" s="16"/>
      <c r="E9" s="16">
        <f>'Obrazac kalkulacije'!$E$11</f>
        <v>0</v>
      </c>
      <c r="F9" s="243"/>
      <c r="G9" s="18">
        <f>SUM(G10)</f>
        <v>2.6018637825197333</v>
      </c>
      <c r="I9" s="16"/>
      <c r="J9" s="837" t="str">
        <f>'Obrazac kalkulacije'!$B$11</f>
        <v>Vozila, strojevi i oprema:</v>
      </c>
      <c r="K9" s="837"/>
      <c r="L9" s="16"/>
      <c r="M9" s="16">
        <f>'Obrazac kalkulacije'!$E$11</f>
        <v>0</v>
      </c>
      <c r="N9" s="243"/>
      <c r="O9" s="18">
        <f>SUM(O10)</f>
        <v>2.8430680000000002</v>
      </c>
    </row>
    <row r="10" spans="1:15" s="12" customFormat="1" ht="25.15" customHeight="1" thickBot="1">
      <c r="A10" s="43"/>
      <c r="B10" s="864" t="s">
        <v>69</v>
      </c>
      <c r="C10" s="864"/>
      <c r="D10" s="62" t="s">
        <v>51</v>
      </c>
      <c r="E10" s="63">
        <v>1.4486992107570897E-2</v>
      </c>
      <c r="F10" s="241">
        <f>SUMIF('Cjenik VSO'!$B$9:$B$85,$B10,'Cjenik VSO'!$C$9:$C$85)</f>
        <v>179.6</v>
      </c>
      <c r="G10" s="65">
        <f>E10*F10</f>
        <v>2.6018637825197333</v>
      </c>
      <c r="I10" s="43"/>
      <c r="J10" s="864" t="s">
        <v>69</v>
      </c>
      <c r="K10" s="864"/>
      <c r="L10" s="62" t="s">
        <v>51</v>
      </c>
      <c r="M10" s="63">
        <v>1.583E-2</v>
      </c>
      <c r="N10" s="241">
        <f>SUMIF('Cjenik VSO'!$B$9:$B$85,$B10,'Cjenik VSO'!$C$9:$C$85)</f>
        <v>179.6</v>
      </c>
      <c r="O10" s="65">
        <f>M10*N10</f>
        <v>2.8430680000000002</v>
      </c>
    </row>
    <row r="11" spans="1:15" ht="25.15" customHeight="1" thickTop="1" thickBot="1">
      <c r="B11" s="47"/>
      <c r="C11" s="24"/>
      <c r="D11" s="25"/>
      <c r="E11" s="850" t="str">
        <f>'Obrazac kalkulacije'!$E$18</f>
        <v>Ukupno (kn):</v>
      </c>
      <c r="F11" s="850"/>
      <c r="G11" s="26">
        <f>ROUND(SUM(G7+G9),2)</f>
        <v>2.6</v>
      </c>
      <c r="H11" s="269" t="e">
        <f>SUMIF(#REF!,$B3,#REF!)</f>
        <v>#REF!</v>
      </c>
      <c r="J11" s="47"/>
      <c r="K11" s="24"/>
      <c r="L11" s="25"/>
      <c r="M11" s="850" t="str">
        <f>'Obrazac kalkulacije'!$E$18</f>
        <v>Ukupno (kn):</v>
      </c>
      <c r="N11" s="850"/>
      <c r="O11" s="26">
        <f>ROUND(SUM(O7+O9),2)</f>
        <v>2.84</v>
      </c>
    </row>
    <row r="12" spans="1:15" ht="25.15" customHeight="1" thickTop="1" thickBot="1">
      <c r="E12" s="27" t="str">
        <f>'Obrazac kalkulacije'!$E$19</f>
        <v>PDV:</v>
      </c>
      <c r="F12" s="248">
        <f>'Obrazac kalkulacije'!$F$19</f>
        <v>0.25</v>
      </c>
      <c r="G12" s="29">
        <f>G11*F12</f>
        <v>0.65</v>
      </c>
      <c r="H12" s="270" t="e">
        <f>H11-G11</f>
        <v>#REF!</v>
      </c>
      <c r="M12" s="27" t="str">
        <f>'Obrazac kalkulacije'!$E$19</f>
        <v>PDV:</v>
      </c>
      <c r="N12" s="248">
        <f>'Obrazac kalkulacije'!$F$19</f>
        <v>0.25</v>
      </c>
      <c r="O12" s="29">
        <f>O11*N12</f>
        <v>0.71</v>
      </c>
    </row>
    <row r="13" spans="1:15" ht="25.15" customHeight="1" thickTop="1" thickBot="1">
      <c r="E13" s="840" t="str">
        <f>'Obrazac kalkulacije'!$E$20</f>
        <v>Sveukupno (kn):</v>
      </c>
      <c r="F13" s="840"/>
      <c r="G13" s="29">
        <f>ROUND(SUM(G11:G12),2)</f>
        <v>3.25</v>
      </c>
      <c r="H13" s="271" t="e">
        <f>G10+H12</f>
        <v>#REF!</v>
      </c>
      <c r="M13" s="840" t="str">
        <f>'Obrazac kalkulacije'!$E$20</f>
        <v>Sveukupno (kn):</v>
      </c>
      <c r="N13" s="840"/>
      <c r="O13" s="29">
        <f>ROUND(SUM(O11:O12),2)</f>
        <v>3.55</v>
      </c>
    </row>
    <row r="14" spans="1:15" ht="15" customHeight="1" thickTop="1"/>
    <row r="15" spans="1:15" ht="15" customHeight="1"/>
    <row r="16" spans="1:15" ht="15" customHeight="1"/>
    <row r="17" spans="1:15" ht="15" customHeight="1">
      <c r="C17" s="3" t="str">
        <f>'Obrazac kalkulacije'!$C$24</f>
        <v>IZVODITELJ:</v>
      </c>
      <c r="F17" s="841" t="str">
        <f>'Obrazac kalkulacije'!$F$24</f>
        <v>NARUČITELJ:</v>
      </c>
      <c r="G17" s="841"/>
      <c r="K17" s="3" t="str">
        <f>'Obrazac kalkulacije'!$C$24</f>
        <v>IZVODITELJ:</v>
      </c>
      <c r="N17" s="841" t="str">
        <f>'Obrazac kalkulacije'!$F$24</f>
        <v>NARUČITELJ:</v>
      </c>
      <c r="O17" s="841"/>
    </row>
    <row r="18" spans="1:15" ht="25.15" customHeight="1">
      <c r="C18" s="3" t="str">
        <f>'Obrazac kalkulacije'!$C$25</f>
        <v>__________________</v>
      </c>
      <c r="F18" s="841" t="str">
        <f>'Obrazac kalkulacije'!$F$25</f>
        <v>___________________</v>
      </c>
      <c r="G18" s="841"/>
      <c r="K18" s="3" t="str">
        <f>'Obrazac kalkulacije'!$C$25</f>
        <v>__________________</v>
      </c>
      <c r="N18" s="841" t="str">
        <f>'Obrazac kalkulacije'!$F$25</f>
        <v>___________________</v>
      </c>
      <c r="O18" s="841"/>
    </row>
    <row r="19" spans="1:15" ht="15" customHeight="1">
      <c r="F19" s="841"/>
      <c r="G19" s="841"/>
      <c r="N19" s="841"/>
      <c r="O19" s="841"/>
    </row>
    <row r="20" spans="1:15" ht="15" customHeight="1"/>
    <row r="21" spans="1:15" ht="15" customHeight="1">
      <c r="A21" s="144"/>
      <c r="B21" s="145" t="s">
        <v>23</v>
      </c>
      <c r="C21" s="836" t="s">
        <v>178</v>
      </c>
      <c r="D21" s="836"/>
      <c r="E21" s="836"/>
      <c r="F21" s="836"/>
      <c r="G21" s="836"/>
      <c r="I21" s="144"/>
      <c r="J21" s="145" t="s">
        <v>23</v>
      </c>
      <c r="K21" s="836" t="s">
        <v>178</v>
      </c>
      <c r="L21" s="836"/>
      <c r="M21" s="836"/>
      <c r="N21" s="836"/>
      <c r="O21" s="836"/>
    </row>
    <row r="22" spans="1:15" ht="150" customHeight="1">
      <c r="A22" s="40"/>
      <c r="B22" s="556" t="s">
        <v>180</v>
      </c>
      <c r="C22" s="852" t="s">
        <v>181</v>
      </c>
      <c r="D22" s="852"/>
      <c r="E22" s="852"/>
      <c r="F22" s="852"/>
      <c r="G22" s="852"/>
      <c r="I22" s="40"/>
      <c r="J22" s="41" t="s">
        <v>180</v>
      </c>
      <c r="K22" s="869" t="s">
        <v>181</v>
      </c>
      <c r="L22" s="869"/>
      <c r="M22" s="869"/>
      <c r="N22" s="869"/>
      <c r="O22" s="869"/>
    </row>
    <row r="23" spans="1:15" ht="15" customHeight="1" thickBot="1"/>
    <row r="24" spans="1:15" ht="30" customHeight="1" thickTop="1" thickBot="1">
      <c r="A24" s="10"/>
      <c r="B24" s="835" t="str">
        <f>'Obrazac kalkulacije'!$B$6:$C$6</f>
        <v>Opis</v>
      </c>
      <c r="C24" s="835"/>
      <c r="D24" s="10" t="str">
        <f>'Obrazac kalkulacije'!$D$6</f>
        <v>Jed.
mjere</v>
      </c>
      <c r="E24" s="10" t="str">
        <f>'Obrazac kalkulacije'!$E$6</f>
        <v>Normativ</v>
      </c>
      <c r="F24" s="10" t="str">
        <f>'Obrazac kalkulacije'!$F$6</f>
        <v>Jed.
cijena</v>
      </c>
      <c r="G24" s="10" t="str">
        <f>'Obrazac kalkulacije'!$G$6</f>
        <v>Iznos</v>
      </c>
      <c r="H24" s="2">
        <v>20</v>
      </c>
      <c r="I24" s="10"/>
      <c r="J24" s="835" t="e">
        <f>'Obrazac kalkulacije'!$B$6:$C$6</f>
        <v>#VALUE!</v>
      </c>
      <c r="K24" s="835"/>
      <c r="L24" s="10" t="str">
        <f>'Obrazac kalkulacije'!$D$6</f>
        <v>Jed.
mjere</v>
      </c>
      <c r="M24" s="10" t="str">
        <f>'Obrazac kalkulacije'!$E$6</f>
        <v>Normativ</v>
      </c>
      <c r="N24" s="10" t="str">
        <f>'Obrazac kalkulacije'!$F$6</f>
        <v>Jed.
cijena</v>
      </c>
      <c r="O24" s="10" t="str">
        <f>'Obrazac kalkulacije'!$G$6</f>
        <v>Iznos</v>
      </c>
    </row>
    <row r="25" spans="1:15" ht="4.5" customHeight="1" thickTop="1">
      <c r="B25" s="42"/>
      <c r="C25" s="1"/>
      <c r="D25" s="11"/>
      <c r="E25" s="13"/>
      <c r="F25" s="245"/>
      <c r="G25" s="15"/>
      <c r="J25" s="42"/>
      <c r="K25" s="1"/>
      <c r="L25" s="11"/>
      <c r="M25" s="13"/>
      <c r="N25" s="245"/>
      <c r="O25" s="15"/>
    </row>
    <row r="26" spans="1:15" ht="25.15" customHeight="1">
      <c r="A26" s="16"/>
      <c r="B26" s="837" t="str">
        <f>'Obrazac kalkulacije'!$B$8</f>
        <v>Radna snaga:</v>
      </c>
      <c r="C26" s="837"/>
      <c r="D26" s="16"/>
      <c r="E26" s="16"/>
      <c r="F26" s="246"/>
      <c r="G26" s="18">
        <f>SUM(G27:G27)</f>
        <v>0</v>
      </c>
      <c r="I26" s="16"/>
      <c r="J26" s="837" t="str">
        <f>'Obrazac kalkulacije'!$B$8</f>
        <v>Radna snaga:</v>
      </c>
      <c r="K26" s="837"/>
      <c r="L26" s="16"/>
      <c r="M26" s="16"/>
      <c r="N26" s="246"/>
      <c r="O26" s="18">
        <f>SUM(O27:O27)</f>
        <v>0</v>
      </c>
    </row>
    <row r="27" spans="1:15" ht="25.15" customHeight="1">
      <c r="A27" s="32"/>
      <c r="B27" s="854" t="s">
        <v>103</v>
      </c>
      <c r="C27" s="854"/>
      <c r="D27" s="33" t="s">
        <v>51</v>
      </c>
      <c r="E27" s="34">
        <v>1.3278570000000001</v>
      </c>
      <c r="F27" s="243">
        <f>SUMIF('Cjenik RS'!$C$11:$C$26,$B27,'Cjenik RS'!$D$11:$D$90)</f>
        <v>0</v>
      </c>
      <c r="G27" s="35">
        <f>+F27*E27</f>
        <v>0</v>
      </c>
      <c r="I27" s="32"/>
      <c r="J27" s="854" t="s">
        <v>103</v>
      </c>
      <c r="K27" s="854"/>
      <c r="L27" s="33" t="s">
        <v>51</v>
      </c>
      <c r="M27" s="34">
        <v>1.3278570000000001</v>
      </c>
      <c r="N27" s="243">
        <f>SUMIF('Cjenik RS'!$C$11:$C$26,$B27,'Cjenik RS'!$D$11:$D$90)</f>
        <v>0</v>
      </c>
      <c r="O27" s="35">
        <f>+N27*M27</f>
        <v>0</v>
      </c>
    </row>
    <row r="28" spans="1:15" ht="25.15" customHeight="1">
      <c r="A28" s="16"/>
      <c r="B28" s="837" t="str">
        <f>'Obrazac kalkulacije'!$B$11</f>
        <v>Vozila, strojevi i oprema:</v>
      </c>
      <c r="C28" s="837"/>
      <c r="D28" s="16"/>
      <c r="E28" s="16">
        <f>'Obrazac kalkulacije'!$E$11</f>
        <v>0</v>
      </c>
      <c r="F28" s="243"/>
      <c r="G28" s="18">
        <f>SUM(G29:G31)</f>
        <v>32.605108804823139</v>
      </c>
      <c r="I28" s="16"/>
      <c r="J28" s="837" t="str">
        <f>'Obrazac kalkulacije'!$B$11</f>
        <v>Vozila, strojevi i oprema:</v>
      </c>
      <c r="K28" s="837"/>
      <c r="L28" s="16"/>
      <c r="M28" s="16">
        <f>'Obrazac kalkulacije'!$E$11</f>
        <v>0</v>
      </c>
      <c r="N28" s="243"/>
      <c r="O28" s="18">
        <f>SUM(O29:O31)</f>
        <v>35.345612499999994</v>
      </c>
    </row>
    <row r="29" spans="1:15" ht="25.15" customHeight="1">
      <c r="A29" s="51"/>
      <c r="B29" s="863" t="s">
        <v>69</v>
      </c>
      <c r="C29" s="863"/>
      <c r="D29" s="52" t="s">
        <v>51</v>
      </c>
      <c r="E29" s="53">
        <v>0.14259807073954978</v>
      </c>
      <c r="F29" s="240">
        <f>SUMIF('Cjenik VSO'!$B$9:$B$85,$B29,'Cjenik VSO'!$C$9:$C$85)</f>
        <v>179.6</v>
      </c>
      <c r="G29" s="55">
        <f>E29*F29</f>
        <v>25.610613504823139</v>
      </c>
      <c r="I29" s="51"/>
      <c r="J29" s="863" t="s">
        <v>69</v>
      </c>
      <c r="K29" s="863"/>
      <c r="L29" s="52" t="s">
        <v>51</v>
      </c>
      <c r="M29" s="53">
        <v>0.157857</v>
      </c>
      <c r="N29" s="240">
        <f>SUMIF('Cjenik VSO'!$B$9:$B$85,$B29,'Cjenik VSO'!$C$9:$C$85)</f>
        <v>179.6</v>
      </c>
      <c r="O29" s="55">
        <f>M29*N29</f>
        <v>28.351117199999997</v>
      </c>
    </row>
    <row r="30" spans="1:15" ht="25.15" customHeight="1">
      <c r="A30" s="56"/>
      <c r="B30" s="834" t="s">
        <v>182</v>
      </c>
      <c r="C30" s="834"/>
      <c r="D30" s="57" t="s">
        <v>51</v>
      </c>
      <c r="E30" s="58">
        <v>0.04</v>
      </c>
      <c r="F30" s="241">
        <f>SUMIF('Cjenik VSO'!$B$9:$B$85,$B30,'Cjenik VSO'!$C$9:$C$85)</f>
        <v>151.94999999999999</v>
      </c>
      <c r="G30" s="60">
        <f>E30*F30</f>
        <v>6.0779999999999994</v>
      </c>
      <c r="H30" s="2">
        <f>4/E30</f>
        <v>100</v>
      </c>
      <c r="I30" s="56"/>
      <c r="J30" s="834" t="s">
        <v>182</v>
      </c>
      <c r="K30" s="834"/>
      <c r="L30" s="57" t="s">
        <v>51</v>
      </c>
      <c r="M30" s="58">
        <v>0.04</v>
      </c>
      <c r="N30" s="241">
        <f>SUMIF('Cjenik VSO'!$B$9:$B$85,$B30,'Cjenik VSO'!$C$9:$C$85)</f>
        <v>151.94999999999999</v>
      </c>
      <c r="O30" s="60">
        <f>M30*N30</f>
        <v>6.0779999999999994</v>
      </c>
    </row>
    <row r="31" spans="1:15" ht="25.15" customHeight="1">
      <c r="A31" s="61"/>
      <c r="B31" s="864" t="s">
        <v>183</v>
      </c>
      <c r="C31" s="864"/>
      <c r="D31" s="62" t="s">
        <v>51</v>
      </c>
      <c r="E31" s="63">
        <v>2.7857E-2</v>
      </c>
      <c r="F31" s="242">
        <f>SUMIF('Cjenik VSO'!$B$9:$B$85,$B31,'Cjenik VSO'!$C$9:$C$85)</f>
        <v>32.9</v>
      </c>
      <c r="G31" s="65">
        <f>E31*F31</f>
        <v>0.9164952999999999</v>
      </c>
      <c r="I31" s="61"/>
      <c r="J31" s="864" t="s">
        <v>183</v>
      </c>
      <c r="K31" s="864"/>
      <c r="L31" s="62" t="s">
        <v>51</v>
      </c>
      <c r="M31" s="63">
        <v>2.7857E-2</v>
      </c>
      <c r="N31" s="242">
        <f>SUMIF('Cjenik VSO'!$B$9:$B$85,$B31,'Cjenik VSO'!$C$9:$C$85)</f>
        <v>32.9</v>
      </c>
      <c r="O31" s="65">
        <f>M31*N31</f>
        <v>0.9164952999999999</v>
      </c>
    </row>
    <row r="32" spans="1:15" ht="25.15" customHeight="1">
      <c r="A32" s="16"/>
      <c r="B32" s="837" t="str">
        <f>'Obrazac kalkulacije'!$B$15</f>
        <v>Materijali:</v>
      </c>
      <c r="C32" s="837"/>
      <c r="D32" s="16"/>
      <c r="E32" s="16"/>
      <c r="F32" s="243"/>
      <c r="G32" s="18">
        <f>SUM(G33:G33)</f>
        <v>0</v>
      </c>
      <c r="I32" s="16"/>
      <c r="J32" s="837" t="str">
        <f>'Obrazac kalkulacije'!$B$15</f>
        <v>Materijali:</v>
      </c>
      <c r="K32" s="837"/>
      <c r="L32" s="16"/>
      <c r="M32" s="16"/>
      <c r="N32" s="243"/>
      <c r="O32" s="18">
        <f>SUM(O33:O33)</f>
        <v>0</v>
      </c>
    </row>
    <row r="33" spans="1:15" ht="25.15" customHeight="1" thickBot="1">
      <c r="A33" s="43"/>
      <c r="B33" s="864">
        <f>'Cjenik M'!$B$28</f>
        <v>0</v>
      </c>
      <c r="C33" s="864"/>
      <c r="D33" s="62">
        <f>'Cjenik M'!$C$28</f>
        <v>0</v>
      </c>
      <c r="E33" s="63">
        <v>1</v>
      </c>
      <c r="F33" s="242">
        <f>'Cjenik M'!$D$28</f>
        <v>0</v>
      </c>
      <c r="G33" s="65">
        <f>E33*F33</f>
        <v>0</v>
      </c>
      <c r="I33" s="43"/>
      <c r="J33" s="864">
        <f>'Cjenik M'!$B$28</f>
        <v>0</v>
      </c>
      <c r="K33" s="864"/>
      <c r="L33" s="62">
        <f>'Cjenik M'!$C$28</f>
        <v>0</v>
      </c>
      <c r="M33" s="63">
        <v>1</v>
      </c>
      <c r="N33" s="242">
        <f>'Cjenik M'!$D$28</f>
        <v>0</v>
      </c>
      <c r="O33" s="65">
        <f>M33*N33</f>
        <v>0</v>
      </c>
    </row>
    <row r="34" spans="1:15" ht="25.15" customHeight="1" thickTop="1" thickBot="1">
      <c r="B34" s="47"/>
      <c r="C34" s="24"/>
      <c r="D34" s="25"/>
      <c r="E34" s="850" t="str">
        <f>'Obrazac kalkulacije'!$E$18</f>
        <v>Ukupno (kn):</v>
      </c>
      <c r="F34" s="850"/>
      <c r="G34" s="26">
        <f>ROUND(SUM(G26+G28+G32),2)</f>
        <v>32.61</v>
      </c>
      <c r="H34" s="269" t="e">
        <f>SUMIF(#REF!,$B22,#REF!)</f>
        <v>#REF!</v>
      </c>
      <c r="J34" s="47"/>
      <c r="K34" s="24"/>
      <c r="L34" s="25"/>
      <c r="M34" s="850" t="str">
        <f>'Obrazac kalkulacije'!$E$18</f>
        <v>Ukupno (kn):</v>
      </c>
      <c r="N34" s="850"/>
      <c r="O34" s="26">
        <f>ROUND(SUM(O26+O28+O32),2)</f>
        <v>35.35</v>
      </c>
    </row>
    <row r="35" spans="1:15" ht="25.15" customHeight="1" thickTop="1" thickBot="1">
      <c r="E35" s="27" t="str">
        <f>'Obrazac kalkulacije'!$E$19</f>
        <v>PDV:</v>
      </c>
      <c r="F35" s="248">
        <f>'Obrazac kalkulacije'!$F$19</f>
        <v>0.25</v>
      </c>
      <c r="G35" s="29">
        <f>G34*F35</f>
        <v>8.1524999999999999</v>
      </c>
      <c r="H35" s="270" t="e">
        <f>H34-G34</f>
        <v>#REF!</v>
      </c>
      <c r="M35" s="27" t="str">
        <f>'Obrazac kalkulacije'!$E$19</f>
        <v>PDV:</v>
      </c>
      <c r="N35" s="248">
        <f>'Obrazac kalkulacije'!$F$19</f>
        <v>0.25</v>
      </c>
      <c r="O35" s="29">
        <f>O34*N35</f>
        <v>8.8375000000000004</v>
      </c>
    </row>
    <row r="36" spans="1:15" ht="25.15" customHeight="1" thickTop="1" thickBot="1">
      <c r="E36" s="840" t="str">
        <f>'Obrazac kalkulacije'!$E$20</f>
        <v>Sveukupno (kn):</v>
      </c>
      <c r="F36" s="840"/>
      <c r="G36" s="29">
        <f>ROUND(SUM(G34:G35),2)</f>
        <v>40.76</v>
      </c>
      <c r="H36" s="271" t="e">
        <f>G29+H35</f>
        <v>#REF!</v>
      </c>
      <c r="M36" s="840" t="str">
        <f>'Obrazac kalkulacije'!$E$20</f>
        <v>Sveukupno (kn):</v>
      </c>
      <c r="N36" s="840"/>
      <c r="O36" s="29">
        <f>ROUND(SUM(O34:O35),2)</f>
        <v>44.19</v>
      </c>
    </row>
    <row r="37" spans="1:15" ht="15" customHeight="1" thickTop="1"/>
    <row r="38" spans="1:15" ht="15" customHeight="1"/>
    <row r="39" spans="1:15" ht="15" customHeight="1"/>
    <row r="40" spans="1:15" ht="15" customHeight="1">
      <c r="C40" s="3" t="str">
        <f>'Obrazac kalkulacije'!$C$24</f>
        <v>IZVODITELJ:</v>
      </c>
      <c r="F40" s="841" t="str">
        <f>'Obrazac kalkulacije'!$F$24</f>
        <v>NARUČITELJ:</v>
      </c>
      <c r="G40" s="841"/>
      <c r="K40" s="3" t="str">
        <f>'Obrazac kalkulacije'!$C$24</f>
        <v>IZVODITELJ:</v>
      </c>
      <c r="N40" s="841" t="str">
        <f>'Obrazac kalkulacije'!$F$24</f>
        <v>NARUČITELJ:</v>
      </c>
      <c r="O40" s="841"/>
    </row>
    <row r="41" spans="1:15" ht="25.15" customHeight="1">
      <c r="C41" s="3" t="str">
        <f>'Obrazac kalkulacije'!$C$25</f>
        <v>__________________</v>
      </c>
      <c r="F41" s="841" t="str">
        <f>'Obrazac kalkulacije'!$F$25</f>
        <v>___________________</v>
      </c>
      <c r="G41" s="841"/>
      <c r="K41" s="3" t="str">
        <f>'Obrazac kalkulacije'!$C$25</f>
        <v>__________________</v>
      </c>
      <c r="N41" s="841" t="str">
        <f>'Obrazac kalkulacije'!$F$25</f>
        <v>___________________</v>
      </c>
      <c r="O41" s="841"/>
    </row>
    <row r="42" spans="1:15" ht="15" customHeight="1">
      <c r="F42" s="841"/>
      <c r="G42" s="841"/>
      <c r="N42" s="841"/>
      <c r="O42" s="841"/>
    </row>
    <row r="43" spans="1:15" ht="15" customHeight="1"/>
    <row r="44" spans="1:15" ht="15" customHeight="1">
      <c r="A44" s="144"/>
      <c r="B44" s="145" t="s">
        <v>23</v>
      </c>
      <c r="C44" s="836" t="s">
        <v>178</v>
      </c>
      <c r="D44" s="836"/>
      <c r="E44" s="836"/>
      <c r="F44" s="836"/>
      <c r="G44" s="836"/>
      <c r="I44" s="144"/>
      <c r="J44" s="145" t="s">
        <v>23</v>
      </c>
      <c r="K44" s="836" t="s">
        <v>178</v>
      </c>
      <c r="L44" s="836"/>
      <c r="M44" s="836"/>
      <c r="N44" s="836"/>
      <c r="O44" s="836"/>
    </row>
    <row r="45" spans="1:15" ht="150" customHeight="1">
      <c r="A45" s="40"/>
      <c r="B45" s="556" t="s">
        <v>184</v>
      </c>
      <c r="C45" s="852" t="s">
        <v>185</v>
      </c>
      <c r="D45" s="852"/>
      <c r="E45" s="852"/>
      <c r="F45" s="852"/>
      <c r="G45" s="852"/>
      <c r="I45" s="40"/>
      <c r="J45" s="41" t="s">
        <v>184</v>
      </c>
      <c r="K45" s="869" t="s">
        <v>185</v>
      </c>
      <c r="L45" s="869"/>
      <c r="M45" s="869"/>
      <c r="N45" s="869"/>
      <c r="O45" s="869"/>
    </row>
    <row r="46" spans="1:15" ht="15" customHeight="1" thickBot="1"/>
    <row r="47" spans="1:15" ht="30" customHeight="1" thickTop="1" thickBot="1">
      <c r="A47" s="10"/>
      <c r="B47" s="835" t="str">
        <f>'Obrazac kalkulacije'!$B$6:$C$6</f>
        <v>Opis</v>
      </c>
      <c r="C47" s="835"/>
      <c r="D47" s="10" t="str">
        <f>'Obrazac kalkulacije'!$D$6</f>
        <v>Jed.
mjere</v>
      </c>
      <c r="E47" s="10" t="str">
        <f>'Obrazac kalkulacije'!$E$6</f>
        <v>Normativ</v>
      </c>
      <c r="F47" s="10" t="str">
        <f>'Obrazac kalkulacije'!$F$6</f>
        <v>Jed.
cijena</v>
      </c>
      <c r="G47" s="10" t="str">
        <f>'Obrazac kalkulacije'!$G$6</f>
        <v>Iznos</v>
      </c>
      <c r="I47" s="10"/>
      <c r="J47" s="835" t="e">
        <f>'Obrazac kalkulacije'!$B$6:$C$6</f>
        <v>#VALUE!</v>
      </c>
      <c r="K47" s="835"/>
      <c r="L47" s="10" t="str">
        <f>'Obrazac kalkulacije'!$D$6</f>
        <v>Jed.
mjere</v>
      </c>
      <c r="M47" s="10" t="str">
        <f>'Obrazac kalkulacije'!$E$6</f>
        <v>Normativ</v>
      </c>
      <c r="N47" s="10" t="str">
        <f>'Obrazac kalkulacije'!$F$6</f>
        <v>Jed.
cijena</v>
      </c>
      <c r="O47" s="10" t="str">
        <f>'Obrazac kalkulacije'!$G$6</f>
        <v>Iznos</v>
      </c>
    </row>
    <row r="48" spans="1:15" ht="4.5" customHeight="1" thickTop="1">
      <c r="B48" s="42"/>
      <c r="C48" s="1"/>
      <c r="D48" s="11"/>
      <c r="E48" s="13"/>
      <c r="F48" s="245"/>
      <c r="G48" s="15"/>
      <c r="J48" s="42"/>
      <c r="K48" s="1"/>
      <c r="L48" s="11"/>
      <c r="M48" s="13"/>
      <c r="N48" s="245"/>
      <c r="O48" s="15"/>
    </row>
    <row r="49" spans="1:15" ht="25.15" customHeight="1">
      <c r="A49" s="16"/>
      <c r="B49" s="837" t="str">
        <f>'Obrazac kalkulacije'!$B$8</f>
        <v>Radna snaga:</v>
      </c>
      <c r="C49" s="837"/>
      <c r="D49" s="16"/>
      <c r="E49" s="16"/>
      <c r="F49" s="246"/>
      <c r="G49" s="18">
        <f>SUM(G50:G50)</f>
        <v>0</v>
      </c>
      <c r="I49" s="16"/>
      <c r="J49" s="837" t="str">
        <f>'Obrazac kalkulacije'!$B$8</f>
        <v>Radna snaga:</v>
      </c>
      <c r="K49" s="837"/>
      <c r="L49" s="16"/>
      <c r="M49" s="16"/>
      <c r="N49" s="246"/>
      <c r="O49" s="18">
        <f>SUM(O50:O50)</f>
        <v>0</v>
      </c>
    </row>
    <row r="50" spans="1:15" ht="25.15" customHeight="1">
      <c r="A50" s="32"/>
      <c r="B50" s="854" t="s">
        <v>103</v>
      </c>
      <c r="C50" s="854"/>
      <c r="D50" s="33" t="s">
        <v>51</v>
      </c>
      <c r="E50" s="34">
        <v>6.6207000000000002E-2</v>
      </c>
      <c r="F50" s="243">
        <f>SUMIF('Cjenik RS'!$C$11:$C$26,$B50,'Cjenik RS'!$D$11:$D$90)</f>
        <v>0</v>
      </c>
      <c r="G50" s="35">
        <f>+F50*E50</f>
        <v>0</v>
      </c>
      <c r="I50" s="32"/>
      <c r="J50" s="854" t="s">
        <v>103</v>
      </c>
      <c r="K50" s="854"/>
      <c r="L50" s="33" t="s">
        <v>51</v>
      </c>
      <c r="M50" s="34">
        <v>6.6207000000000002E-2</v>
      </c>
      <c r="N50" s="243">
        <f>SUMIF('Cjenik RS'!$C$11:$C$26,$B50,'Cjenik RS'!$D$11:$D$90)</f>
        <v>0</v>
      </c>
      <c r="O50" s="35">
        <f>+N50*M50</f>
        <v>0</v>
      </c>
    </row>
    <row r="51" spans="1:15" ht="25.15" customHeight="1">
      <c r="A51" s="16"/>
      <c r="B51" s="837" t="str">
        <f>'Obrazac kalkulacije'!$B$11</f>
        <v>Vozila, strojevi i oprema:</v>
      </c>
      <c r="C51" s="837"/>
      <c r="D51" s="16"/>
      <c r="E51" s="16">
        <f>'Obrazac kalkulacije'!$E$11</f>
        <v>0</v>
      </c>
      <c r="F51" s="243"/>
      <c r="G51" s="18">
        <f>SUM(G52)</f>
        <v>1.0205857936275939</v>
      </c>
      <c r="I51" s="16"/>
      <c r="J51" s="837" t="str">
        <f>'Obrazac kalkulacije'!$B$11</f>
        <v>Vozila, strojevi i oprema:</v>
      </c>
      <c r="K51" s="837"/>
      <c r="L51" s="16"/>
      <c r="M51" s="16">
        <f>'Obrazac kalkulacije'!$E$11</f>
        <v>0</v>
      </c>
      <c r="N51" s="243"/>
      <c r="O51" s="18">
        <f>SUM(O52)</f>
        <v>1.1147772</v>
      </c>
    </row>
    <row r="52" spans="1:15" ht="25.15" customHeight="1" thickBot="1">
      <c r="A52" s="43"/>
      <c r="B52" s="864" t="s">
        <v>69</v>
      </c>
      <c r="C52" s="864"/>
      <c r="D52" s="62" t="s">
        <v>51</v>
      </c>
      <c r="E52" s="63">
        <v>5.6825489622917254E-3</v>
      </c>
      <c r="F52" s="242">
        <f>SUMIF('Cjenik VSO'!$B$9:$B$85,$B52,'Cjenik VSO'!$C$9:$C$85)</f>
        <v>179.6</v>
      </c>
      <c r="G52" s="65">
        <f>E52*F52</f>
        <v>1.0205857936275939</v>
      </c>
      <c r="I52" s="43"/>
      <c r="J52" s="864" t="s">
        <v>69</v>
      </c>
      <c r="K52" s="864"/>
      <c r="L52" s="62" t="s">
        <v>51</v>
      </c>
      <c r="M52" s="63">
        <v>6.2069999999999998E-3</v>
      </c>
      <c r="N52" s="242">
        <f>SUMIF('Cjenik VSO'!$B$9:$B$85,$B52,'Cjenik VSO'!$C$9:$C$85)</f>
        <v>179.6</v>
      </c>
      <c r="O52" s="65">
        <f>M52*N52</f>
        <v>1.1147772</v>
      </c>
    </row>
    <row r="53" spans="1:15" ht="25.15" customHeight="1" thickTop="1" thickBot="1">
      <c r="B53" s="47"/>
      <c r="C53" s="24"/>
      <c r="D53" s="25"/>
      <c r="E53" s="850" t="str">
        <f>'Obrazac kalkulacije'!$E$18</f>
        <v>Ukupno (kn):</v>
      </c>
      <c r="F53" s="850"/>
      <c r="G53" s="26">
        <f>ROUND(SUM(G49+G51),2)</f>
        <v>1.02</v>
      </c>
      <c r="H53" s="269" t="e">
        <f>SUMIF(#REF!,$B45,#REF!)</f>
        <v>#REF!</v>
      </c>
      <c r="J53" s="47"/>
      <c r="K53" s="24"/>
      <c r="L53" s="25"/>
      <c r="M53" s="850" t="str">
        <f>'Obrazac kalkulacije'!$E$18</f>
        <v>Ukupno (kn):</v>
      </c>
      <c r="N53" s="850"/>
      <c r="O53" s="26">
        <f>ROUND(SUM(O49+O51),2)</f>
        <v>1.1100000000000001</v>
      </c>
    </row>
    <row r="54" spans="1:15" ht="25.15" customHeight="1" thickTop="1" thickBot="1">
      <c r="E54" s="27" t="str">
        <f>'Obrazac kalkulacije'!$E$19</f>
        <v>PDV:</v>
      </c>
      <c r="F54" s="248">
        <f>'Obrazac kalkulacije'!$F$19</f>
        <v>0.25</v>
      </c>
      <c r="G54" s="29">
        <f>G53*F54</f>
        <v>0.255</v>
      </c>
      <c r="H54" s="270" t="e">
        <f>H53-G53</f>
        <v>#REF!</v>
      </c>
      <c r="M54" s="27" t="str">
        <f>'Obrazac kalkulacije'!$E$19</f>
        <v>PDV:</v>
      </c>
      <c r="N54" s="248">
        <f>'Obrazac kalkulacije'!$F$19</f>
        <v>0.25</v>
      </c>
      <c r="O54" s="29">
        <f>O53*N54</f>
        <v>0.27750000000000002</v>
      </c>
    </row>
    <row r="55" spans="1:15" ht="25.15" customHeight="1" thickTop="1" thickBot="1">
      <c r="E55" s="840" t="str">
        <f>'Obrazac kalkulacije'!$E$20</f>
        <v>Sveukupno (kn):</v>
      </c>
      <c r="F55" s="840"/>
      <c r="G55" s="29">
        <f>ROUND(SUM(G53:G54),2)</f>
        <v>1.28</v>
      </c>
      <c r="H55" s="271" t="e">
        <f>G52+H54</f>
        <v>#REF!</v>
      </c>
      <c r="M55" s="840" t="str">
        <f>'Obrazac kalkulacije'!$E$20</f>
        <v>Sveukupno (kn):</v>
      </c>
      <c r="N55" s="840"/>
      <c r="O55" s="29">
        <f>ROUND(SUM(O53:O54),2)</f>
        <v>1.39</v>
      </c>
    </row>
    <row r="56" spans="1:15" ht="15" customHeight="1" thickTop="1"/>
    <row r="57" spans="1:15" ht="15" customHeight="1"/>
    <row r="58" spans="1:15" ht="15" customHeight="1"/>
    <row r="59" spans="1:15" ht="15" customHeight="1">
      <c r="C59" s="3" t="str">
        <f>'Obrazac kalkulacije'!$C$24</f>
        <v>IZVODITELJ:</v>
      </c>
      <c r="F59" s="841" t="str">
        <f>'Obrazac kalkulacije'!$F$24</f>
        <v>NARUČITELJ:</v>
      </c>
      <c r="G59" s="841"/>
      <c r="K59" s="3" t="str">
        <f>'Obrazac kalkulacije'!$C$24</f>
        <v>IZVODITELJ:</v>
      </c>
      <c r="N59" s="841" t="str">
        <f>'Obrazac kalkulacije'!$F$24</f>
        <v>NARUČITELJ:</v>
      </c>
      <c r="O59" s="841"/>
    </row>
    <row r="60" spans="1:15" ht="25.15" customHeight="1">
      <c r="C60" s="3" t="str">
        <f>'Obrazac kalkulacije'!$C$25</f>
        <v>__________________</v>
      </c>
      <c r="F60" s="841" t="str">
        <f>'Obrazac kalkulacije'!$F$25</f>
        <v>___________________</v>
      </c>
      <c r="G60" s="841"/>
      <c r="K60" s="3" t="str">
        <f>'Obrazac kalkulacije'!$C$25</f>
        <v>__________________</v>
      </c>
      <c r="N60" s="841" t="str">
        <f>'Obrazac kalkulacije'!$F$25</f>
        <v>___________________</v>
      </c>
      <c r="O60" s="841"/>
    </row>
    <row r="61" spans="1:15" ht="15" customHeight="1">
      <c r="F61" s="841"/>
      <c r="G61" s="841"/>
      <c r="N61" s="841"/>
      <c r="O61" s="841"/>
    </row>
    <row r="62" spans="1:15" ht="15" customHeight="1"/>
    <row r="63" spans="1:15" ht="15" customHeight="1">
      <c r="A63" s="144"/>
      <c r="B63" s="145" t="s">
        <v>23</v>
      </c>
      <c r="C63" s="836" t="s">
        <v>178</v>
      </c>
      <c r="D63" s="836"/>
      <c r="E63" s="836"/>
      <c r="F63" s="836"/>
      <c r="G63" s="836"/>
      <c r="I63" s="144"/>
      <c r="J63" s="145" t="s">
        <v>23</v>
      </c>
      <c r="K63" s="836" t="s">
        <v>178</v>
      </c>
      <c r="L63" s="836"/>
      <c r="M63" s="836"/>
      <c r="N63" s="836"/>
      <c r="O63" s="836"/>
    </row>
    <row r="64" spans="1:15" ht="150" customHeight="1">
      <c r="A64" s="40"/>
      <c r="B64" s="556" t="s">
        <v>186</v>
      </c>
      <c r="C64" s="852" t="s">
        <v>187</v>
      </c>
      <c r="D64" s="852"/>
      <c r="E64" s="852"/>
      <c r="F64" s="852"/>
      <c r="G64" s="852"/>
      <c r="I64" s="40"/>
      <c r="J64" s="41" t="s">
        <v>186</v>
      </c>
      <c r="K64" s="869" t="s">
        <v>187</v>
      </c>
      <c r="L64" s="869"/>
      <c r="M64" s="869"/>
      <c r="N64" s="869"/>
      <c r="O64" s="869"/>
    </row>
    <row r="65" spans="1:15" ht="15" customHeight="1" thickBot="1"/>
    <row r="66" spans="1:15" ht="30" customHeight="1" thickTop="1" thickBot="1">
      <c r="A66" s="10"/>
      <c r="B66" s="835" t="str">
        <f>'Obrazac kalkulacije'!$B$6:$C$6</f>
        <v>Opis</v>
      </c>
      <c r="C66" s="835"/>
      <c r="D66" s="10" t="str">
        <f>'Obrazac kalkulacije'!$D$6</f>
        <v>Jed.
mjere</v>
      </c>
      <c r="E66" s="10" t="str">
        <f>'Obrazac kalkulacije'!$E$6</f>
        <v>Normativ</v>
      </c>
      <c r="F66" s="10" t="str">
        <f>'Obrazac kalkulacije'!$F$6</f>
        <v>Jed.
cijena</v>
      </c>
      <c r="G66" s="10" t="str">
        <f>'Obrazac kalkulacije'!$G$6</f>
        <v>Iznos</v>
      </c>
      <c r="I66" s="10"/>
      <c r="J66" s="835" t="e">
        <f>'Obrazac kalkulacije'!$B$6:$C$6</f>
        <v>#VALUE!</v>
      </c>
      <c r="K66" s="835"/>
      <c r="L66" s="10" t="str">
        <f>'Obrazac kalkulacije'!$D$6</f>
        <v>Jed.
mjere</v>
      </c>
      <c r="M66" s="10" t="str">
        <f>'Obrazac kalkulacije'!$E$6</f>
        <v>Normativ</v>
      </c>
      <c r="N66" s="10" t="str">
        <f>'Obrazac kalkulacije'!$F$6</f>
        <v>Jed.
cijena</v>
      </c>
      <c r="O66" s="10" t="str">
        <f>'Obrazac kalkulacije'!$G$6</f>
        <v>Iznos</v>
      </c>
    </row>
    <row r="67" spans="1:15" ht="4.5" customHeight="1" thickTop="1">
      <c r="B67" s="42"/>
      <c r="C67" s="1"/>
      <c r="D67" s="11"/>
      <c r="E67" s="13"/>
      <c r="F67" s="245"/>
      <c r="G67" s="15"/>
      <c r="J67" s="42"/>
      <c r="K67" s="1"/>
      <c r="L67" s="11"/>
      <c r="M67" s="13"/>
      <c r="N67" s="245"/>
      <c r="O67" s="15"/>
    </row>
    <row r="68" spans="1:15" ht="25.15" customHeight="1">
      <c r="A68" s="16"/>
      <c r="B68" s="837" t="str">
        <f>'Obrazac kalkulacije'!$B$8</f>
        <v>Radna snaga:</v>
      </c>
      <c r="C68" s="837"/>
      <c r="D68" s="16"/>
      <c r="E68" s="16"/>
      <c r="F68" s="246"/>
      <c r="G68" s="18">
        <f>SUM(G69:G69)</f>
        <v>0</v>
      </c>
      <c r="I68" s="16"/>
      <c r="J68" s="837" t="str">
        <f>'Obrazac kalkulacije'!$B$8</f>
        <v>Radna snaga:</v>
      </c>
      <c r="K68" s="837"/>
      <c r="L68" s="16"/>
      <c r="M68" s="16"/>
      <c r="N68" s="246"/>
      <c r="O68" s="18">
        <f>SUM(O69:O69)</f>
        <v>0</v>
      </c>
    </row>
    <row r="69" spans="1:15" ht="25.15" customHeight="1">
      <c r="A69" s="32"/>
      <c r="B69" s="854" t="s">
        <v>103</v>
      </c>
      <c r="C69" s="854"/>
      <c r="D69" s="33" t="s">
        <v>51</v>
      </c>
      <c r="E69" s="34">
        <v>4.1380000000000002E-3</v>
      </c>
      <c r="F69" s="243">
        <f>SUMIF('Cjenik RS'!$C$11:$C$26,$B69,'Cjenik RS'!$D$11:$D$90)</f>
        <v>0</v>
      </c>
      <c r="G69" s="35">
        <f>+F69*E69</f>
        <v>0</v>
      </c>
      <c r="I69" s="32"/>
      <c r="J69" s="854" t="s">
        <v>103</v>
      </c>
      <c r="K69" s="854"/>
      <c r="L69" s="33" t="s">
        <v>51</v>
      </c>
      <c r="M69" s="34">
        <v>4.1380000000000002E-3</v>
      </c>
      <c r="N69" s="243">
        <f>SUMIF('Cjenik RS'!$C$11:$C$26,$B69,'Cjenik RS'!$D$11:$D$90)</f>
        <v>0</v>
      </c>
      <c r="O69" s="35">
        <f>+N69*M69</f>
        <v>0</v>
      </c>
    </row>
    <row r="70" spans="1:15" ht="25.15" customHeight="1">
      <c r="A70" s="16"/>
      <c r="B70" s="837" t="str">
        <f>'Obrazac kalkulacije'!$B$11</f>
        <v>Vozila, strojevi i oprema:</v>
      </c>
      <c r="C70" s="837"/>
      <c r="D70" s="16"/>
      <c r="E70" s="16">
        <f>'Obrazac kalkulacije'!$E$11</f>
        <v>0</v>
      </c>
      <c r="F70" s="243"/>
      <c r="G70" s="18">
        <f>SUM(G71:G72)</f>
        <v>1.51680247</v>
      </c>
      <c r="I70" s="16"/>
      <c r="J70" s="837" t="str">
        <f>'Obrazac kalkulacije'!$B$11</f>
        <v>Vozila, strojevi i oprema:</v>
      </c>
      <c r="K70" s="837"/>
      <c r="L70" s="16"/>
      <c r="M70" s="16">
        <f>'Obrazac kalkulacije'!$E$11</f>
        <v>0</v>
      </c>
      <c r="N70" s="243"/>
      <c r="O70" s="18">
        <f>SUM(O71:O72)</f>
        <v>1.51680247</v>
      </c>
    </row>
    <row r="71" spans="1:15" ht="25.15" customHeight="1">
      <c r="A71" s="51"/>
      <c r="B71" s="839" t="s">
        <v>73</v>
      </c>
      <c r="C71" s="839"/>
      <c r="D71" s="57" t="s">
        <v>51</v>
      </c>
      <c r="E71" s="92">
        <v>4.3210000000000002E-3</v>
      </c>
      <c r="F71" s="241">
        <f>SUMIF('Cjenik VSO'!$B$9:$B$85,$B71,'Cjenik VSO'!$C$9:$C$85)</f>
        <v>291.72000000000003</v>
      </c>
      <c r="G71" s="59">
        <f>E71*F71</f>
        <v>1.2605221200000001</v>
      </c>
      <c r="I71" s="51"/>
      <c r="J71" s="839" t="s">
        <v>73</v>
      </c>
      <c r="K71" s="839"/>
      <c r="L71" s="57" t="s">
        <v>51</v>
      </c>
      <c r="M71" s="92">
        <v>4.3210000000000002E-3</v>
      </c>
      <c r="N71" s="241">
        <f>SUMIF('Cjenik VSO'!$B$9:$B$85,$B71,'Cjenik VSO'!$C$9:$C$85)</f>
        <v>291.72000000000003</v>
      </c>
      <c r="O71" s="59">
        <f>M71*N71</f>
        <v>1.2605221200000001</v>
      </c>
    </row>
    <row r="72" spans="1:15" ht="25.15" customHeight="1" thickBot="1">
      <c r="A72" s="74"/>
      <c r="B72" s="839" t="s">
        <v>188</v>
      </c>
      <c r="C72" s="839"/>
      <c r="D72" s="57" t="s">
        <v>51</v>
      </c>
      <c r="E72" s="92">
        <v>1.315E-3</v>
      </c>
      <c r="F72" s="241">
        <f>SUMIF('Cjenik VSO'!$B$9:$B$85,$B72,'Cjenik VSO'!$C$9:$C$85)</f>
        <v>194.89</v>
      </c>
      <c r="G72" s="59">
        <f>E72*F72</f>
        <v>0.25628034999999999</v>
      </c>
      <c r="I72" s="74"/>
      <c r="J72" s="839" t="s">
        <v>188</v>
      </c>
      <c r="K72" s="839"/>
      <c r="L72" s="57" t="s">
        <v>51</v>
      </c>
      <c r="M72" s="92">
        <v>1.315E-3</v>
      </c>
      <c r="N72" s="241">
        <f>SUMIF('Cjenik VSO'!$B$9:$B$85,$B72,'Cjenik VSO'!$C$9:$C$85)</f>
        <v>194.89</v>
      </c>
      <c r="O72" s="59">
        <f>M72*N72</f>
        <v>0.25628034999999999</v>
      </c>
    </row>
    <row r="73" spans="1:15" ht="25.15" customHeight="1" thickTop="1" thickBot="1">
      <c r="B73" s="47"/>
      <c r="C73" s="24"/>
      <c r="D73" s="25"/>
      <c r="E73" s="850" t="str">
        <f>'Obrazac kalkulacije'!$E$18</f>
        <v>Ukupno (kn):</v>
      </c>
      <c r="F73" s="850"/>
      <c r="G73" s="26">
        <f>ROUND(SUM(G68+G70),2)</f>
        <v>1.52</v>
      </c>
      <c r="H73" s="269" t="e">
        <f>SUMIF(#REF!,$B64,#REF!)</f>
        <v>#REF!</v>
      </c>
      <c r="J73" s="47"/>
      <c r="K73" s="24"/>
      <c r="L73" s="25"/>
      <c r="M73" s="850" t="str">
        <f>'Obrazac kalkulacije'!$E$18</f>
        <v>Ukupno (kn):</v>
      </c>
      <c r="N73" s="850"/>
      <c r="O73" s="26">
        <f>ROUND(SUM(O68+O70),2)</f>
        <v>1.52</v>
      </c>
    </row>
    <row r="74" spans="1:15" ht="25.15" customHeight="1" thickTop="1" thickBot="1">
      <c r="E74" s="27" t="str">
        <f>'Obrazac kalkulacije'!$E$19</f>
        <v>PDV:</v>
      </c>
      <c r="F74" s="248">
        <f>'Obrazac kalkulacije'!$F$19</f>
        <v>0.25</v>
      </c>
      <c r="G74" s="29">
        <f>G73*F74</f>
        <v>0.38</v>
      </c>
      <c r="H74" s="270" t="e">
        <f>H73-G73</f>
        <v>#REF!</v>
      </c>
      <c r="M74" s="27" t="str">
        <f>'Obrazac kalkulacije'!$E$19</f>
        <v>PDV:</v>
      </c>
      <c r="N74" s="248">
        <f>'Obrazac kalkulacije'!$F$19</f>
        <v>0.25</v>
      </c>
      <c r="O74" s="29">
        <f>O73*N74</f>
        <v>0.38</v>
      </c>
    </row>
    <row r="75" spans="1:15" ht="25.15" customHeight="1" thickTop="1" thickBot="1">
      <c r="E75" s="840" t="str">
        <f>'Obrazac kalkulacije'!$E$20</f>
        <v>Sveukupno (kn):</v>
      </c>
      <c r="F75" s="840"/>
      <c r="G75" s="29">
        <f>ROUND(SUM(G73:G74),2)</f>
        <v>1.9</v>
      </c>
      <c r="H75" s="271" t="e">
        <f>G72+H74</f>
        <v>#REF!</v>
      </c>
      <c r="M75" s="840" t="str">
        <f>'Obrazac kalkulacije'!$E$20</f>
        <v>Sveukupno (kn):</v>
      </c>
      <c r="N75" s="840"/>
      <c r="O75" s="29">
        <f>ROUND(SUM(O73:O74),2)</f>
        <v>1.9</v>
      </c>
    </row>
    <row r="76" spans="1:15" ht="15" customHeight="1" thickTop="1"/>
    <row r="77" spans="1:15" ht="15" customHeight="1"/>
    <row r="78" spans="1:15" ht="15" customHeight="1"/>
    <row r="79" spans="1:15" ht="15" customHeight="1">
      <c r="C79" s="3" t="str">
        <f>'Obrazac kalkulacije'!$C$24</f>
        <v>IZVODITELJ:</v>
      </c>
      <c r="F79" s="841" t="str">
        <f>'Obrazac kalkulacije'!$F$24</f>
        <v>NARUČITELJ:</v>
      </c>
      <c r="G79" s="841"/>
      <c r="K79" s="3" t="str">
        <f>'Obrazac kalkulacije'!$C$24</f>
        <v>IZVODITELJ:</v>
      </c>
      <c r="N79" s="841" t="str">
        <f>'Obrazac kalkulacije'!$F$24</f>
        <v>NARUČITELJ:</v>
      </c>
      <c r="O79" s="841"/>
    </row>
    <row r="80" spans="1:15" ht="25.15" customHeight="1">
      <c r="C80" s="3" t="str">
        <f>'Obrazac kalkulacije'!$C$25</f>
        <v>__________________</v>
      </c>
      <c r="F80" s="841" t="str">
        <f>'Obrazac kalkulacije'!$F$25</f>
        <v>___________________</v>
      </c>
      <c r="G80" s="841"/>
      <c r="K80" s="3" t="str">
        <f>'Obrazac kalkulacije'!$C$25</f>
        <v>__________________</v>
      </c>
      <c r="N80" s="841" t="str">
        <f>'Obrazac kalkulacije'!$F$25</f>
        <v>___________________</v>
      </c>
      <c r="O80" s="841"/>
    </row>
    <row r="81" spans="1:15" ht="15" customHeight="1">
      <c r="F81" s="841"/>
      <c r="G81" s="841"/>
      <c r="N81" s="841"/>
      <c r="O81" s="841"/>
    </row>
    <row r="82" spans="1:15" ht="15" customHeight="1"/>
    <row r="83" spans="1:15" ht="15" customHeight="1">
      <c r="A83" s="144"/>
      <c r="B83" s="145" t="s">
        <v>23</v>
      </c>
      <c r="C83" s="836" t="s">
        <v>178</v>
      </c>
      <c r="D83" s="836"/>
      <c r="E83" s="836"/>
      <c r="F83" s="836"/>
      <c r="G83" s="836"/>
      <c r="I83" s="144"/>
      <c r="J83" s="145" t="s">
        <v>23</v>
      </c>
      <c r="K83" s="836" t="s">
        <v>178</v>
      </c>
      <c r="L83" s="836"/>
      <c r="M83" s="836"/>
      <c r="N83" s="836"/>
      <c r="O83" s="836"/>
    </row>
    <row r="84" spans="1:15" ht="150" customHeight="1">
      <c r="A84" s="40"/>
      <c r="B84" s="556" t="s">
        <v>189</v>
      </c>
      <c r="C84" s="852" t="s">
        <v>190</v>
      </c>
      <c r="D84" s="852"/>
      <c r="E84" s="852"/>
      <c r="F84" s="852"/>
      <c r="G84" s="852"/>
      <c r="I84" s="40"/>
      <c r="J84" s="41" t="s">
        <v>189</v>
      </c>
      <c r="K84" s="869" t="s">
        <v>191</v>
      </c>
      <c r="L84" s="869"/>
      <c r="M84" s="869"/>
      <c r="N84" s="869"/>
      <c r="O84" s="869"/>
    </row>
    <row r="85" spans="1:15" ht="15" customHeight="1" thickBot="1"/>
    <row r="86" spans="1:15" ht="30" customHeight="1" thickTop="1" thickBot="1">
      <c r="A86" s="10"/>
      <c r="B86" s="835" t="str">
        <f>'Obrazac kalkulacije'!$B$6:$C$6</f>
        <v>Opis</v>
      </c>
      <c r="C86" s="835"/>
      <c r="D86" s="10" t="str">
        <f>'Obrazac kalkulacije'!$D$6</f>
        <v>Jed.
mjere</v>
      </c>
      <c r="E86" s="10" t="str">
        <f>'Obrazac kalkulacije'!$E$6</f>
        <v>Normativ</v>
      </c>
      <c r="F86" s="10" t="str">
        <f>'Obrazac kalkulacije'!$F$6</f>
        <v>Jed.
cijena</v>
      </c>
      <c r="G86" s="10" t="str">
        <f>'Obrazac kalkulacije'!$G$6</f>
        <v>Iznos</v>
      </c>
      <c r="I86" s="10"/>
      <c r="J86" s="835" t="e">
        <f>'Obrazac kalkulacije'!$B$6:$C$6</f>
        <v>#VALUE!</v>
      </c>
      <c r="K86" s="835"/>
      <c r="L86" s="10" t="str">
        <f>'Obrazac kalkulacije'!$D$6</f>
        <v>Jed.
mjere</v>
      </c>
      <c r="M86" s="10" t="str">
        <f>'Obrazac kalkulacije'!$E$6</f>
        <v>Normativ</v>
      </c>
      <c r="N86" s="10" t="str">
        <f>'Obrazac kalkulacije'!$F$6</f>
        <v>Jed.
cijena</v>
      </c>
      <c r="O86" s="10" t="str">
        <f>'Obrazac kalkulacije'!$G$6</f>
        <v>Iznos</v>
      </c>
    </row>
    <row r="87" spans="1:15" ht="4.5" customHeight="1" thickTop="1">
      <c r="B87" s="42"/>
      <c r="C87" s="1"/>
      <c r="D87" s="11"/>
      <c r="E87" s="13"/>
      <c r="F87" s="245"/>
      <c r="G87" s="15"/>
      <c r="J87" s="42"/>
      <c r="K87" s="1"/>
      <c r="L87" s="11"/>
      <c r="M87" s="13"/>
      <c r="N87" s="245"/>
      <c r="O87" s="15"/>
    </row>
    <row r="88" spans="1:15" ht="25.15" customHeight="1">
      <c r="A88" s="16"/>
      <c r="B88" s="837" t="str">
        <f>'Obrazac kalkulacije'!$B$8</f>
        <v>Radna snaga:</v>
      </c>
      <c r="C88" s="837"/>
      <c r="D88" s="16"/>
      <c r="E88" s="16"/>
      <c r="F88" s="246"/>
      <c r="G88" s="18">
        <f>SUM(G89:G89)</f>
        <v>0</v>
      </c>
      <c r="I88" s="16"/>
      <c r="J88" s="837" t="str">
        <f>'Obrazac kalkulacije'!$B$8</f>
        <v>Radna snaga:</v>
      </c>
      <c r="K88" s="837"/>
      <c r="L88" s="16"/>
      <c r="M88" s="16"/>
      <c r="N88" s="246"/>
      <c r="O88" s="18">
        <f>SUM(O89:O89)</f>
        <v>0</v>
      </c>
    </row>
    <row r="89" spans="1:15" ht="25.15" customHeight="1">
      <c r="A89" s="32"/>
      <c r="B89" s="854" t="s">
        <v>103</v>
      </c>
      <c r="C89" s="854"/>
      <c r="D89" s="33" t="s">
        <v>51</v>
      </c>
      <c r="E89" s="34">
        <v>5.8849999999999996E-3</v>
      </c>
      <c r="F89" s="243">
        <f>SUMIF('Cjenik RS'!$C$11:$C$26,$B89,'Cjenik RS'!$D$11:$D$90)</f>
        <v>0</v>
      </c>
      <c r="G89" s="35">
        <f>+F89*E89</f>
        <v>0</v>
      </c>
      <c r="I89" s="32"/>
      <c r="J89" s="854" t="s">
        <v>103</v>
      </c>
      <c r="K89" s="854"/>
      <c r="L89" s="33" t="s">
        <v>51</v>
      </c>
      <c r="M89" s="34">
        <v>5.8849999999999996E-3</v>
      </c>
      <c r="N89" s="243">
        <f>SUMIF('Cjenik RS'!$C$11:$C$26,$B89,'Cjenik RS'!$D$11:$D$90)</f>
        <v>0</v>
      </c>
      <c r="O89" s="35">
        <f>+N89*M89</f>
        <v>0</v>
      </c>
    </row>
    <row r="90" spans="1:15" ht="25.15" customHeight="1">
      <c r="A90" s="16"/>
      <c r="B90" s="837" t="str">
        <f>'Obrazac kalkulacije'!$B$11</f>
        <v>Vozila, strojevi i oprema:</v>
      </c>
      <c r="C90" s="837"/>
      <c r="D90" s="16"/>
      <c r="E90" s="16">
        <f>'Obrazac kalkulacije'!$E$11</f>
        <v>0</v>
      </c>
      <c r="F90" s="243"/>
      <c r="G90" s="18">
        <f>SUM(G91:G92)</f>
        <v>1.7921452048764999</v>
      </c>
      <c r="I90" s="16"/>
      <c r="J90" s="837" t="str">
        <f>'Obrazac kalkulacije'!$B$11</f>
        <v>Vozila, strojevi i oprema:</v>
      </c>
      <c r="K90" s="837"/>
      <c r="L90" s="16"/>
      <c r="M90" s="16">
        <f>'Obrazac kalkulacije'!$E$11</f>
        <v>0</v>
      </c>
      <c r="N90" s="243"/>
      <c r="O90" s="18">
        <f>SUM(O91:O92)</f>
        <v>2.3698277299999999</v>
      </c>
    </row>
    <row r="91" spans="1:15" ht="25.15" customHeight="1">
      <c r="A91" s="51"/>
      <c r="B91" s="839" t="s">
        <v>74</v>
      </c>
      <c r="C91" s="839"/>
      <c r="D91" s="57" t="s">
        <v>51</v>
      </c>
      <c r="E91" s="92">
        <v>2.9429999999999999E-3</v>
      </c>
      <c r="F91" s="241">
        <f>SUMIF('Cjenik VSO'!$B$9:$B$85,$B91,'Cjenik VSO'!$C$9:$C$85)</f>
        <v>355.64</v>
      </c>
      <c r="G91" s="59">
        <f>E91*F91</f>
        <v>1.04664852</v>
      </c>
      <c r="I91" s="51"/>
      <c r="J91" s="839" t="s">
        <v>74</v>
      </c>
      <c r="K91" s="839"/>
      <c r="L91" s="57" t="s">
        <v>51</v>
      </c>
      <c r="M91" s="92">
        <v>2.9429999999999999E-3</v>
      </c>
      <c r="N91" s="241">
        <f>SUMIF('Cjenik VSO'!$B$9:$B$85,$B91,'Cjenik VSO'!$C$9:$C$85)</f>
        <v>355.64</v>
      </c>
      <c r="O91" s="59">
        <f>M91*N91</f>
        <v>1.04664852</v>
      </c>
    </row>
    <row r="92" spans="1:15" ht="25.15" customHeight="1" thickBot="1">
      <c r="A92" s="74"/>
      <c r="B92" s="839" t="s">
        <v>192</v>
      </c>
      <c r="C92" s="839"/>
      <c r="D92" s="57" t="s">
        <v>51</v>
      </c>
      <c r="E92" s="92">
        <v>8.2878087500583644E-4</v>
      </c>
      <c r="F92" s="241">
        <f>SUMIF('Cjenik VSO'!$B$9:$B$85,$B92,'Cjenik VSO'!$C$9:$C$85)</f>
        <v>899.51</v>
      </c>
      <c r="G92" s="59">
        <f>E92*F92</f>
        <v>0.74549668487649989</v>
      </c>
      <c r="I92" s="74"/>
      <c r="J92" s="839" t="s">
        <v>192</v>
      </c>
      <c r="K92" s="839"/>
      <c r="L92" s="57" t="s">
        <v>51</v>
      </c>
      <c r="M92" s="92">
        <v>1.4710000000000001E-3</v>
      </c>
      <c r="N92" s="241">
        <f>SUMIF('Cjenik VSO'!$B$9:$B$85,$B92,'Cjenik VSO'!$C$9:$C$85)</f>
        <v>899.51</v>
      </c>
      <c r="O92" s="59">
        <f>M92*N92</f>
        <v>1.3231792100000002</v>
      </c>
    </row>
    <row r="93" spans="1:15" ht="25.15" customHeight="1" thickTop="1" thickBot="1">
      <c r="B93" s="47"/>
      <c r="C93" s="24"/>
      <c r="D93" s="25"/>
      <c r="E93" s="850" t="str">
        <f>'Obrazac kalkulacije'!$E$18</f>
        <v>Ukupno (kn):</v>
      </c>
      <c r="F93" s="850"/>
      <c r="G93" s="26">
        <f>ROUND(SUM(G88+G90),2)</f>
        <v>1.79</v>
      </c>
      <c r="H93" s="269" t="e">
        <f>SUMIF(#REF!,$B84,#REF!)</f>
        <v>#REF!</v>
      </c>
      <c r="J93" s="47"/>
      <c r="K93" s="24"/>
      <c r="L93" s="25"/>
      <c r="M93" s="850" t="str">
        <f>'Obrazac kalkulacije'!$E$18</f>
        <v>Ukupno (kn):</v>
      </c>
      <c r="N93" s="850"/>
      <c r="O93" s="26">
        <f>ROUND(SUM(O88+O90),2)</f>
        <v>2.37</v>
      </c>
    </row>
    <row r="94" spans="1:15" ht="25.15" customHeight="1" thickTop="1" thickBot="1">
      <c r="E94" s="27" t="str">
        <f>'Obrazac kalkulacije'!$E$19</f>
        <v>PDV:</v>
      </c>
      <c r="F94" s="248">
        <f>'Obrazac kalkulacije'!$F$19</f>
        <v>0.25</v>
      </c>
      <c r="G94" s="29">
        <f>G93*F94</f>
        <v>0.44750000000000001</v>
      </c>
      <c r="H94" s="270" t="e">
        <f>H93-G93</f>
        <v>#REF!</v>
      </c>
      <c r="M94" s="27" t="str">
        <f>'Obrazac kalkulacije'!$E$19</f>
        <v>PDV:</v>
      </c>
      <c r="N94" s="248">
        <f>'Obrazac kalkulacije'!$F$19</f>
        <v>0.25</v>
      </c>
      <c r="O94" s="29">
        <f>O93*N94</f>
        <v>0.59250000000000003</v>
      </c>
    </row>
    <row r="95" spans="1:15" ht="25.15" customHeight="1" thickTop="1" thickBot="1">
      <c r="E95" s="840" t="str">
        <f>'Obrazac kalkulacije'!$E$20</f>
        <v>Sveukupno (kn):</v>
      </c>
      <c r="F95" s="840"/>
      <c r="G95" s="29">
        <f>ROUND(SUM(G93:G94),2)</f>
        <v>2.2400000000000002</v>
      </c>
      <c r="H95" s="271" t="e">
        <f>G92+H94</f>
        <v>#REF!</v>
      </c>
      <c r="M95" s="840" t="str">
        <f>'Obrazac kalkulacije'!$E$20</f>
        <v>Sveukupno (kn):</v>
      </c>
      <c r="N95" s="840"/>
      <c r="O95" s="29">
        <f>ROUND(SUM(O93:O94),2)</f>
        <v>2.96</v>
      </c>
    </row>
    <row r="96" spans="1:15" ht="15" customHeight="1" thickTop="1"/>
    <row r="97" spans="1:15" ht="15" customHeight="1"/>
    <row r="98" spans="1:15" ht="15" customHeight="1"/>
    <row r="99" spans="1:15" ht="15" customHeight="1">
      <c r="C99" s="3" t="str">
        <f>'Obrazac kalkulacije'!$C$24</f>
        <v>IZVODITELJ:</v>
      </c>
      <c r="F99" s="841" t="str">
        <f>'Obrazac kalkulacije'!$F$24</f>
        <v>NARUČITELJ:</v>
      </c>
      <c r="G99" s="841"/>
      <c r="K99" s="3" t="str">
        <f>'Obrazac kalkulacije'!$C$24</f>
        <v>IZVODITELJ:</v>
      </c>
      <c r="N99" s="841" t="str">
        <f>'Obrazac kalkulacije'!$F$24</f>
        <v>NARUČITELJ:</v>
      </c>
      <c r="O99" s="841"/>
    </row>
    <row r="100" spans="1:15" ht="25.15" customHeight="1">
      <c r="C100" s="3" t="str">
        <f>'Obrazac kalkulacije'!$C$25</f>
        <v>__________________</v>
      </c>
      <c r="F100" s="841" t="str">
        <f>'Obrazac kalkulacije'!$F$25</f>
        <v>___________________</v>
      </c>
      <c r="G100" s="841"/>
      <c r="K100" s="3" t="str">
        <f>'Obrazac kalkulacije'!$C$25</f>
        <v>__________________</v>
      </c>
      <c r="N100" s="841" t="str">
        <f>'Obrazac kalkulacije'!$F$25</f>
        <v>___________________</v>
      </c>
      <c r="O100" s="841"/>
    </row>
    <row r="101" spans="1:15" ht="15" customHeight="1">
      <c r="F101" s="841"/>
      <c r="G101" s="841"/>
      <c r="N101" s="841"/>
      <c r="O101" s="841"/>
    </row>
    <row r="102" spans="1:15" ht="15" customHeight="1"/>
    <row r="103" spans="1:15" ht="15" customHeight="1">
      <c r="A103" s="144"/>
      <c r="B103" s="145" t="s">
        <v>23</v>
      </c>
      <c r="C103" s="836" t="s">
        <v>178</v>
      </c>
      <c r="D103" s="836"/>
      <c r="E103" s="836"/>
      <c r="F103" s="836"/>
      <c r="G103" s="836"/>
      <c r="I103" s="144"/>
      <c r="J103" s="145" t="s">
        <v>23</v>
      </c>
      <c r="K103" s="836" t="s">
        <v>178</v>
      </c>
      <c r="L103" s="836"/>
      <c r="M103" s="836"/>
      <c r="N103" s="836"/>
      <c r="O103" s="836"/>
    </row>
    <row r="104" spans="1:15" ht="150" customHeight="1">
      <c r="A104" s="40"/>
      <c r="B104" s="556" t="s">
        <v>193</v>
      </c>
      <c r="C104" s="852" t="s">
        <v>194</v>
      </c>
      <c r="D104" s="852"/>
      <c r="E104" s="852"/>
      <c r="F104" s="852"/>
      <c r="G104" s="852"/>
      <c r="I104" s="40"/>
      <c r="J104" s="41" t="s">
        <v>193</v>
      </c>
      <c r="K104" s="869" t="s">
        <v>194</v>
      </c>
      <c r="L104" s="869"/>
      <c r="M104" s="869"/>
      <c r="N104" s="869"/>
      <c r="O104" s="869"/>
    </row>
    <row r="105" spans="1:15" ht="15" customHeight="1" thickBot="1"/>
    <row r="106" spans="1:15" ht="30" customHeight="1" thickTop="1" thickBot="1">
      <c r="A106" s="10"/>
      <c r="B106" s="835" t="str">
        <f>'Obrazac kalkulacije'!$B$6:$C$6</f>
        <v>Opis</v>
      </c>
      <c r="C106" s="835"/>
      <c r="D106" s="10" t="str">
        <f>'Obrazac kalkulacije'!$D$6</f>
        <v>Jed.
mjere</v>
      </c>
      <c r="E106" s="10" t="str">
        <f>'Obrazac kalkulacije'!$E$6</f>
        <v>Normativ</v>
      </c>
      <c r="F106" s="10" t="str">
        <f>'Obrazac kalkulacije'!$F$6</f>
        <v>Jed.
cijena</v>
      </c>
      <c r="G106" s="10" t="str">
        <f>'Obrazac kalkulacije'!$G$6</f>
        <v>Iznos</v>
      </c>
      <c r="I106" s="10"/>
      <c r="J106" s="835" t="e">
        <f>'Obrazac kalkulacije'!$B$6:$C$6</f>
        <v>#VALUE!</v>
      </c>
      <c r="K106" s="835"/>
      <c r="L106" s="10" t="str">
        <f>'Obrazac kalkulacije'!$D$6</f>
        <v>Jed.
mjere</v>
      </c>
      <c r="M106" s="10" t="str">
        <f>'Obrazac kalkulacije'!$E$6</f>
        <v>Normativ</v>
      </c>
      <c r="N106" s="10" t="str">
        <f>'Obrazac kalkulacije'!$F$6</f>
        <v>Jed.
cijena</v>
      </c>
      <c r="O106" s="10" t="str">
        <f>'Obrazac kalkulacije'!$G$6</f>
        <v>Iznos</v>
      </c>
    </row>
    <row r="107" spans="1:15" ht="4.5" customHeight="1" thickTop="1">
      <c r="B107" s="42"/>
      <c r="C107" s="1"/>
      <c r="D107" s="11"/>
      <c r="E107" s="13"/>
      <c r="F107" s="245"/>
      <c r="G107" s="15"/>
      <c r="J107" s="42"/>
      <c r="K107" s="1"/>
      <c r="L107" s="11"/>
      <c r="M107" s="13"/>
      <c r="N107" s="245"/>
      <c r="O107" s="15"/>
    </row>
    <row r="108" spans="1:15" ht="25.15" customHeight="1">
      <c r="A108" s="16"/>
      <c r="B108" s="837" t="str">
        <f>'Obrazac kalkulacije'!$B$8</f>
        <v>Radna snaga:</v>
      </c>
      <c r="C108" s="837"/>
      <c r="D108" s="16"/>
      <c r="E108" s="16"/>
      <c r="F108" s="246"/>
      <c r="G108" s="18">
        <f>SUM(G109:G109)</f>
        <v>0</v>
      </c>
      <c r="I108" s="16"/>
      <c r="J108" s="837" t="str">
        <f>'Obrazac kalkulacije'!$B$8</f>
        <v>Radna snaga:</v>
      </c>
      <c r="K108" s="837"/>
      <c r="L108" s="16"/>
      <c r="M108" s="16"/>
      <c r="N108" s="246"/>
      <c r="O108" s="18">
        <f>SUM(O109:O109)</f>
        <v>0</v>
      </c>
    </row>
    <row r="109" spans="1:15" ht="25.15" customHeight="1">
      <c r="A109" s="32"/>
      <c r="B109" s="854" t="s">
        <v>103</v>
      </c>
      <c r="C109" s="854"/>
      <c r="D109" s="33" t="s">
        <v>51</v>
      </c>
      <c r="E109" s="34">
        <v>1.9289999999999999E-3</v>
      </c>
      <c r="F109" s="243">
        <f>SUMIF('Cjenik RS'!$C$11:$C$26,$B109,'Cjenik RS'!$D$11:$D$90)</f>
        <v>0</v>
      </c>
      <c r="G109" s="35">
        <f>+F109*E109</f>
        <v>0</v>
      </c>
      <c r="I109" s="32"/>
      <c r="J109" s="854" t="s">
        <v>103</v>
      </c>
      <c r="K109" s="854"/>
      <c r="L109" s="33" t="s">
        <v>51</v>
      </c>
      <c r="M109" s="34">
        <v>1.9289999999999999E-3</v>
      </c>
      <c r="N109" s="243">
        <f>SUMIF('Cjenik RS'!$C$11:$C$26,$B109,'Cjenik RS'!$D$11:$D$90)</f>
        <v>0</v>
      </c>
      <c r="O109" s="35">
        <f>+N109*M109</f>
        <v>0</v>
      </c>
    </row>
    <row r="110" spans="1:15" ht="25.15" customHeight="1">
      <c r="A110" s="16"/>
      <c r="B110" s="837" t="str">
        <f>'Obrazac kalkulacije'!$B$11</f>
        <v>Vozila, strojevi i oprema:</v>
      </c>
      <c r="C110" s="837"/>
      <c r="D110" s="16"/>
      <c r="E110" s="16">
        <f>'Obrazac kalkulacije'!$E$11</f>
        <v>0</v>
      </c>
      <c r="F110" s="243"/>
      <c r="G110" s="18">
        <f>SUM(G111:G111)</f>
        <v>0.22364825028751142</v>
      </c>
      <c r="I110" s="16"/>
      <c r="J110" s="837" t="str">
        <f>'Obrazac kalkulacije'!$B$11</f>
        <v>Vozila, strojevi i oprema:</v>
      </c>
      <c r="K110" s="837"/>
      <c r="L110" s="16"/>
      <c r="M110" s="16">
        <f>'Obrazac kalkulacije'!$E$11</f>
        <v>0</v>
      </c>
      <c r="N110" s="243"/>
      <c r="O110" s="18">
        <f>SUM(O111:O111)</f>
        <v>0.25544826999999998</v>
      </c>
    </row>
    <row r="111" spans="1:15" ht="25.15" customHeight="1" thickBot="1">
      <c r="A111" s="43"/>
      <c r="B111" s="849" t="s">
        <v>172</v>
      </c>
      <c r="C111" s="849"/>
      <c r="D111" s="52" t="s">
        <v>51</v>
      </c>
      <c r="E111" s="86">
        <v>4.9991785387377659E-4</v>
      </c>
      <c r="F111" s="240">
        <f>SUMIF('Cjenik VSO'!$B$9:$B$85,$B111,'Cjenik VSO'!$C$9:$C$85)</f>
        <v>447.37</v>
      </c>
      <c r="G111" s="54">
        <f>E111*F111</f>
        <v>0.22364825028751142</v>
      </c>
      <c r="I111" s="43"/>
      <c r="J111" s="849" t="s">
        <v>172</v>
      </c>
      <c r="K111" s="849"/>
      <c r="L111" s="52" t="s">
        <v>51</v>
      </c>
      <c r="M111" s="86">
        <v>5.71E-4</v>
      </c>
      <c r="N111" s="240">
        <f>SUMIF('Cjenik VSO'!$B$9:$B$85,$B111,'Cjenik VSO'!$C$9:$C$85)</f>
        <v>447.37</v>
      </c>
      <c r="O111" s="54">
        <f>M111*N111</f>
        <v>0.25544826999999998</v>
      </c>
    </row>
    <row r="112" spans="1:15" ht="25.15" customHeight="1" thickTop="1" thickBot="1">
      <c r="B112" s="47"/>
      <c r="C112" s="24"/>
      <c r="D112" s="25"/>
      <c r="E112" s="850" t="str">
        <f>'Obrazac kalkulacije'!$E$18</f>
        <v>Ukupno (kn):</v>
      </c>
      <c r="F112" s="850"/>
      <c r="G112" s="26">
        <f>ROUND(SUM(G108+G110),2)</f>
        <v>0.22</v>
      </c>
      <c r="H112" s="269" t="e">
        <f>SUMIF(#REF!,$B104,#REF!)</f>
        <v>#REF!</v>
      </c>
      <c r="J112" s="47"/>
      <c r="K112" s="24"/>
      <c r="L112" s="25"/>
      <c r="M112" s="850" t="str">
        <f>'Obrazac kalkulacije'!$E$18</f>
        <v>Ukupno (kn):</v>
      </c>
      <c r="N112" s="850"/>
      <c r="O112" s="26">
        <f>ROUND(SUM(O108+O110),2)</f>
        <v>0.26</v>
      </c>
    </row>
    <row r="113" spans="1:15" ht="25.15" customHeight="1" thickTop="1" thickBot="1">
      <c r="E113" s="27" t="str">
        <f>'Obrazac kalkulacije'!$E$19</f>
        <v>PDV:</v>
      </c>
      <c r="F113" s="248">
        <f>'Obrazac kalkulacije'!$F$19</f>
        <v>0.25</v>
      </c>
      <c r="G113" s="29">
        <f>G112*F113</f>
        <v>5.5E-2</v>
      </c>
      <c r="H113" s="270" t="e">
        <f>H112-G112</f>
        <v>#REF!</v>
      </c>
      <c r="M113" s="27" t="str">
        <f>'Obrazac kalkulacije'!$E$19</f>
        <v>PDV:</v>
      </c>
      <c r="N113" s="248">
        <f>'Obrazac kalkulacije'!$F$19</f>
        <v>0.25</v>
      </c>
      <c r="O113" s="29">
        <f>O112*N113</f>
        <v>6.5000000000000002E-2</v>
      </c>
    </row>
    <row r="114" spans="1:15" ht="25.15" customHeight="1" thickTop="1" thickBot="1">
      <c r="E114" s="840" t="str">
        <f>'Obrazac kalkulacije'!$E$20</f>
        <v>Sveukupno (kn):</v>
      </c>
      <c r="F114" s="840"/>
      <c r="G114" s="29">
        <f>ROUND(SUM(G112:G113),2)</f>
        <v>0.28000000000000003</v>
      </c>
      <c r="H114" s="271" t="e">
        <f>G111+H113</f>
        <v>#REF!</v>
      </c>
      <c r="M114" s="840" t="str">
        <f>'Obrazac kalkulacije'!$E$20</f>
        <v>Sveukupno (kn):</v>
      </c>
      <c r="N114" s="840"/>
      <c r="O114" s="29">
        <f>ROUND(SUM(O112:O113),2)</f>
        <v>0.33</v>
      </c>
    </row>
    <row r="115" spans="1:15" ht="15" customHeight="1" thickTop="1"/>
    <row r="116" spans="1:15" ht="15" customHeight="1"/>
    <row r="117" spans="1:15" ht="15" customHeight="1"/>
    <row r="118" spans="1:15" ht="15" customHeight="1">
      <c r="C118" s="3" t="str">
        <f>'Obrazac kalkulacije'!$C$24</f>
        <v>IZVODITELJ:</v>
      </c>
      <c r="F118" s="841" t="str">
        <f>'Obrazac kalkulacije'!$F$24</f>
        <v>NARUČITELJ:</v>
      </c>
      <c r="G118" s="841"/>
      <c r="K118" s="3" t="str">
        <f>'Obrazac kalkulacije'!$C$24</f>
        <v>IZVODITELJ:</v>
      </c>
      <c r="N118" s="841" t="str">
        <f>'Obrazac kalkulacije'!$F$24</f>
        <v>NARUČITELJ:</v>
      </c>
      <c r="O118" s="841"/>
    </row>
    <row r="119" spans="1:15" ht="25.15" customHeight="1">
      <c r="C119" s="3" t="str">
        <f>'Obrazac kalkulacije'!$C$25</f>
        <v>__________________</v>
      </c>
      <c r="F119" s="841" t="str">
        <f>'Obrazac kalkulacije'!$F$25</f>
        <v>___________________</v>
      </c>
      <c r="G119" s="841"/>
      <c r="K119" s="3" t="str">
        <f>'Obrazac kalkulacije'!$C$25</f>
        <v>__________________</v>
      </c>
      <c r="N119" s="841" t="str">
        <f>'Obrazac kalkulacije'!$F$25</f>
        <v>___________________</v>
      </c>
      <c r="O119" s="841"/>
    </row>
    <row r="120" spans="1:15" ht="15" customHeight="1">
      <c r="F120" s="841"/>
      <c r="G120" s="841"/>
      <c r="N120" s="841"/>
      <c r="O120" s="841"/>
    </row>
    <row r="121" spans="1:15" ht="15" customHeight="1"/>
    <row r="122" spans="1:15" ht="15" customHeight="1">
      <c r="A122" s="144"/>
      <c r="B122" s="145" t="s">
        <v>23</v>
      </c>
      <c r="C122" s="836" t="s">
        <v>178</v>
      </c>
      <c r="D122" s="836"/>
      <c r="E122" s="836"/>
      <c r="F122" s="836"/>
      <c r="G122" s="836"/>
      <c r="I122" s="144"/>
      <c r="J122" s="145" t="s">
        <v>23</v>
      </c>
      <c r="K122" s="836" t="s">
        <v>178</v>
      </c>
      <c r="L122" s="836"/>
      <c r="M122" s="836"/>
      <c r="N122" s="836"/>
      <c r="O122" s="836"/>
    </row>
    <row r="123" spans="1:15" ht="150" customHeight="1">
      <c r="A123" s="40"/>
      <c r="B123" s="556" t="s">
        <v>195</v>
      </c>
      <c r="C123" s="852" t="s">
        <v>196</v>
      </c>
      <c r="D123" s="852"/>
      <c r="E123" s="852"/>
      <c r="F123" s="852"/>
      <c r="G123" s="852"/>
      <c r="I123" s="40"/>
      <c r="J123" s="41" t="s">
        <v>195</v>
      </c>
      <c r="K123" s="869" t="s">
        <v>196</v>
      </c>
      <c r="L123" s="869"/>
      <c r="M123" s="869"/>
      <c r="N123" s="869"/>
      <c r="O123" s="869"/>
    </row>
    <row r="124" spans="1:15" ht="15" customHeight="1" thickBot="1"/>
    <row r="125" spans="1:15" ht="30" customHeight="1" thickTop="1" thickBot="1">
      <c r="A125" s="10"/>
      <c r="B125" s="835" t="str">
        <f>'Obrazac kalkulacije'!$B$6:$C$6</f>
        <v>Opis</v>
      </c>
      <c r="C125" s="835"/>
      <c r="D125" s="10" t="str">
        <f>'Obrazac kalkulacije'!$D$6</f>
        <v>Jed.
mjere</v>
      </c>
      <c r="E125" s="10" t="str">
        <f>'Obrazac kalkulacije'!$E$6</f>
        <v>Normativ</v>
      </c>
      <c r="F125" s="10" t="str">
        <f>'Obrazac kalkulacije'!$F$6</f>
        <v>Jed.
cijena</v>
      </c>
      <c r="G125" s="10" t="str">
        <f>'Obrazac kalkulacije'!$G$6</f>
        <v>Iznos</v>
      </c>
      <c r="I125" s="10"/>
      <c r="J125" s="835" t="e">
        <f>'Obrazac kalkulacije'!$B$6:$C$6</f>
        <v>#VALUE!</v>
      </c>
      <c r="K125" s="835"/>
      <c r="L125" s="10" t="str">
        <f>'Obrazac kalkulacije'!$D$6</f>
        <v>Jed.
mjere</v>
      </c>
      <c r="M125" s="10" t="str">
        <f>'Obrazac kalkulacije'!$E$6</f>
        <v>Normativ</v>
      </c>
      <c r="N125" s="10" t="str">
        <f>'Obrazac kalkulacije'!$F$6</f>
        <v>Jed.
cijena</v>
      </c>
      <c r="O125" s="10" t="str">
        <f>'Obrazac kalkulacije'!$G$6</f>
        <v>Iznos</v>
      </c>
    </row>
    <row r="126" spans="1:15" ht="4.5" customHeight="1" thickTop="1">
      <c r="B126" s="42"/>
      <c r="C126" s="1"/>
      <c r="D126" s="11"/>
      <c r="E126" s="13"/>
      <c r="F126" s="245"/>
      <c r="G126" s="15"/>
      <c r="J126" s="42"/>
      <c r="K126" s="1"/>
      <c r="L126" s="11"/>
      <c r="M126" s="13"/>
      <c r="N126" s="245"/>
      <c r="O126" s="15"/>
    </row>
    <row r="127" spans="1:15" ht="25.15" customHeight="1">
      <c r="A127" s="16"/>
      <c r="B127" s="837" t="str">
        <f>'Obrazac kalkulacije'!$B$8</f>
        <v>Radna snaga:</v>
      </c>
      <c r="C127" s="837"/>
      <c r="D127" s="16"/>
      <c r="E127" s="16"/>
      <c r="F127" s="246"/>
      <c r="G127" s="18">
        <f>SUM(G128:G128)</f>
        <v>0</v>
      </c>
      <c r="I127" s="16"/>
      <c r="J127" s="837" t="str">
        <f>'Obrazac kalkulacije'!$B$8</f>
        <v>Radna snaga:</v>
      </c>
      <c r="K127" s="837"/>
      <c r="L127" s="16"/>
      <c r="M127" s="16"/>
      <c r="N127" s="246"/>
      <c r="O127" s="18">
        <f>SUM(O128:O128)</f>
        <v>0</v>
      </c>
    </row>
    <row r="128" spans="1:15" ht="25.15" customHeight="1">
      <c r="A128" s="32"/>
      <c r="B128" s="854" t="s">
        <v>103</v>
      </c>
      <c r="C128" s="854"/>
      <c r="D128" s="33" t="s">
        <v>51</v>
      </c>
      <c r="E128" s="34">
        <v>0.223077</v>
      </c>
      <c r="F128" s="243">
        <f>SUMIF('Cjenik RS'!$C$11:$C$26,$B128,'Cjenik RS'!$D$11:$D$90)</f>
        <v>0</v>
      </c>
      <c r="G128" s="35">
        <f>+F128*E128</f>
        <v>0</v>
      </c>
      <c r="I128" s="32"/>
      <c r="J128" s="854" t="s">
        <v>103</v>
      </c>
      <c r="K128" s="854"/>
      <c r="L128" s="33" t="s">
        <v>51</v>
      </c>
      <c r="M128" s="34">
        <v>0.223077</v>
      </c>
      <c r="N128" s="243">
        <f>SUMIF('Cjenik RS'!$C$11:$C$26,$B128,'Cjenik RS'!$D$11:$D$90)</f>
        <v>0</v>
      </c>
      <c r="O128" s="35">
        <f>+N128*M128</f>
        <v>0</v>
      </c>
    </row>
    <row r="129" spans="1:15" ht="25.15" customHeight="1">
      <c r="A129" s="16"/>
      <c r="B129" s="837" t="str">
        <f>'Obrazac kalkulacije'!$B$11</f>
        <v>Vozila, strojevi i oprema:</v>
      </c>
      <c r="C129" s="837"/>
      <c r="D129" s="16"/>
      <c r="E129" s="16">
        <f>'Obrazac kalkulacije'!$E$11</f>
        <v>0</v>
      </c>
      <c r="F129" s="243"/>
      <c r="G129" s="18">
        <f>SUM(G130:G131)</f>
        <v>74.804651621209473</v>
      </c>
      <c r="I129" s="16"/>
      <c r="J129" s="837" t="str">
        <f>'Obrazac kalkulacije'!$B$11</f>
        <v>Vozila, strojevi i oprema:</v>
      </c>
      <c r="K129" s="837"/>
      <c r="L129" s="16"/>
      <c r="M129" s="16">
        <f>'Obrazac kalkulacije'!$E$11</f>
        <v>0</v>
      </c>
      <c r="N129" s="243"/>
      <c r="O129" s="18">
        <f>SUM(O130:O131)</f>
        <v>76.038136850000001</v>
      </c>
    </row>
    <row r="130" spans="1:15" ht="25.15" customHeight="1">
      <c r="A130" s="51"/>
      <c r="B130" s="849" t="s">
        <v>73</v>
      </c>
      <c r="C130" s="849"/>
      <c r="D130" s="52" t="s">
        <v>51</v>
      </c>
      <c r="E130" s="86">
        <v>0.142788</v>
      </c>
      <c r="F130" s="240">
        <f>SUMIF('Cjenik VSO'!$B$9:$B$85,$B130,'Cjenik VSO'!$C$9:$C$85)</f>
        <v>291.72000000000003</v>
      </c>
      <c r="G130" s="54">
        <f>E130*F130</f>
        <v>41.654115360000006</v>
      </c>
      <c r="I130" s="51"/>
      <c r="J130" s="849" t="s">
        <v>73</v>
      </c>
      <c r="K130" s="849"/>
      <c r="L130" s="52" t="s">
        <v>51</v>
      </c>
      <c r="M130" s="86">
        <v>0.142788</v>
      </c>
      <c r="N130" s="240">
        <f>SUMIF('Cjenik VSO'!$B$9:$B$85,$B130,'Cjenik VSO'!$C$9:$C$85)</f>
        <v>291.72000000000003</v>
      </c>
      <c r="O130" s="54">
        <f>M130*N130</f>
        <v>41.654115360000006</v>
      </c>
    </row>
    <row r="131" spans="1:15" ht="25.15" customHeight="1" thickBot="1">
      <c r="A131" s="66"/>
      <c r="B131" s="855" t="s">
        <v>97</v>
      </c>
      <c r="C131" s="855"/>
      <c r="D131" s="62" t="s">
        <v>51</v>
      </c>
      <c r="E131" s="87">
        <v>0.11866176132444237</v>
      </c>
      <c r="F131" s="242">
        <f>SUMIF('Cjenik VSO'!$B$9:$B$85,$B131,'Cjenik VSO'!$C$9:$C$85)</f>
        <v>279.37</v>
      </c>
      <c r="G131" s="64">
        <f>E131*F131</f>
        <v>33.150536261209467</v>
      </c>
      <c r="I131" s="66"/>
      <c r="J131" s="855" t="s">
        <v>97</v>
      </c>
      <c r="K131" s="855"/>
      <c r="L131" s="62" t="s">
        <v>51</v>
      </c>
      <c r="M131" s="87">
        <v>0.12307700000000001</v>
      </c>
      <c r="N131" s="242">
        <f>SUMIF('Cjenik VSO'!$B$9:$B$85,$B131,'Cjenik VSO'!$C$9:$C$85)</f>
        <v>279.37</v>
      </c>
      <c r="O131" s="64">
        <f>M131*N131</f>
        <v>34.384021490000002</v>
      </c>
    </row>
    <row r="132" spans="1:15" ht="25.15" customHeight="1" thickTop="1" thickBot="1">
      <c r="B132" s="47"/>
      <c r="C132" s="24"/>
      <c r="D132" s="25"/>
      <c r="E132" s="850" t="str">
        <f>'Obrazac kalkulacije'!$E$18</f>
        <v>Ukupno (kn):</v>
      </c>
      <c r="F132" s="850"/>
      <c r="G132" s="26">
        <f>ROUND(SUM(G127+G129),2)</f>
        <v>74.8</v>
      </c>
      <c r="H132" s="269" t="e">
        <f>SUMIF(#REF!,$B123,#REF!)</f>
        <v>#REF!</v>
      </c>
      <c r="J132" s="47"/>
      <c r="K132" s="24"/>
      <c r="L132" s="25"/>
      <c r="M132" s="850" t="str">
        <f>'Obrazac kalkulacije'!$E$18</f>
        <v>Ukupno (kn):</v>
      </c>
      <c r="N132" s="850"/>
      <c r="O132" s="26">
        <f>ROUND(SUM(O127+O129),2)</f>
        <v>76.040000000000006</v>
      </c>
    </row>
    <row r="133" spans="1:15" ht="25.15" customHeight="1" thickTop="1" thickBot="1">
      <c r="E133" s="27" t="str">
        <f>'Obrazac kalkulacije'!$E$19</f>
        <v>PDV:</v>
      </c>
      <c r="F133" s="248">
        <f>'Obrazac kalkulacije'!$F$19</f>
        <v>0.25</v>
      </c>
      <c r="G133" s="29">
        <f>G132*F133</f>
        <v>18.7</v>
      </c>
      <c r="H133" s="270" t="e">
        <f>H132-G132</f>
        <v>#REF!</v>
      </c>
      <c r="M133" s="27" t="str">
        <f>'Obrazac kalkulacije'!$E$19</f>
        <v>PDV:</v>
      </c>
      <c r="N133" s="248">
        <f>'Obrazac kalkulacije'!$F$19</f>
        <v>0.25</v>
      </c>
      <c r="O133" s="29">
        <f>O132*N133</f>
        <v>19.010000000000002</v>
      </c>
    </row>
    <row r="134" spans="1:15" ht="25.15" customHeight="1" thickTop="1" thickBot="1">
      <c r="E134" s="840" t="str">
        <f>'Obrazac kalkulacije'!$E$20</f>
        <v>Sveukupno (kn):</v>
      </c>
      <c r="F134" s="840"/>
      <c r="G134" s="29">
        <f>ROUND(SUM(G132:G133),2)</f>
        <v>93.5</v>
      </c>
      <c r="H134" s="271" t="e">
        <f>G131+H133</f>
        <v>#REF!</v>
      </c>
      <c r="M134" s="840" t="str">
        <f>'Obrazac kalkulacije'!$E$20</f>
        <v>Sveukupno (kn):</v>
      </c>
      <c r="N134" s="840"/>
      <c r="O134" s="29">
        <f>ROUND(SUM(O132:O133),2)</f>
        <v>95.05</v>
      </c>
    </row>
    <row r="135" spans="1:15" ht="15" customHeight="1" thickTop="1"/>
    <row r="136" spans="1:15" ht="15" customHeight="1"/>
    <row r="137" spans="1:15" ht="15" customHeight="1"/>
    <row r="138" spans="1:15" ht="15" customHeight="1">
      <c r="C138" s="3" t="str">
        <f>'Obrazac kalkulacije'!$C$24</f>
        <v>IZVODITELJ:</v>
      </c>
      <c r="F138" s="841" t="str">
        <f>'Obrazac kalkulacije'!$F$24</f>
        <v>NARUČITELJ:</v>
      </c>
      <c r="G138" s="841"/>
      <c r="K138" s="3" t="str">
        <f>'Obrazac kalkulacije'!$C$24</f>
        <v>IZVODITELJ:</v>
      </c>
      <c r="N138" s="841" t="str">
        <f>'Obrazac kalkulacije'!$F$24</f>
        <v>NARUČITELJ:</v>
      </c>
      <c r="O138" s="841"/>
    </row>
    <row r="139" spans="1:15" ht="25.15" customHeight="1">
      <c r="C139" s="3" t="str">
        <f>'Obrazac kalkulacije'!$C$25</f>
        <v>__________________</v>
      </c>
      <c r="F139" s="841" t="str">
        <f>'Obrazac kalkulacije'!$F$25</f>
        <v>___________________</v>
      </c>
      <c r="G139" s="841"/>
      <c r="K139" s="3" t="str">
        <f>'Obrazac kalkulacije'!$C$25</f>
        <v>__________________</v>
      </c>
      <c r="N139" s="841" t="str">
        <f>'Obrazac kalkulacije'!$F$25</f>
        <v>___________________</v>
      </c>
      <c r="O139" s="841"/>
    </row>
    <row r="140" spans="1:15" ht="15" customHeight="1">
      <c r="F140" s="841"/>
      <c r="G140" s="841"/>
      <c r="N140" s="841"/>
      <c r="O140" s="841"/>
    </row>
    <row r="141" spans="1:15" ht="15" customHeight="1"/>
    <row r="142" spans="1:15" ht="15" customHeight="1">
      <c r="A142" s="144"/>
      <c r="B142" s="145" t="s">
        <v>23</v>
      </c>
      <c r="C142" s="836" t="s">
        <v>178</v>
      </c>
      <c r="D142" s="836"/>
      <c r="E142" s="836"/>
      <c r="F142" s="836"/>
      <c r="G142" s="836"/>
      <c r="I142" s="144"/>
      <c r="J142" s="145" t="s">
        <v>23</v>
      </c>
      <c r="K142" s="836" t="s">
        <v>178</v>
      </c>
      <c r="L142" s="836"/>
      <c r="M142" s="836"/>
      <c r="N142" s="836"/>
      <c r="O142" s="836"/>
    </row>
    <row r="143" spans="1:15" ht="150" customHeight="1">
      <c r="A143" s="40"/>
      <c r="B143" s="556" t="s">
        <v>197</v>
      </c>
      <c r="C143" s="852" t="s">
        <v>198</v>
      </c>
      <c r="D143" s="852"/>
      <c r="E143" s="852"/>
      <c r="F143" s="852"/>
      <c r="G143" s="852"/>
      <c r="I143" s="40"/>
      <c r="J143" s="41" t="s">
        <v>197</v>
      </c>
      <c r="K143" s="869" t="s">
        <v>199</v>
      </c>
      <c r="L143" s="869"/>
      <c r="M143" s="869"/>
      <c r="N143" s="869"/>
      <c r="O143" s="869"/>
    </row>
    <row r="144" spans="1:15" ht="15" customHeight="1" thickBot="1"/>
    <row r="145" spans="1:15" ht="30" customHeight="1" thickTop="1" thickBot="1">
      <c r="A145" s="10"/>
      <c r="B145" s="835" t="str">
        <f>'Obrazac kalkulacije'!$B$6:$C$6</f>
        <v>Opis</v>
      </c>
      <c r="C145" s="835"/>
      <c r="D145" s="10" t="str">
        <f>'Obrazac kalkulacije'!$D$6</f>
        <v>Jed.
mjere</v>
      </c>
      <c r="E145" s="10" t="str">
        <f>'Obrazac kalkulacije'!$E$6</f>
        <v>Normativ</v>
      </c>
      <c r="F145" s="10" t="str">
        <f>'Obrazac kalkulacije'!$F$6</f>
        <v>Jed.
cijena</v>
      </c>
      <c r="G145" s="10" t="str">
        <f>'Obrazac kalkulacije'!$G$6</f>
        <v>Iznos</v>
      </c>
      <c r="I145" s="10"/>
      <c r="J145" s="835" t="e">
        <f>'Obrazac kalkulacije'!$B$6:$C$6</f>
        <v>#VALUE!</v>
      </c>
      <c r="K145" s="835"/>
      <c r="L145" s="10" t="str">
        <f>'Obrazac kalkulacije'!$D$6</f>
        <v>Jed.
mjere</v>
      </c>
      <c r="M145" s="10" t="str">
        <f>'Obrazac kalkulacije'!$E$6</f>
        <v>Normativ</v>
      </c>
      <c r="N145" s="10" t="str">
        <f>'Obrazac kalkulacije'!$F$6</f>
        <v>Jed.
cijena</v>
      </c>
      <c r="O145" s="10" t="str">
        <f>'Obrazac kalkulacije'!$G$6</f>
        <v>Iznos</v>
      </c>
    </row>
    <row r="146" spans="1:15" ht="4.5" customHeight="1" thickTop="1">
      <c r="B146" s="42"/>
      <c r="C146" s="1"/>
      <c r="D146" s="11"/>
      <c r="E146" s="13"/>
      <c r="F146" s="245"/>
      <c r="G146" s="15"/>
      <c r="J146" s="42"/>
      <c r="K146" s="1"/>
      <c r="L146" s="11"/>
      <c r="M146" s="13"/>
      <c r="N146" s="245"/>
      <c r="O146" s="15"/>
    </row>
    <row r="147" spans="1:15" ht="25.15" customHeight="1">
      <c r="A147" s="16"/>
      <c r="B147" s="837" t="str">
        <f>'Obrazac kalkulacije'!$B$8</f>
        <v>Radna snaga:</v>
      </c>
      <c r="C147" s="837"/>
      <c r="D147" s="16"/>
      <c r="E147" s="16"/>
      <c r="F147" s="246"/>
      <c r="G147" s="18">
        <f>SUM(G148:G148)</f>
        <v>0</v>
      </c>
      <c r="I147" s="16"/>
      <c r="J147" s="837" t="str">
        <f>'Obrazac kalkulacije'!$B$8</f>
        <v>Radna snaga:</v>
      </c>
      <c r="K147" s="837"/>
      <c r="L147" s="16"/>
      <c r="M147" s="16"/>
      <c r="N147" s="246"/>
      <c r="O147" s="18">
        <f>SUM(O148:O148)</f>
        <v>0</v>
      </c>
    </row>
    <row r="148" spans="1:15" ht="25.15" customHeight="1">
      <c r="A148" s="32"/>
      <c r="B148" s="854" t="s">
        <v>103</v>
      </c>
      <c r="C148" s="854"/>
      <c r="D148" s="33" t="s">
        <v>51</v>
      </c>
      <c r="E148" s="34">
        <v>4.6710739999999999</v>
      </c>
      <c r="F148" s="243">
        <f>SUMIF('Cjenik RS'!$C$11:$C$26,$B148,'Cjenik RS'!$D$11:$D$90)</f>
        <v>0</v>
      </c>
      <c r="G148" s="35">
        <f>+F148*E148</f>
        <v>0</v>
      </c>
      <c r="I148" s="32"/>
      <c r="J148" s="854" t="s">
        <v>103</v>
      </c>
      <c r="K148" s="854"/>
      <c r="L148" s="33" t="s">
        <v>51</v>
      </c>
      <c r="M148" s="34">
        <v>4.6710739999999999</v>
      </c>
      <c r="N148" s="243">
        <f>SUMIF('Cjenik RS'!$C$11:$C$26,$B148,'Cjenik RS'!$D$11:$D$90)</f>
        <v>0</v>
      </c>
      <c r="O148" s="35">
        <f>+N148*M148</f>
        <v>0</v>
      </c>
    </row>
    <row r="149" spans="1:15" ht="25.15" customHeight="1">
      <c r="A149" s="16"/>
      <c r="B149" s="837" t="str">
        <f>'Obrazac kalkulacije'!$B$11</f>
        <v>Vozila, strojevi i oprema:</v>
      </c>
      <c r="C149" s="837"/>
      <c r="D149" s="16"/>
      <c r="E149" s="16">
        <f>'Obrazac kalkulacije'!$E$11</f>
        <v>0</v>
      </c>
      <c r="F149" s="243"/>
      <c r="G149" s="18">
        <f>SUM(G150:G153)</f>
        <v>194.43037635067233</v>
      </c>
      <c r="I149" s="16"/>
      <c r="J149" s="837" t="str">
        <f>'Obrazac kalkulacije'!$B$11</f>
        <v>Vozila, strojevi i oprema:</v>
      </c>
      <c r="K149" s="837"/>
      <c r="L149" s="16"/>
      <c r="M149" s="16">
        <f>'Obrazac kalkulacije'!$E$11</f>
        <v>0</v>
      </c>
      <c r="N149" s="243"/>
      <c r="O149" s="18">
        <f>SUM(O150:O153)</f>
        <v>204.58339225</v>
      </c>
    </row>
    <row r="150" spans="1:15" ht="25.15" customHeight="1">
      <c r="A150" s="51"/>
      <c r="B150" s="863" t="s">
        <v>69</v>
      </c>
      <c r="C150" s="863"/>
      <c r="D150" s="52" t="s">
        <v>51</v>
      </c>
      <c r="E150" s="53">
        <v>0.56251973107278586</v>
      </c>
      <c r="F150" s="240">
        <f>SUMIF('Cjenik VSO'!$B$9:$B$85,$B150,'Cjenik VSO'!$C$9:$C$85)</f>
        <v>179.6</v>
      </c>
      <c r="G150" s="55">
        <f>E150*F150</f>
        <v>101.02854370067233</v>
      </c>
      <c r="I150" s="51"/>
      <c r="J150" s="863" t="s">
        <v>69</v>
      </c>
      <c r="K150" s="863"/>
      <c r="L150" s="52" t="s">
        <v>51</v>
      </c>
      <c r="M150" s="53">
        <v>0.61905100000000002</v>
      </c>
      <c r="N150" s="240">
        <f>SUMIF('Cjenik VSO'!$B$9:$B$85,$B150,'Cjenik VSO'!$C$9:$C$85)</f>
        <v>179.6</v>
      </c>
      <c r="O150" s="55">
        <f>M150*N150</f>
        <v>111.1815596</v>
      </c>
    </row>
    <row r="151" spans="1:15" ht="25.15" customHeight="1">
      <c r="A151" s="56"/>
      <c r="B151" s="834" t="s">
        <v>70</v>
      </c>
      <c r="C151" s="834"/>
      <c r="D151" s="57" t="s">
        <v>51</v>
      </c>
      <c r="E151" s="58">
        <v>0.57499999999999996</v>
      </c>
      <c r="F151" s="241">
        <f>SUMIF('Cjenik VSO'!$B$9:$B$85,$B151,'Cjenik VSO'!$C$9:$C$85)</f>
        <v>99.33</v>
      </c>
      <c r="G151" s="60">
        <f>E151*F151</f>
        <v>57.114749999999994</v>
      </c>
      <c r="I151" s="56"/>
      <c r="J151" s="834" t="s">
        <v>70</v>
      </c>
      <c r="K151" s="834"/>
      <c r="L151" s="57" t="s">
        <v>51</v>
      </c>
      <c r="M151" s="58">
        <v>0.57499999999999996</v>
      </c>
      <c r="N151" s="241">
        <f>SUMIF('Cjenik VSO'!$B$9:$B$85,$B151,'Cjenik VSO'!$C$9:$C$85)</f>
        <v>99.33</v>
      </c>
      <c r="O151" s="60">
        <f>M151*N151</f>
        <v>57.114749999999994</v>
      </c>
    </row>
    <row r="152" spans="1:15" ht="25.15" customHeight="1">
      <c r="A152" s="56"/>
      <c r="B152" s="834" t="s">
        <v>97</v>
      </c>
      <c r="C152" s="834"/>
      <c r="D152" s="57" t="s">
        <v>51</v>
      </c>
      <c r="E152" s="58">
        <v>0.110345</v>
      </c>
      <c r="F152" s="241">
        <f>SUMIF('Cjenik VSO'!$B$9:$B$85,$B152,'Cjenik VSO'!$C$9:$C$85)</f>
        <v>279.37</v>
      </c>
      <c r="G152" s="60">
        <f>E152*F152</f>
        <v>30.827082650000001</v>
      </c>
      <c r="I152" s="56"/>
      <c r="J152" s="834" t="s">
        <v>97</v>
      </c>
      <c r="K152" s="834"/>
      <c r="L152" s="57" t="s">
        <v>51</v>
      </c>
      <c r="M152" s="58">
        <v>0.110345</v>
      </c>
      <c r="N152" s="241">
        <f>SUMIF('Cjenik VSO'!$B$9:$B$85,$B152,'Cjenik VSO'!$C$9:$C$85)</f>
        <v>279.37</v>
      </c>
      <c r="O152" s="60">
        <f>M152*N152</f>
        <v>30.827082650000001</v>
      </c>
    </row>
    <row r="153" spans="1:15" ht="25.15" customHeight="1">
      <c r="A153" s="61"/>
      <c r="B153" s="864" t="s">
        <v>200</v>
      </c>
      <c r="C153" s="864"/>
      <c r="D153" s="62" t="s">
        <v>51</v>
      </c>
      <c r="E153" s="63">
        <v>0.25</v>
      </c>
      <c r="F153" s="242">
        <f>SUMIF('Cjenik VSO'!$B$9:$B$85,$B153,'Cjenik VSO'!$C$9:$C$85)</f>
        <v>21.84</v>
      </c>
      <c r="G153" s="65">
        <f>E153*F153</f>
        <v>5.46</v>
      </c>
      <c r="I153" s="61"/>
      <c r="J153" s="864" t="s">
        <v>200</v>
      </c>
      <c r="K153" s="864"/>
      <c r="L153" s="62" t="s">
        <v>51</v>
      </c>
      <c r="M153" s="63">
        <v>0.25</v>
      </c>
      <c r="N153" s="242">
        <f>SUMIF('Cjenik VSO'!$B$9:$B$85,$B153,'Cjenik VSO'!$C$9:$C$85)</f>
        <v>21.84</v>
      </c>
      <c r="O153" s="65">
        <f>M153*N153</f>
        <v>5.46</v>
      </c>
    </row>
    <row r="154" spans="1:15" ht="25.15" customHeight="1">
      <c r="A154" s="16"/>
      <c r="B154" s="837" t="str">
        <f>'Obrazac kalkulacije'!$B$15</f>
        <v>Materijali:</v>
      </c>
      <c r="C154" s="837"/>
      <c r="D154" s="16"/>
      <c r="E154" s="16"/>
      <c r="F154" s="243"/>
      <c r="G154" s="18">
        <f>SUM(G155:G157)</f>
        <v>0</v>
      </c>
      <c r="I154" s="16"/>
      <c r="J154" s="837" t="str">
        <f>'Obrazac kalkulacije'!$B$15</f>
        <v>Materijali:</v>
      </c>
      <c r="K154" s="837"/>
      <c r="L154" s="16"/>
      <c r="M154" s="16"/>
      <c r="N154" s="243"/>
      <c r="O154" s="18">
        <f>SUM(O155:O157)</f>
        <v>0</v>
      </c>
    </row>
    <row r="155" spans="1:15" ht="25.15" customHeight="1">
      <c r="A155" s="51"/>
      <c r="B155" s="863">
        <f>'Cjenik M'!$B$35</f>
        <v>0</v>
      </c>
      <c r="C155" s="863"/>
      <c r="D155" s="52">
        <f>'Cjenik M'!$C$35</f>
        <v>0</v>
      </c>
      <c r="E155" s="53">
        <v>1</v>
      </c>
      <c r="F155" s="240">
        <f>'Cjenik M'!$D$35</f>
        <v>0</v>
      </c>
      <c r="G155" s="55">
        <f>E155*F155</f>
        <v>0</v>
      </c>
      <c r="I155" s="51"/>
      <c r="J155" s="863">
        <f>'Cjenik M'!$B$35</f>
        <v>0</v>
      </c>
      <c r="K155" s="863"/>
      <c r="L155" s="52">
        <f>'Cjenik M'!$C$35</f>
        <v>0</v>
      </c>
      <c r="M155" s="53">
        <v>1</v>
      </c>
      <c r="N155" s="240">
        <f>'Cjenik M'!$D$35</f>
        <v>0</v>
      </c>
      <c r="O155" s="55">
        <f>M155*N155</f>
        <v>0</v>
      </c>
    </row>
    <row r="156" spans="1:15" ht="25.15" customHeight="1">
      <c r="A156" s="56"/>
      <c r="B156" s="834">
        <f>'Cjenik M'!$B$31</f>
        <v>0</v>
      </c>
      <c r="C156" s="834"/>
      <c r="D156" s="57">
        <f>'Cjenik M'!$C$31</f>
        <v>0</v>
      </c>
      <c r="E156" s="58">
        <v>1.44E-2</v>
      </c>
      <c r="F156" s="241">
        <f>'Cjenik M'!$D$31</f>
        <v>0</v>
      </c>
      <c r="G156" s="60">
        <f>E156*F156</f>
        <v>0</v>
      </c>
      <c r="I156" s="56"/>
      <c r="J156" s="834">
        <f>'Cjenik M'!$B$31</f>
        <v>0</v>
      </c>
      <c r="K156" s="834"/>
      <c r="L156" s="57">
        <f>'Cjenik M'!$C$31</f>
        <v>0</v>
      </c>
      <c r="M156" s="58">
        <v>1.44E-2</v>
      </c>
      <c r="N156" s="241">
        <f>'Cjenik M'!$D$31</f>
        <v>0</v>
      </c>
      <c r="O156" s="60">
        <f>M156*N156</f>
        <v>0</v>
      </c>
    </row>
    <row r="157" spans="1:15" ht="25.15" customHeight="1" thickBot="1">
      <c r="A157" s="66"/>
      <c r="B157" s="859">
        <f>'Cjenik M'!$B$65</f>
        <v>0</v>
      </c>
      <c r="C157" s="859"/>
      <c r="D157" s="67">
        <f>'Cjenik M'!$C$65</f>
        <v>0</v>
      </c>
      <c r="E157" s="68">
        <v>15.6</v>
      </c>
      <c r="F157" s="249">
        <f>'Cjenik M'!$D$65</f>
        <v>0</v>
      </c>
      <c r="G157" s="70">
        <f>E157*F157</f>
        <v>0</v>
      </c>
      <c r="I157" s="66"/>
      <c r="J157" s="859">
        <f>'Cjenik M'!$B$65</f>
        <v>0</v>
      </c>
      <c r="K157" s="859"/>
      <c r="L157" s="67">
        <f>'Cjenik M'!$C$65</f>
        <v>0</v>
      </c>
      <c r="M157" s="68">
        <v>15.6</v>
      </c>
      <c r="N157" s="249">
        <f>'Cjenik M'!$D$65</f>
        <v>0</v>
      </c>
      <c r="O157" s="70">
        <f>M157*N157</f>
        <v>0</v>
      </c>
    </row>
    <row r="158" spans="1:15" ht="25.15" customHeight="1" thickTop="1" thickBot="1">
      <c r="E158" s="868" t="str">
        <f>'Obrazac kalkulacije'!$E$18</f>
        <v>Ukupno (kn):</v>
      </c>
      <c r="F158" s="868"/>
      <c r="G158" s="71">
        <f>ROUND(SUM(G147+G149+G154),2)</f>
        <v>194.43</v>
      </c>
      <c r="H158" s="269" t="e">
        <f>SUMIF(#REF!,$B143,#REF!)</f>
        <v>#REF!</v>
      </c>
      <c r="M158" s="868" t="str">
        <f>'Obrazac kalkulacije'!$E$18</f>
        <v>Ukupno (kn):</v>
      </c>
      <c r="N158" s="868"/>
      <c r="O158" s="71">
        <f>ROUND(SUM(O147+O149+O154),2)</f>
        <v>204.58</v>
      </c>
    </row>
    <row r="159" spans="1:15" ht="25.15" customHeight="1" thickTop="1" thickBot="1">
      <c r="E159" s="27" t="str">
        <f>'Obrazac kalkulacije'!$E$19</f>
        <v>PDV:</v>
      </c>
      <c r="F159" s="248">
        <f>'Obrazac kalkulacije'!$F$19</f>
        <v>0.25</v>
      </c>
      <c r="G159" s="29">
        <f>G158*F159</f>
        <v>48.607500000000002</v>
      </c>
      <c r="H159" s="270" t="e">
        <f>H158-G158</f>
        <v>#REF!</v>
      </c>
      <c r="M159" s="27" t="str">
        <f>'Obrazac kalkulacije'!$E$19</f>
        <v>PDV:</v>
      </c>
      <c r="N159" s="248">
        <f>'Obrazac kalkulacije'!$F$19</f>
        <v>0.25</v>
      </c>
      <c r="O159" s="29">
        <f>O158*N159</f>
        <v>51.145000000000003</v>
      </c>
    </row>
    <row r="160" spans="1:15" ht="25.15" customHeight="1" thickTop="1" thickBot="1">
      <c r="E160" s="840" t="str">
        <f>'Obrazac kalkulacije'!$E$20</f>
        <v>Sveukupno (kn):</v>
      </c>
      <c r="F160" s="840"/>
      <c r="G160" s="29">
        <f>ROUND(SUM(G158:G159),2)</f>
        <v>243.04</v>
      </c>
      <c r="H160" s="271" t="e">
        <f>G150+H159</f>
        <v>#REF!</v>
      </c>
      <c r="M160" s="840" t="str">
        <f>'Obrazac kalkulacije'!$E$20</f>
        <v>Sveukupno (kn):</v>
      </c>
      <c r="N160" s="840"/>
      <c r="O160" s="29">
        <f>ROUND(SUM(O158:O159),2)</f>
        <v>255.73</v>
      </c>
    </row>
    <row r="161" spans="1:15" ht="15" customHeight="1" thickTop="1"/>
    <row r="162" spans="1:15" ht="15" customHeight="1"/>
    <row r="163" spans="1:15" ht="15" customHeight="1"/>
    <row r="164" spans="1:15" ht="15" customHeight="1">
      <c r="C164" s="3" t="str">
        <f>'Obrazac kalkulacije'!$C$24</f>
        <v>IZVODITELJ:</v>
      </c>
      <c r="F164" s="841" t="str">
        <f>'Obrazac kalkulacije'!$F$24</f>
        <v>NARUČITELJ:</v>
      </c>
      <c r="G164" s="841"/>
      <c r="K164" s="3" t="str">
        <f>'Obrazac kalkulacije'!$C$24</f>
        <v>IZVODITELJ:</v>
      </c>
      <c r="N164" s="841" t="str">
        <f>'Obrazac kalkulacije'!$F$24</f>
        <v>NARUČITELJ:</v>
      </c>
      <c r="O164" s="841"/>
    </row>
    <row r="165" spans="1:15" ht="25.15" customHeight="1">
      <c r="C165" s="3" t="str">
        <f>'Obrazac kalkulacije'!$C$25</f>
        <v>__________________</v>
      </c>
      <c r="F165" s="841" t="str">
        <f>'Obrazac kalkulacije'!$F$25</f>
        <v>___________________</v>
      </c>
      <c r="G165" s="841"/>
      <c r="K165" s="3" t="str">
        <f>'Obrazac kalkulacije'!$C$25</f>
        <v>__________________</v>
      </c>
      <c r="N165" s="841" t="str">
        <f>'Obrazac kalkulacije'!$F$25</f>
        <v>___________________</v>
      </c>
      <c r="O165" s="841"/>
    </row>
    <row r="166" spans="1:15" ht="15" customHeight="1">
      <c r="F166" s="841"/>
      <c r="G166" s="841"/>
      <c r="N166" s="841"/>
      <c r="O166" s="841"/>
    </row>
    <row r="167" spans="1:15" ht="15" customHeight="1"/>
    <row r="168" spans="1:15" ht="15" customHeight="1">
      <c r="A168" s="144"/>
      <c r="B168" s="145" t="s">
        <v>23</v>
      </c>
      <c r="C168" s="836" t="s">
        <v>178</v>
      </c>
      <c r="D168" s="836"/>
      <c r="E168" s="836"/>
      <c r="F168" s="836"/>
      <c r="G168" s="836"/>
      <c r="I168" s="144"/>
      <c r="J168" s="145" t="s">
        <v>23</v>
      </c>
      <c r="K168" s="836" t="s">
        <v>178</v>
      </c>
      <c r="L168" s="836"/>
      <c r="M168" s="836"/>
      <c r="N168" s="836"/>
      <c r="O168" s="836"/>
    </row>
    <row r="169" spans="1:15" ht="150" customHeight="1">
      <c r="A169" s="40"/>
      <c r="B169" s="556" t="s">
        <v>201</v>
      </c>
      <c r="C169" s="852" t="s">
        <v>202</v>
      </c>
      <c r="D169" s="852"/>
      <c r="E169" s="852"/>
      <c r="F169" s="852"/>
      <c r="G169" s="852"/>
      <c r="I169" s="40"/>
      <c r="J169" s="41" t="s">
        <v>201</v>
      </c>
      <c r="K169" s="869" t="s">
        <v>203</v>
      </c>
      <c r="L169" s="869"/>
      <c r="M169" s="869"/>
      <c r="N169" s="869"/>
      <c r="O169" s="869"/>
    </row>
    <row r="170" spans="1:15" ht="15" customHeight="1" thickBot="1"/>
    <row r="171" spans="1:15" ht="30" customHeight="1" thickTop="1" thickBot="1">
      <c r="A171" s="10"/>
      <c r="B171" s="835" t="str">
        <f>'Obrazac kalkulacije'!$B$6:$C$6</f>
        <v>Opis</v>
      </c>
      <c r="C171" s="835"/>
      <c r="D171" s="10" t="str">
        <f>'Obrazac kalkulacije'!$D$6</f>
        <v>Jed.
mjere</v>
      </c>
      <c r="E171" s="10" t="str">
        <f>'Obrazac kalkulacije'!$E$6</f>
        <v>Normativ</v>
      </c>
      <c r="F171" s="10" t="str">
        <f>'Obrazac kalkulacije'!$F$6</f>
        <v>Jed.
cijena</v>
      </c>
      <c r="G171" s="10" t="str">
        <f>'Obrazac kalkulacije'!$G$6</f>
        <v>Iznos</v>
      </c>
      <c r="I171" s="10"/>
      <c r="J171" s="835" t="e">
        <f>'Obrazac kalkulacije'!$B$6:$C$6</f>
        <v>#VALUE!</v>
      </c>
      <c r="K171" s="835"/>
      <c r="L171" s="10" t="str">
        <f>'Obrazac kalkulacije'!$D$6</f>
        <v>Jed.
mjere</v>
      </c>
      <c r="M171" s="10" t="str">
        <f>'Obrazac kalkulacije'!$E$6</f>
        <v>Normativ</v>
      </c>
      <c r="N171" s="10" t="str">
        <f>'Obrazac kalkulacije'!$F$6</f>
        <v>Jed.
cijena</v>
      </c>
      <c r="O171" s="10" t="str">
        <f>'Obrazac kalkulacije'!$G$6</f>
        <v>Iznos</v>
      </c>
    </row>
    <row r="172" spans="1:15" ht="4.5" customHeight="1" thickTop="1">
      <c r="B172" s="42"/>
      <c r="C172" s="1"/>
      <c r="D172" s="11"/>
      <c r="E172" s="13"/>
      <c r="F172" s="245"/>
      <c r="G172" s="15"/>
      <c r="J172" s="42"/>
      <c r="K172" s="1"/>
      <c r="L172" s="11"/>
      <c r="M172" s="13"/>
      <c r="N172" s="245"/>
      <c r="O172" s="15"/>
    </row>
    <row r="173" spans="1:15" ht="25.15" customHeight="1">
      <c r="A173" s="16"/>
      <c r="B173" s="837" t="str">
        <f>'Obrazac kalkulacije'!$B$8</f>
        <v>Radna snaga:</v>
      </c>
      <c r="C173" s="837"/>
      <c r="D173" s="16"/>
      <c r="E173" s="16"/>
      <c r="F173" s="246"/>
      <c r="G173" s="18">
        <f>SUM(G174:G174)</f>
        <v>0</v>
      </c>
      <c r="I173" s="16"/>
      <c r="J173" s="837" t="str">
        <f>'Obrazac kalkulacije'!$B$8</f>
        <v>Radna snaga:</v>
      </c>
      <c r="K173" s="837"/>
      <c r="L173" s="16"/>
      <c r="M173" s="16"/>
      <c r="N173" s="246"/>
      <c r="O173" s="18">
        <f>SUM(O174:O174)</f>
        <v>0</v>
      </c>
    </row>
    <row r="174" spans="1:15" ht="25.15" customHeight="1">
      <c r="A174" s="32"/>
      <c r="B174" s="854" t="s">
        <v>103</v>
      </c>
      <c r="C174" s="854"/>
      <c r="D174" s="33" t="s">
        <v>51</v>
      </c>
      <c r="E174" s="34">
        <v>4.1545339999999999</v>
      </c>
      <c r="F174" s="243">
        <f>SUMIF('Cjenik RS'!$C$11:$C$26,$B174,'Cjenik RS'!$D$11:$D$90)</f>
        <v>0</v>
      </c>
      <c r="G174" s="35">
        <f>+F174*E174</f>
        <v>0</v>
      </c>
      <c r="I174" s="32"/>
      <c r="J174" s="854" t="s">
        <v>103</v>
      </c>
      <c r="K174" s="854"/>
      <c r="L174" s="33" t="s">
        <v>51</v>
      </c>
      <c r="M174" s="34">
        <v>4.1545339999999999</v>
      </c>
      <c r="N174" s="243">
        <f>SUMIF('Cjenik RS'!$C$11:$C$26,$B174,'Cjenik RS'!$D$11:$D$90)</f>
        <v>0</v>
      </c>
      <c r="O174" s="35">
        <f>+N174*M174</f>
        <v>0</v>
      </c>
    </row>
    <row r="175" spans="1:15" ht="25.15" customHeight="1">
      <c r="A175" s="16"/>
      <c r="B175" s="837" t="str">
        <f>'Obrazac kalkulacije'!$B$11</f>
        <v>Vozila, strojevi i oprema:</v>
      </c>
      <c r="C175" s="837"/>
      <c r="D175" s="16"/>
      <c r="E175" s="16">
        <f>'Obrazac kalkulacije'!$E$11</f>
        <v>0</v>
      </c>
      <c r="F175" s="243"/>
      <c r="G175" s="18">
        <f>SUM(G176:G179)</f>
        <v>154.34899920463772</v>
      </c>
      <c r="I175" s="16"/>
      <c r="J175" s="837" t="str">
        <f>'Obrazac kalkulacije'!$B$11</f>
        <v>Vozila, strojevi i oprema:</v>
      </c>
      <c r="K175" s="837"/>
      <c r="L175" s="16"/>
      <c r="M175" s="16">
        <f>'Obrazac kalkulacije'!$E$11</f>
        <v>0</v>
      </c>
      <c r="N175" s="243"/>
      <c r="O175" s="18">
        <f>SUM(O176:O179)</f>
        <v>156.08174555000002</v>
      </c>
    </row>
    <row r="176" spans="1:15" ht="25.15" customHeight="1">
      <c r="A176" s="51"/>
      <c r="B176" s="863" t="s">
        <v>73</v>
      </c>
      <c r="C176" s="863"/>
      <c r="D176" s="52" t="s">
        <v>51</v>
      </c>
      <c r="E176" s="53">
        <v>0.23063024151459524</v>
      </c>
      <c r="F176" s="240">
        <f>SUMIF('Cjenik VSO'!$B$9:$B$85,$B176,'Cjenik VSO'!$C$9:$C$85)</f>
        <v>291.72000000000003</v>
      </c>
      <c r="G176" s="55">
        <f>E176*F176</f>
        <v>67.279454054637725</v>
      </c>
      <c r="I176" s="51"/>
      <c r="J176" s="863" t="s">
        <v>73</v>
      </c>
      <c r="K176" s="863"/>
      <c r="L176" s="52" t="s">
        <v>51</v>
      </c>
      <c r="M176" s="53">
        <v>0.23657</v>
      </c>
      <c r="N176" s="240">
        <f>SUMIF('Cjenik VSO'!$B$9:$B$85,$B176,'Cjenik VSO'!$C$9:$C$85)</f>
        <v>291.72000000000003</v>
      </c>
      <c r="O176" s="55">
        <f>M176*N176</f>
        <v>69.012200400000012</v>
      </c>
    </row>
    <row r="177" spans="1:15" ht="25.15" customHeight="1">
      <c r="A177" s="56"/>
      <c r="B177" s="834" t="s">
        <v>70</v>
      </c>
      <c r="C177" s="834"/>
      <c r="D177" s="57" t="s">
        <v>51</v>
      </c>
      <c r="E177" s="58">
        <v>0.51124999999999998</v>
      </c>
      <c r="F177" s="241">
        <f>SUMIF('Cjenik VSO'!$B$9:$B$85,$B177,'Cjenik VSO'!$C$9:$C$85)</f>
        <v>99.33</v>
      </c>
      <c r="G177" s="60">
        <f>E177*F177</f>
        <v>50.782462499999994</v>
      </c>
      <c r="I177" s="56"/>
      <c r="J177" s="834" t="s">
        <v>70</v>
      </c>
      <c r="K177" s="834"/>
      <c r="L177" s="57" t="s">
        <v>51</v>
      </c>
      <c r="M177" s="58">
        <v>0.51124999999999998</v>
      </c>
      <c r="N177" s="241">
        <f>SUMIF('Cjenik VSO'!$B$9:$B$85,$B177,'Cjenik VSO'!$C$9:$C$85)</f>
        <v>99.33</v>
      </c>
      <c r="O177" s="60">
        <f>M177*N177</f>
        <v>50.782462499999994</v>
      </c>
    </row>
    <row r="178" spans="1:15" ht="25.15" customHeight="1">
      <c r="A178" s="56"/>
      <c r="B178" s="834" t="s">
        <v>97</v>
      </c>
      <c r="C178" s="834"/>
      <c r="D178" s="57" t="s">
        <v>51</v>
      </c>
      <c r="E178" s="58">
        <v>0.110345</v>
      </c>
      <c r="F178" s="241">
        <f>SUMIF('Cjenik VSO'!$B$9:$B$85,$B178,'Cjenik VSO'!$C$9:$C$85)</f>
        <v>279.37</v>
      </c>
      <c r="G178" s="60">
        <f>E178*F178</f>
        <v>30.827082650000001</v>
      </c>
      <c r="I178" s="56"/>
      <c r="J178" s="834" t="s">
        <v>97</v>
      </c>
      <c r="K178" s="834"/>
      <c r="L178" s="57" t="s">
        <v>51</v>
      </c>
      <c r="M178" s="58">
        <v>0.110345</v>
      </c>
      <c r="N178" s="241">
        <f>SUMIF('Cjenik VSO'!$B$9:$B$85,$B178,'Cjenik VSO'!$C$9:$C$85)</f>
        <v>279.37</v>
      </c>
      <c r="O178" s="60">
        <f>M178*N178</f>
        <v>30.827082650000001</v>
      </c>
    </row>
    <row r="179" spans="1:15" ht="25.15" customHeight="1">
      <c r="A179" s="61"/>
      <c r="B179" s="864" t="s">
        <v>200</v>
      </c>
      <c r="C179" s="864"/>
      <c r="D179" s="62" t="s">
        <v>51</v>
      </c>
      <c r="E179" s="63">
        <v>0.25</v>
      </c>
      <c r="F179" s="242">
        <f>SUMIF('Cjenik VSO'!$B$9:$B$85,$B179,'Cjenik VSO'!$C$9:$C$85)</f>
        <v>21.84</v>
      </c>
      <c r="G179" s="65">
        <f>E179*F179</f>
        <v>5.46</v>
      </c>
      <c r="I179" s="61"/>
      <c r="J179" s="864" t="s">
        <v>200</v>
      </c>
      <c r="K179" s="864"/>
      <c r="L179" s="62" t="s">
        <v>51</v>
      </c>
      <c r="M179" s="63">
        <v>0.25</v>
      </c>
      <c r="N179" s="242">
        <f>SUMIF('Cjenik VSO'!$B$9:$B$85,$B179,'Cjenik VSO'!$C$9:$C$85)</f>
        <v>21.84</v>
      </c>
      <c r="O179" s="65">
        <f>M179*N179</f>
        <v>5.46</v>
      </c>
    </row>
    <row r="180" spans="1:15" ht="25.15" customHeight="1">
      <c r="A180" s="16"/>
      <c r="B180" s="837" t="str">
        <f>'Obrazac kalkulacije'!$B$15</f>
        <v>Materijali:</v>
      </c>
      <c r="C180" s="837"/>
      <c r="D180" s="16"/>
      <c r="E180" s="16"/>
      <c r="F180" s="243"/>
      <c r="G180" s="18">
        <f>SUM(G181:G183)</f>
        <v>0</v>
      </c>
      <c r="I180" s="16"/>
      <c r="J180" s="837" t="str">
        <f>'Obrazac kalkulacije'!$B$15</f>
        <v>Materijali:</v>
      </c>
      <c r="K180" s="837"/>
      <c r="L180" s="16"/>
      <c r="M180" s="16"/>
      <c r="N180" s="243"/>
      <c r="O180" s="18">
        <f>SUM(O181:O183)</f>
        <v>0</v>
      </c>
    </row>
    <row r="181" spans="1:15" ht="25.15" customHeight="1">
      <c r="A181" s="51"/>
      <c r="B181" s="863">
        <f>'Cjenik M'!$B$35</f>
        <v>0</v>
      </c>
      <c r="C181" s="863"/>
      <c r="D181" s="52">
        <f>'Cjenik M'!$C$35</f>
        <v>0</v>
      </c>
      <c r="E181" s="53">
        <v>1</v>
      </c>
      <c r="F181" s="240">
        <f>'Cjenik M'!$D$35</f>
        <v>0</v>
      </c>
      <c r="G181" s="55">
        <f>E181*F181</f>
        <v>0</v>
      </c>
      <c r="I181" s="51"/>
      <c r="J181" s="863">
        <f>'Cjenik M'!$B$35</f>
        <v>0</v>
      </c>
      <c r="K181" s="863"/>
      <c r="L181" s="52">
        <f>'Cjenik M'!$C$35</f>
        <v>0</v>
      </c>
      <c r="M181" s="53">
        <v>1</v>
      </c>
      <c r="N181" s="240">
        <f>'Cjenik M'!$D$35</f>
        <v>0</v>
      </c>
      <c r="O181" s="55">
        <f>M181*N181</f>
        <v>0</v>
      </c>
    </row>
    <row r="182" spans="1:15" ht="25.15" customHeight="1">
      <c r="A182" s="56"/>
      <c r="B182" s="834">
        <f>'Cjenik M'!$B$31</f>
        <v>0</v>
      </c>
      <c r="C182" s="834"/>
      <c r="D182" s="57">
        <f>'Cjenik M'!$C$31</f>
        <v>0</v>
      </c>
      <c r="E182" s="58">
        <v>7.1999999999999998E-3</v>
      </c>
      <c r="F182" s="241">
        <f>'Cjenik M'!$D$31</f>
        <v>0</v>
      </c>
      <c r="G182" s="60">
        <f>E182*F182</f>
        <v>0</v>
      </c>
      <c r="I182" s="56"/>
      <c r="J182" s="834">
        <f>'Cjenik M'!$B$31</f>
        <v>0</v>
      </c>
      <c r="K182" s="834"/>
      <c r="L182" s="57">
        <f>'Cjenik M'!$C$31</f>
        <v>0</v>
      </c>
      <c r="M182" s="58">
        <v>7.1999999999999998E-3</v>
      </c>
      <c r="N182" s="241">
        <f>'Cjenik M'!$D$31</f>
        <v>0</v>
      </c>
      <c r="O182" s="60">
        <f>M182*N182</f>
        <v>0</v>
      </c>
    </row>
    <row r="183" spans="1:15" ht="25.15" customHeight="1" thickBot="1">
      <c r="A183" s="66"/>
      <c r="B183" s="859">
        <f>'Cjenik M'!$B$65</f>
        <v>0</v>
      </c>
      <c r="C183" s="859"/>
      <c r="D183" s="67">
        <f>'Cjenik M'!$C$65</f>
        <v>0</v>
      </c>
      <c r="E183" s="68">
        <v>15.6</v>
      </c>
      <c r="F183" s="249">
        <f>'Cjenik M'!$D$65</f>
        <v>0</v>
      </c>
      <c r="G183" s="70">
        <f>E183*F183</f>
        <v>0</v>
      </c>
      <c r="I183" s="66"/>
      <c r="J183" s="859">
        <f>'Cjenik M'!$B$65</f>
        <v>0</v>
      </c>
      <c r="K183" s="859"/>
      <c r="L183" s="67">
        <f>'Cjenik M'!$C$65</f>
        <v>0</v>
      </c>
      <c r="M183" s="68">
        <v>15.6</v>
      </c>
      <c r="N183" s="249">
        <f>'Cjenik M'!$D$65</f>
        <v>0</v>
      </c>
      <c r="O183" s="70">
        <f>M183*N183</f>
        <v>0</v>
      </c>
    </row>
    <row r="184" spans="1:15" ht="25.15" customHeight="1" thickTop="1" thickBot="1">
      <c r="B184" s="47"/>
      <c r="C184" s="24"/>
      <c r="D184" s="25"/>
      <c r="E184" s="850" t="str">
        <f>'Obrazac kalkulacije'!$E$18</f>
        <v>Ukupno (kn):</v>
      </c>
      <c r="F184" s="850"/>
      <c r="G184" s="26">
        <f>ROUND(SUM(G173+G175+G180),2)</f>
        <v>154.35</v>
      </c>
      <c r="H184" s="269" t="e">
        <f>SUMIF(#REF!,$B169,#REF!)</f>
        <v>#REF!</v>
      </c>
      <c r="J184" s="47"/>
      <c r="K184" s="24"/>
      <c r="L184" s="25"/>
      <c r="M184" s="850" t="str">
        <f>'Obrazac kalkulacije'!$E$18</f>
        <v>Ukupno (kn):</v>
      </c>
      <c r="N184" s="850"/>
      <c r="O184" s="26">
        <f>ROUND(SUM(O173+O175+O180),2)</f>
        <v>156.08000000000001</v>
      </c>
    </row>
    <row r="185" spans="1:15" ht="25.15" customHeight="1" thickTop="1" thickBot="1">
      <c r="E185" s="27" t="str">
        <f>'Obrazac kalkulacije'!$E$19</f>
        <v>PDV:</v>
      </c>
      <c r="F185" s="248">
        <f>'Obrazac kalkulacije'!$F$19</f>
        <v>0.25</v>
      </c>
      <c r="G185" s="29">
        <f>G184*F185</f>
        <v>38.587499999999999</v>
      </c>
      <c r="H185" s="270" t="e">
        <f>H184-G184</f>
        <v>#REF!</v>
      </c>
      <c r="M185" s="27" t="str">
        <f>'Obrazac kalkulacije'!$E$19</f>
        <v>PDV:</v>
      </c>
      <c r="N185" s="248">
        <f>'Obrazac kalkulacije'!$F$19</f>
        <v>0.25</v>
      </c>
      <c r="O185" s="29">
        <f>O184*N185</f>
        <v>39.020000000000003</v>
      </c>
    </row>
    <row r="186" spans="1:15" ht="25.15" customHeight="1" thickTop="1" thickBot="1">
      <c r="E186" s="840" t="str">
        <f>'Obrazac kalkulacije'!$E$20</f>
        <v>Sveukupno (kn):</v>
      </c>
      <c r="F186" s="840"/>
      <c r="G186" s="29">
        <f>ROUND(SUM(G184:G185),2)</f>
        <v>192.94</v>
      </c>
      <c r="H186" s="271" t="e">
        <f>G176+H185</f>
        <v>#REF!</v>
      </c>
      <c r="M186" s="840" t="str">
        <f>'Obrazac kalkulacije'!$E$20</f>
        <v>Sveukupno (kn):</v>
      </c>
      <c r="N186" s="840"/>
      <c r="O186" s="29">
        <f>ROUND(SUM(O184:O185),2)</f>
        <v>195.1</v>
      </c>
    </row>
    <row r="187" spans="1:15" ht="15" customHeight="1" thickTop="1"/>
    <row r="188" spans="1:15" ht="15" customHeight="1"/>
    <row r="189" spans="1:15" ht="15" customHeight="1"/>
    <row r="190" spans="1:15" ht="15" customHeight="1">
      <c r="C190" s="3" t="str">
        <f>'Obrazac kalkulacije'!$C$24</f>
        <v>IZVODITELJ:</v>
      </c>
      <c r="F190" s="841" t="str">
        <f>'Obrazac kalkulacije'!$F$24</f>
        <v>NARUČITELJ:</v>
      </c>
      <c r="G190" s="841"/>
      <c r="K190" s="3" t="str">
        <f>'Obrazac kalkulacije'!$C$24</f>
        <v>IZVODITELJ:</v>
      </c>
      <c r="N190" s="841" t="str">
        <f>'Obrazac kalkulacije'!$F$24</f>
        <v>NARUČITELJ:</v>
      </c>
      <c r="O190" s="841"/>
    </row>
    <row r="191" spans="1:15" ht="25.15" customHeight="1">
      <c r="C191" s="3" t="str">
        <f>'Obrazac kalkulacije'!$C$25</f>
        <v>__________________</v>
      </c>
      <c r="F191" s="841" t="str">
        <f>'Obrazac kalkulacije'!$F$25</f>
        <v>___________________</v>
      </c>
      <c r="G191" s="841"/>
      <c r="K191" s="3" t="str">
        <f>'Obrazac kalkulacije'!$C$25</f>
        <v>__________________</v>
      </c>
      <c r="N191" s="841" t="str">
        <f>'Obrazac kalkulacije'!$F$25</f>
        <v>___________________</v>
      </c>
      <c r="O191" s="841"/>
    </row>
    <row r="192" spans="1:15" ht="15" customHeight="1">
      <c r="F192" s="841"/>
      <c r="G192" s="841"/>
      <c r="N192" s="841"/>
      <c r="O192" s="841"/>
    </row>
    <row r="193" spans="1:15" ht="15" customHeight="1"/>
    <row r="194" spans="1:15" ht="15" customHeight="1">
      <c r="A194" s="144"/>
      <c r="B194" s="145" t="s">
        <v>23</v>
      </c>
      <c r="C194" s="836" t="s">
        <v>178</v>
      </c>
      <c r="D194" s="836"/>
      <c r="E194" s="836"/>
      <c r="F194" s="836"/>
      <c r="G194" s="836"/>
      <c r="I194" s="144"/>
      <c r="J194" s="145" t="s">
        <v>23</v>
      </c>
      <c r="K194" s="836" t="s">
        <v>178</v>
      </c>
      <c r="L194" s="836"/>
      <c r="M194" s="836"/>
      <c r="N194" s="836"/>
      <c r="O194" s="836"/>
    </row>
    <row r="195" spans="1:15" ht="150" customHeight="1">
      <c r="A195" s="40"/>
      <c r="B195" s="556" t="s">
        <v>204</v>
      </c>
      <c r="C195" s="852" t="s">
        <v>205</v>
      </c>
      <c r="D195" s="852"/>
      <c r="E195" s="852"/>
      <c r="F195" s="852"/>
      <c r="G195" s="852"/>
      <c r="I195" s="40"/>
      <c r="J195" s="41" t="s">
        <v>204</v>
      </c>
      <c r="K195" s="869" t="s">
        <v>206</v>
      </c>
      <c r="L195" s="869"/>
      <c r="M195" s="869"/>
      <c r="N195" s="869"/>
      <c r="O195" s="869"/>
    </row>
    <row r="196" spans="1:15" ht="15" customHeight="1" thickBot="1"/>
    <row r="197" spans="1:15" ht="30" customHeight="1" thickTop="1" thickBot="1">
      <c r="A197" s="10"/>
      <c r="B197" s="835" t="str">
        <f>'Obrazac kalkulacije'!$B$6:$C$6</f>
        <v>Opis</v>
      </c>
      <c r="C197" s="835"/>
      <c r="D197" s="10" t="str">
        <f>'Obrazac kalkulacije'!$D$6</f>
        <v>Jed.
mjere</v>
      </c>
      <c r="E197" s="10" t="str">
        <f>'Obrazac kalkulacije'!$E$6</f>
        <v>Normativ</v>
      </c>
      <c r="F197" s="10" t="str">
        <f>'Obrazac kalkulacije'!$F$6</f>
        <v>Jed.
cijena</v>
      </c>
      <c r="G197" s="10" t="str">
        <f>'Obrazac kalkulacije'!$G$6</f>
        <v>Iznos</v>
      </c>
      <c r="I197" s="10"/>
      <c r="J197" s="835" t="e">
        <f>'Obrazac kalkulacije'!$B$6:$C$6</f>
        <v>#VALUE!</v>
      </c>
      <c r="K197" s="835"/>
      <c r="L197" s="10" t="str">
        <f>'Obrazac kalkulacije'!$D$6</f>
        <v>Jed.
mjere</v>
      </c>
      <c r="M197" s="10" t="str">
        <f>'Obrazac kalkulacije'!$E$6</f>
        <v>Normativ</v>
      </c>
      <c r="N197" s="10" t="str">
        <f>'Obrazac kalkulacije'!$F$6</f>
        <v>Jed.
cijena</v>
      </c>
      <c r="O197" s="10" t="str">
        <f>'Obrazac kalkulacije'!$G$6</f>
        <v>Iznos</v>
      </c>
    </row>
    <row r="198" spans="1:15" ht="4.5" customHeight="1" thickTop="1">
      <c r="B198" s="42"/>
      <c r="C198" s="1"/>
      <c r="D198" s="11"/>
      <c r="E198" s="13"/>
      <c r="F198" s="245"/>
      <c r="G198" s="15"/>
      <c r="J198" s="42"/>
      <c r="K198" s="1"/>
      <c r="L198" s="11"/>
      <c r="M198" s="13"/>
      <c r="N198" s="245"/>
      <c r="O198" s="15"/>
    </row>
    <row r="199" spans="1:15" ht="25.15" customHeight="1">
      <c r="A199" s="16"/>
      <c r="B199" s="837" t="str">
        <f>'Obrazac kalkulacije'!$B$8</f>
        <v>Radna snaga:</v>
      </c>
      <c r="C199" s="837"/>
      <c r="D199" s="16"/>
      <c r="E199" s="16"/>
      <c r="F199" s="246"/>
      <c r="G199" s="18">
        <f>SUM(G200:G200)</f>
        <v>0</v>
      </c>
      <c r="I199" s="16"/>
      <c r="J199" s="837" t="str">
        <f>'Obrazac kalkulacije'!$B$8</f>
        <v>Radna snaga:</v>
      </c>
      <c r="K199" s="837"/>
      <c r="L199" s="16"/>
      <c r="M199" s="16"/>
      <c r="N199" s="246"/>
      <c r="O199" s="18">
        <f>SUM(O200:O200)</f>
        <v>0</v>
      </c>
    </row>
    <row r="200" spans="1:15" ht="25.15" customHeight="1">
      <c r="A200" s="32"/>
      <c r="B200" s="854" t="s">
        <v>103</v>
      </c>
      <c r="C200" s="854"/>
      <c r="D200" s="33" t="s">
        <v>51</v>
      </c>
      <c r="E200" s="34">
        <v>0.108061</v>
      </c>
      <c r="F200" s="243">
        <f>SUMIF('Cjenik RS'!$C$11:$C$26,$B200,'Cjenik RS'!$D$11:$D$90)</f>
        <v>0</v>
      </c>
      <c r="G200" s="35">
        <f>+F200*E200</f>
        <v>0</v>
      </c>
      <c r="I200" s="32"/>
      <c r="J200" s="854" t="s">
        <v>103</v>
      </c>
      <c r="K200" s="854"/>
      <c r="L200" s="33" t="s">
        <v>51</v>
      </c>
      <c r="M200" s="34">
        <v>0.108061</v>
      </c>
      <c r="N200" s="243">
        <f>SUMIF('Cjenik RS'!$C$11:$C$26,$B200,'Cjenik RS'!$D$11:$D$90)</f>
        <v>0</v>
      </c>
      <c r="O200" s="35">
        <f>+N200*M200</f>
        <v>0</v>
      </c>
    </row>
    <row r="201" spans="1:15" ht="25.15" customHeight="1">
      <c r="A201" s="16"/>
      <c r="B201" s="837" t="str">
        <f>'Obrazac kalkulacije'!$B$11</f>
        <v>Vozila, strojevi i oprema:</v>
      </c>
      <c r="C201" s="837"/>
      <c r="D201" s="16"/>
      <c r="E201" s="16">
        <f>'Obrazac kalkulacije'!$E$11</f>
        <v>0</v>
      </c>
      <c r="F201" s="243"/>
      <c r="G201" s="18">
        <f>SUM(G202:G206)</f>
        <v>48.794164949999995</v>
      </c>
      <c r="I201" s="16"/>
      <c r="J201" s="837" t="str">
        <f>'Obrazac kalkulacije'!$B$11</f>
        <v>Vozila, strojevi i oprema:</v>
      </c>
      <c r="K201" s="837"/>
      <c r="L201" s="16"/>
      <c r="M201" s="16">
        <f>'Obrazac kalkulacije'!$E$11</f>
        <v>0</v>
      </c>
      <c r="N201" s="243"/>
      <c r="O201" s="18">
        <f>SUM(O202:O206)</f>
        <v>48.794164949999995</v>
      </c>
    </row>
    <row r="202" spans="1:15" ht="25.15" customHeight="1">
      <c r="A202" s="51"/>
      <c r="B202" s="863" t="s">
        <v>97</v>
      </c>
      <c r="C202" s="863"/>
      <c r="D202" s="52" t="s">
        <v>51</v>
      </c>
      <c r="E202" s="53">
        <v>5.0917999999999998E-2</v>
      </c>
      <c r="F202" s="240">
        <f>SUMIF('Cjenik VSO'!$B$9:$B$85,$B202,'Cjenik VSO'!$C$9:$C$85)</f>
        <v>279.37</v>
      </c>
      <c r="G202" s="55">
        <f>E202*F202</f>
        <v>14.22496166</v>
      </c>
      <c r="I202" s="51"/>
      <c r="J202" s="863" t="s">
        <v>97</v>
      </c>
      <c r="K202" s="863"/>
      <c r="L202" s="52" t="s">
        <v>51</v>
      </c>
      <c r="M202" s="53">
        <v>5.0917999999999998E-2</v>
      </c>
      <c r="N202" s="240">
        <f>SUMIF('Cjenik VSO'!$B$9:$B$85,$B202,'Cjenik VSO'!$C$9:$C$85)</f>
        <v>279.37</v>
      </c>
      <c r="O202" s="55">
        <f>M202*N202</f>
        <v>14.22496166</v>
      </c>
    </row>
    <row r="203" spans="1:15" ht="25.15" customHeight="1">
      <c r="A203" s="56"/>
      <c r="B203" s="834" t="s">
        <v>74</v>
      </c>
      <c r="C203" s="834"/>
      <c r="D203" s="57" t="s">
        <v>51</v>
      </c>
      <c r="E203" s="58">
        <v>4.1683999999999999E-2</v>
      </c>
      <c r="F203" s="241">
        <f>SUMIF('Cjenik VSO'!$B$9:$B$85,$B203,'Cjenik VSO'!$C$9:$C$85)</f>
        <v>355.64</v>
      </c>
      <c r="G203" s="60">
        <f>E203*F203</f>
        <v>14.82449776</v>
      </c>
      <c r="I203" s="56"/>
      <c r="J203" s="834" t="s">
        <v>74</v>
      </c>
      <c r="K203" s="834"/>
      <c r="L203" s="57" t="s">
        <v>51</v>
      </c>
      <c r="M203" s="58">
        <v>4.1683999999999999E-2</v>
      </c>
      <c r="N203" s="241">
        <f>SUMIF('Cjenik VSO'!$B$9:$B$85,$B203,'Cjenik VSO'!$C$9:$C$85)</f>
        <v>355.64</v>
      </c>
      <c r="O203" s="60">
        <f>M203*N203</f>
        <v>14.82449776</v>
      </c>
    </row>
    <row r="204" spans="1:15" ht="25.15" customHeight="1">
      <c r="A204" s="84"/>
      <c r="B204" s="873" t="s">
        <v>172</v>
      </c>
      <c r="C204" s="873"/>
      <c r="D204" s="78" t="s">
        <v>51</v>
      </c>
      <c r="E204" s="85">
        <v>3.2653000000000001E-2</v>
      </c>
      <c r="F204" s="254">
        <f>SUMIF('Cjenik VSO'!$B$9:$B$85,$B204,'Cjenik VSO'!$C$9:$C$85)</f>
        <v>447.37</v>
      </c>
      <c r="G204" s="80">
        <f>E204*F204</f>
        <v>14.607972610000001</v>
      </c>
      <c r="I204" s="84"/>
      <c r="J204" s="873" t="s">
        <v>172</v>
      </c>
      <c r="K204" s="873"/>
      <c r="L204" s="78" t="s">
        <v>51</v>
      </c>
      <c r="M204" s="85">
        <v>3.2653000000000001E-2</v>
      </c>
      <c r="N204" s="254">
        <f>SUMIF('Cjenik VSO'!$B$9:$B$85,$B204,'Cjenik VSO'!$C$9:$C$85)</f>
        <v>447.37</v>
      </c>
      <c r="O204" s="80">
        <f>M204*N204</f>
        <v>14.607972610000001</v>
      </c>
    </row>
    <row r="205" spans="1:15" ht="25.15" customHeight="1">
      <c r="A205" s="84"/>
      <c r="B205" s="873" t="s">
        <v>182</v>
      </c>
      <c r="C205" s="873"/>
      <c r="D205" s="78" t="s">
        <v>51</v>
      </c>
      <c r="E205" s="85">
        <v>2.9489999999999999E-2</v>
      </c>
      <c r="F205" s="254">
        <f>SUMIF('Cjenik VSO'!$B$9:$B$85,$B205,'Cjenik VSO'!$C$9:$C$85)</f>
        <v>151.94999999999999</v>
      </c>
      <c r="G205" s="80">
        <f>E205*F205</f>
        <v>4.4810054999999993</v>
      </c>
      <c r="I205" s="84"/>
      <c r="J205" s="873" t="s">
        <v>182</v>
      </c>
      <c r="K205" s="873"/>
      <c r="L205" s="78" t="s">
        <v>51</v>
      </c>
      <c r="M205" s="85">
        <v>2.9489999999999999E-2</v>
      </c>
      <c r="N205" s="254">
        <f>SUMIF('Cjenik VSO'!$B$9:$B$85,$B205,'Cjenik VSO'!$C$9:$C$85)</f>
        <v>151.94999999999999</v>
      </c>
      <c r="O205" s="80">
        <f>M205*N205</f>
        <v>4.4810054999999993</v>
      </c>
    </row>
    <row r="206" spans="1:15" ht="25.15" customHeight="1" thickBot="1">
      <c r="A206" s="66"/>
      <c r="B206" s="873" t="s">
        <v>81</v>
      </c>
      <c r="C206" s="873"/>
      <c r="D206" s="78" t="s">
        <v>51</v>
      </c>
      <c r="E206" s="85">
        <v>6.1219999999999998E-3</v>
      </c>
      <c r="F206" s="254">
        <f>SUMIF('Cjenik VSO'!$B$9:$B$85,$B206,'Cjenik VSO'!$C$9:$C$85)</f>
        <v>107.11</v>
      </c>
      <c r="G206" s="80">
        <f>E206*F206</f>
        <v>0.65572741999999995</v>
      </c>
      <c r="I206" s="66"/>
      <c r="J206" s="873" t="s">
        <v>81</v>
      </c>
      <c r="K206" s="873"/>
      <c r="L206" s="78" t="s">
        <v>51</v>
      </c>
      <c r="M206" s="85">
        <v>6.1219999999999998E-3</v>
      </c>
      <c r="N206" s="254">
        <f>SUMIF('Cjenik VSO'!$B$9:$B$85,$B206,'Cjenik VSO'!$C$9:$C$85)</f>
        <v>107.11</v>
      </c>
      <c r="O206" s="80">
        <f>M206*N206</f>
        <v>0.65572741999999995</v>
      </c>
    </row>
    <row r="207" spans="1:15" ht="25.15" customHeight="1" thickTop="1" thickBot="1">
      <c r="B207" s="47"/>
      <c r="C207" s="24"/>
      <c r="D207" s="25"/>
      <c r="E207" s="850" t="str">
        <f>'Obrazac kalkulacije'!$E$18</f>
        <v>Ukupno (kn):</v>
      </c>
      <c r="F207" s="850"/>
      <c r="G207" s="26">
        <f>ROUND(SUM(G199+G201),2)</f>
        <v>48.79</v>
      </c>
      <c r="H207" s="269" t="e">
        <f>SUMIF(#REF!,$B195,#REF!)</f>
        <v>#REF!</v>
      </c>
      <c r="J207" s="47"/>
      <c r="K207" s="24"/>
      <c r="L207" s="25"/>
      <c r="M207" s="850" t="str">
        <f>'Obrazac kalkulacije'!$E$18</f>
        <v>Ukupno (kn):</v>
      </c>
      <c r="N207" s="850"/>
      <c r="O207" s="26">
        <f>ROUND(SUM(O199+O201),2)</f>
        <v>48.79</v>
      </c>
    </row>
    <row r="208" spans="1:15" ht="25.15" customHeight="1" thickTop="1" thickBot="1">
      <c r="E208" s="27" t="str">
        <f>'Obrazac kalkulacije'!$E$19</f>
        <v>PDV:</v>
      </c>
      <c r="F208" s="248">
        <f>'Obrazac kalkulacije'!$F$19</f>
        <v>0.25</v>
      </c>
      <c r="G208" s="29">
        <f>G207*F208</f>
        <v>12.1975</v>
      </c>
      <c r="H208" s="270" t="e">
        <f>H207-G207</f>
        <v>#REF!</v>
      </c>
      <c r="M208" s="27" t="str">
        <f>'Obrazac kalkulacije'!$E$19</f>
        <v>PDV:</v>
      </c>
      <c r="N208" s="248">
        <f>'Obrazac kalkulacije'!$F$19</f>
        <v>0.25</v>
      </c>
      <c r="O208" s="29">
        <f>O207*N208</f>
        <v>12.1975</v>
      </c>
    </row>
    <row r="209" spans="1:15" ht="25.15" customHeight="1" thickTop="1" thickBot="1">
      <c r="E209" s="840" t="str">
        <f>'Obrazac kalkulacije'!$E$20</f>
        <v>Sveukupno (kn):</v>
      </c>
      <c r="F209" s="840"/>
      <c r="G209" s="29">
        <f>ROUND(SUM(G207:G208),2)</f>
        <v>60.99</v>
      </c>
      <c r="H209" s="271" t="e">
        <f>G203+H208</f>
        <v>#REF!</v>
      </c>
      <c r="M209" s="840" t="str">
        <f>'Obrazac kalkulacije'!$E$20</f>
        <v>Sveukupno (kn):</v>
      </c>
      <c r="N209" s="840"/>
      <c r="O209" s="29">
        <f>ROUND(SUM(O207:O208),2)</f>
        <v>60.99</v>
      </c>
    </row>
    <row r="210" spans="1:15" ht="15" customHeight="1" thickTop="1"/>
    <row r="211" spans="1:15" ht="15" customHeight="1"/>
    <row r="212" spans="1:15" ht="15" customHeight="1"/>
    <row r="213" spans="1:15" ht="15" customHeight="1">
      <c r="C213" s="3" t="str">
        <f>'Obrazac kalkulacije'!$C$24</f>
        <v>IZVODITELJ:</v>
      </c>
      <c r="F213" s="841" t="str">
        <f>'Obrazac kalkulacije'!$F$24</f>
        <v>NARUČITELJ:</v>
      </c>
      <c r="G213" s="841"/>
      <c r="K213" s="3" t="str">
        <f>'Obrazac kalkulacije'!$C$24</f>
        <v>IZVODITELJ:</v>
      </c>
      <c r="N213" s="841" t="str">
        <f>'Obrazac kalkulacije'!$F$24</f>
        <v>NARUČITELJ:</v>
      </c>
      <c r="O213" s="841"/>
    </row>
    <row r="214" spans="1:15">
      <c r="C214" s="3" t="str">
        <f>'Obrazac kalkulacije'!$C$25</f>
        <v>__________________</v>
      </c>
      <c r="F214" s="841" t="str">
        <f>'Obrazac kalkulacije'!$F$25</f>
        <v>___________________</v>
      </c>
      <c r="G214" s="841"/>
      <c r="K214" s="3" t="str">
        <f>'Obrazac kalkulacije'!$C$25</f>
        <v>__________________</v>
      </c>
      <c r="N214" s="841" t="str">
        <f>'Obrazac kalkulacije'!$F$25</f>
        <v>___________________</v>
      </c>
      <c r="O214" s="841"/>
    </row>
    <row r="215" spans="1:15" ht="15" customHeight="1">
      <c r="F215" s="841"/>
      <c r="G215" s="841"/>
      <c r="N215" s="841"/>
      <c r="O215" s="841"/>
    </row>
    <row r="216" spans="1:15" ht="15" customHeight="1"/>
    <row r="217" spans="1:15" ht="15" customHeight="1">
      <c r="A217" s="144"/>
      <c r="B217" s="145" t="s">
        <v>23</v>
      </c>
      <c r="C217" s="836" t="s">
        <v>178</v>
      </c>
      <c r="D217" s="836"/>
      <c r="E217" s="836"/>
      <c r="F217" s="836"/>
      <c r="G217" s="836"/>
      <c r="I217" s="144"/>
      <c r="J217" s="145" t="s">
        <v>23</v>
      </c>
      <c r="K217" s="836" t="s">
        <v>178</v>
      </c>
      <c r="L217" s="836"/>
      <c r="M217" s="836"/>
      <c r="N217" s="836"/>
      <c r="O217" s="836"/>
    </row>
    <row r="218" spans="1:15" ht="150" customHeight="1">
      <c r="A218" s="40"/>
      <c r="B218" s="556" t="s">
        <v>207</v>
      </c>
      <c r="C218" s="852" t="s">
        <v>208</v>
      </c>
      <c r="D218" s="852"/>
      <c r="E218" s="852"/>
      <c r="F218" s="852"/>
      <c r="G218" s="852"/>
      <c r="I218" s="40"/>
      <c r="J218" s="41" t="s">
        <v>207</v>
      </c>
      <c r="K218" s="869" t="s">
        <v>209</v>
      </c>
      <c r="L218" s="869"/>
      <c r="M218" s="869"/>
      <c r="N218" s="869"/>
      <c r="O218" s="869"/>
    </row>
    <row r="219" spans="1:15" ht="15" customHeight="1" thickBot="1"/>
    <row r="220" spans="1:15" ht="30" customHeight="1" thickTop="1" thickBot="1">
      <c r="A220" s="10"/>
      <c r="B220" s="835" t="str">
        <f>'Obrazac kalkulacije'!$B$6:$C$6</f>
        <v>Opis</v>
      </c>
      <c r="C220" s="835"/>
      <c r="D220" s="10" t="str">
        <f>'Obrazac kalkulacije'!$D$6</f>
        <v>Jed.
mjere</v>
      </c>
      <c r="E220" s="10" t="str">
        <f>'Obrazac kalkulacije'!$E$6</f>
        <v>Normativ</v>
      </c>
      <c r="F220" s="10" t="str">
        <f>'Obrazac kalkulacije'!$F$6</f>
        <v>Jed.
cijena</v>
      </c>
      <c r="G220" s="10" t="str">
        <f>'Obrazac kalkulacije'!$G$6</f>
        <v>Iznos</v>
      </c>
      <c r="H220" s="2">
        <v>200</v>
      </c>
      <c r="I220" s="10"/>
      <c r="J220" s="835" t="e">
        <f>'Obrazac kalkulacije'!$B$6:$C$6</f>
        <v>#VALUE!</v>
      </c>
      <c r="K220" s="835"/>
      <c r="L220" s="10" t="str">
        <f>'Obrazac kalkulacije'!$D$6</f>
        <v>Jed.
mjere</v>
      </c>
      <c r="M220" s="10" t="str">
        <f>'Obrazac kalkulacije'!$E$6</f>
        <v>Normativ</v>
      </c>
      <c r="N220" s="10" t="str">
        <f>'Obrazac kalkulacije'!$F$6</f>
        <v>Jed.
cijena</v>
      </c>
      <c r="O220" s="10" t="str">
        <f>'Obrazac kalkulacije'!$G$6</f>
        <v>Iznos</v>
      </c>
    </row>
    <row r="221" spans="1:15" ht="4.5" customHeight="1" thickTop="1">
      <c r="B221" s="42"/>
      <c r="C221" s="1"/>
      <c r="D221" s="11"/>
      <c r="E221" s="13"/>
      <c r="F221" s="245"/>
      <c r="G221" s="15"/>
      <c r="J221" s="42"/>
      <c r="K221" s="1"/>
      <c r="L221" s="11"/>
      <c r="M221" s="13"/>
      <c r="N221" s="245"/>
      <c r="O221" s="15"/>
    </row>
    <row r="222" spans="1:15" ht="25.15" customHeight="1">
      <c r="A222" s="16"/>
      <c r="B222" s="837" t="str">
        <f>'Obrazac kalkulacije'!$B$8</f>
        <v>Radna snaga:</v>
      </c>
      <c r="C222" s="837"/>
      <c r="D222" s="16"/>
      <c r="E222" s="16"/>
      <c r="F222" s="246"/>
      <c r="G222" s="18">
        <f>SUM(G223:G223)</f>
        <v>0</v>
      </c>
      <c r="I222" s="16"/>
      <c r="J222" s="837" t="str">
        <f>'Obrazac kalkulacije'!$B$8</f>
        <v>Radna snaga:</v>
      </c>
      <c r="K222" s="837"/>
      <c r="L222" s="16"/>
      <c r="M222" s="16"/>
      <c r="N222" s="246"/>
      <c r="O222" s="18">
        <f>SUM(O223:O223)</f>
        <v>0</v>
      </c>
    </row>
    <row r="223" spans="1:15" ht="25.15" customHeight="1">
      <c r="A223" s="32"/>
      <c r="B223" s="854" t="s">
        <v>103</v>
      </c>
      <c r="C223" s="854"/>
      <c r="D223" s="33" t="s">
        <v>51</v>
      </c>
      <c r="E223" s="34">
        <f>H223/H$220</f>
        <v>0.12</v>
      </c>
      <c r="F223" s="243">
        <f>SUMIF('Cjenik RS'!$C$11:$C$26,$B223,'Cjenik RS'!$D$11:$D$90)</f>
        <v>0</v>
      </c>
      <c r="G223" s="35">
        <f>E223*F223</f>
        <v>0</v>
      </c>
      <c r="H223" s="2">
        <v>24</v>
      </c>
      <c r="I223" s="32"/>
      <c r="J223" s="854" t="s">
        <v>103</v>
      </c>
      <c r="K223" s="854"/>
      <c r="L223" s="33" t="s">
        <v>51</v>
      </c>
      <c r="M223" s="34">
        <v>0.13811599999999999</v>
      </c>
      <c r="N223" s="243">
        <f>SUMIF('Cjenik RS'!$C$11:$C$26,$B223,'Cjenik RS'!$D$11:$D$90)</f>
        <v>0</v>
      </c>
      <c r="O223" s="35">
        <f>M223*N223</f>
        <v>0</v>
      </c>
    </row>
    <row r="224" spans="1:15" ht="25.15" customHeight="1">
      <c r="A224" s="16"/>
      <c r="B224" s="837" t="str">
        <f>'Obrazac kalkulacije'!$B$11</f>
        <v>Vozila, strojevi i oprema:</v>
      </c>
      <c r="C224" s="837"/>
      <c r="D224" s="16"/>
      <c r="E224" s="16">
        <f>'Obrazac kalkulacije'!$E$11</f>
        <v>0</v>
      </c>
      <c r="F224" s="243"/>
      <c r="G224" s="18">
        <f>SUM(G225:G230)</f>
        <v>60.999699999999997</v>
      </c>
      <c r="I224" s="16"/>
      <c r="J224" s="837" t="str">
        <f>'Obrazac kalkulacije'!$B$11</f>
        <v>Vozila, strojevi i oprema:</v>
      </c>
      <c r="K224" s="837"/>
      <c r="L224" s="16"/>
      <c r="M224" s="16">
        <f>'Obrazac kalkulacije'!$E$11</f>
        <v>0</v>
      </c>
      <c r="N224" s="243"/>
      <c r="O224" s="18">
        <f>SUM(O225:O230)</f>
        <v>43.245379989999996</v>
      </c>
    </row>
    <row r="225" spans="1:15" ht="25.15" customHeight="1">
      <c r="A225" s="51"/>
      <c r="B225" s="863" t="s">
        <v>74</v>
      </c>
      <c r="C225" s="863"/>
      <c r="D225" s="52" t="s">
        <v>51</v>
      </c>
      <c r="E225" s="34">
        <f t="shared" ref="E225:E230" si="0">H225/H$220</f>
        <v>0.08</v>
      </c>
      <c r="F225" s="240">
        <f>SUMIF('Cjenik VSO'!$B$9:$B$85,$B225,'Cjenik VSO'!$C$9:$C$85)</f>
        <v>355.64</v>
      </c>
      <c r="G225" s="55">
        <f t="shared" ref="G225:G230" si="1">E225*F225</f>
        <v>28.4512</v>
      </c>
      <c r="H225" s="2">
        <v>16</v>
      </c>
      <c r="I225" s="51"/>
      <c r="J225" s="863" t="s">
        <v>74</v>
      </c>
      <c r="K225" s="863"/>
      <c r="L225" s="52" t="s">
        <v>51</v>
      </c>
      <c r="M225" s="53">
        <v>3.3744000000000003E-2</v>
      </c>
      <c r="N225" s="240">
        <f>SUMIF('Cjenik VSO'!$B$9:$B$85,$B225,'Cjenik VSO'!$C$9:$C$85)</f>
        <v>355.64</v>
      </c>
      <c r="O225" s="55">
        <f t="shared" ref="O225:O230" si="2">M225*N225</f>
        <v>12.000716160000001</v>
      </c>
    </row>
    <row r="226" spans="1:15" ht="25.15" customHeight="1">
      <c r="A226" s="56"/>
      <c r="B226" s="834" t="s">
        <v>97</v>
      </c>
      <c r="C226" s="834"/>
      <c r="D226" s="57" t="s">
        <v>51</v>
      </c>
      <c r="E226" s="34">
        <f t="shared" si="0"/>
        <v>0.03</v>
      </c>
      <c r="F226" s="241">
        <f>SUMIF('Cjenik VSO'!$B$9:$B$85,$B226,'Cjenik VSO'!$C$9:$C$85)</f>
        <v>279.37</v>
      </c>
      <c r="G226" s="60">
        <f t="shared" si="1"/>
        <v>8.3811</v>
      </c>
      <c r="H226" s="2">
        <v>6</v>
      </c>
      <c r="I226" s="56"/>
      <c r="J226" s="834" t="s">
        <v>97</v>
      </c>
      <c r="K226" s="834"/>
      <c r="L226" s="57" t="s">
        <v>51</v>
      </c>
      <c r="M226" s="58">
        <v>3.0952E-2</v>
      </c>
      <c r="N226" s="241">
        <f>SUMIF('Cjenik VSO'!$B$9:$B$85,$B226,'Cjenik VSO'!$C$9:$C$85)</f>
        <v>279.37</v>
      </c>
      <c r="O226" s="60">
        <f t="shared" si="2"/>
        <v>8.6470602400000001</v>
      </c>
    </row>
    <row r="227" spans="1:15" ht="25.15" customHeight="1">
      <c r="A227" s="56"/>
      <c r="B227" s="834" t="s">
        <v>172</v>
      </c>
      <c r="C227" s="834"/>
      <c r="D227" s="57" t="s">
        <v>51</v>
      </c>
      <c r="E227" s="34">
        <f t="shared" si="0"/>
        <v>0.01</v>
      </c>
      <c r="F227" s="241">
        <f>SUMIF('Cjenik VSO'!$B$9:$B$85,$B227,'Cjenik VSO'!$C$9:$C$85)</f>
        <v>447.37</v>
      </c>
      <c r="G227" s="60">
        <f t="shared" si="1"/>
        <v>4.4737</v>
      </c>
      <c r="H227" s="2">
        <v>2</v>
      </c>
      <c r="I227" s="56"/>
      <c r="J227" s="834" t="s">
        <v>172</v>
      </c>
      <c r="K227" s="834"/>
      <c r="L227" s="57" t="s">
        <v>51</v>
      </c>
      <c r="M227" s="58">
        <v>1.9047999999999999E-2</v>
      </c>
      <c r="N227" s="241">
        <f>SUMIF('Cjenik VSO'!$B$9:$B$85,$B227,'Cjenik VSO'!$C$9:$C$85)</f>
        <v>447.37</v>
      </c>
      <c r="O227" s="60">
        <f t="shared" si="2"/>
        <v>8.5215037599999999</v>
      </c>
    </row>
    <row r="228" spans="1:15" ht="25.15" customHeight="1">
      <c r="A228" s="56"/>
      <c r="B228" s="834" t="s">
        <v>210</v>
      </c>
      <c r="C228" s="834"/>
      <c r="D228" s="57" t="s">
        <v>51</v>
      </c>
      <c r="E228" s="34">
        <f t="shared" si="0"/>
        <v>0.04</v>
      </c>
      <c r="F228" s="241">
        <f>SUMIF('Cjenik VSO'!$B$9:$B$85,$B228,'Cjenik VSO'!$C$9:$C$85)</f>
        <v>336.28</v>
      </c>
      <c r="G228" s="60">
        <f t="shared" si="1"/>
        <v>13.4512</v>
      </c>
      <c r="H228" s="2">
        <v>8</v>
      </c>
      <c r="I228" s="56"/>
      <c r="J228" s="834" t="s">
        <v>210</v>
      </c>
      <c r="K228" s="834"/>
      <c r="L228" s="57" t="s">
        <v>51</v>
      </c>
      <c r="M228" s="58">
        <v>2.5776E-2</v>
      </c>
      <c r="N228" s="241">
        <f>SUMIF('Cjenik VSO'!$B$9:$B$85,$B228,'Cjenik VSO'!$C$9:$C$85)</f>
        <v>336.28</v>
      </c>
      <c r="O228" s="60">
        <f t="shared" si="2"/>
        <v>8.667953279999999</v>
      </c>
    </row>
    <row r="229" spans="1:15" ht="25.15" customHeight="1">
      <c r="A229" s="56"/>
      <c r="B229" s="834" t="s">
        <v>182</v>
      </c>
      <c r="C229" s="834"/>
      <c r="D229" s="57" t="s">
        <v>51</v>
      </c>
      <c r="E229" s="34">
        <f t="shared" si="0"/>
        <v>0.04</v>
      </c>
      <c r="F229" s="241">
        <f>SUMIF('Cjenik VSO'!$B$9:$B$85,$B229,'Cjenik VSO'!$C$9:$C$85)</f>
        <v>151.94999999999999</v>
      </c>
      <c r="G229" s="60">
        <f t="shared" si="1"/>
        <v>6.0779999999999994</v>
      </c>
      <c r="H229" s="2">
        <v>8</v>
      </c>
      <c r="I229" s="56"/>
      <c r="J229" s="834" t="s">
        <v>182</v>
      </c>
      <c r="K229" s="834"/>
      <c r="L229" s="57" t="s">
        <v>51</v>
      </c>
      <c r="M229" s="58">
        <v>3.4645000000000002E-2</v>
      </c>
      <c r="N229" s="241">
        <f>SUMIF('Cjenik VSO'!$B$9:$B$85,$B229,'Cjenik VSO'!$C$9:$C$85)</f>
        <v>151.94999999999999</v>
      </c>
      <c r="O229" s="60">
        <f t="shared" si="2"/>
        <v>5.2643077499999995</v>
      </c>
    </row>
    <row r="230" spans="1:15" ht="25.15" customHeight="1">
      <c r="A230" s="61"/>
      <c r="B230" s="864" t="s">
        <v>183</v>
      </c>
      <c r="C230" s="864"/>
      <c r="D230" s="62" t="s">
        <v>51</v>
      </c>
      <c r="E230" s="34">
        <f t="shared" si="0"/>
        <v>5.0000000000000001E-3</v>
      </c>
      <c r="F230" s="242">
        <f>SUMIF('Cjenik VSO'!$B$9:$B$85,$B230,'Cjenik VSO'!$C$9:$C$85)</f>
        <v>32.9</v>
      </c>
      <c r="G230" s="65">
        <f t="shared" si="1"/>
        <v>0.16450000000000001</v>
      </c>
      <c r="H230" s="2">
        <v>1</v>
      </c>
      <c r="I230" s="61"/>
      <c r="J230" s="864" t="s">
        <v>183</v>
      </c>
      <c r="K230" s="864"/>
      <c r="L230" s="62" t="s">
        <v>51</v>
      </c>
      <c r="M230" s="63">
        <v>4.372E-3</v>
      </c>
      <c r="N230" s="242">
        <f>SUMIF('Cjenik VSO'!$B$9:$B$85,$B230,'Cjenik VSO'!$C$9:$C$85)</f>
        <v>32.9</v>
      </c>
      <c r="O230" s="65">
        <f t="shared" si="2"/>
        <v>0.14383879999999999</v>
      </c>
    </row>
    <row r="231" spans="1:15" ht="25.15" customHeight="1">
      <c r="A231" s="16"/>
      <c r="B231" s="837" t="str">
        <f>'Obrazac kalkulacije'!$B$15</f>
        <v>Materijali:</v>
      </c>
      <c r="C231" s="837"/>
      <c r="D231" s="16"/>
      <c r="E231" s="16"/>
      <c r="F231" s="243"/>
      <c r="G231" s="18">
        <f>SUM(G232:G232)</f>
        <v>0</v>
      </c>
      <c r="I231" s="16"/>
      <c r="J231" s="837" t="str">
        <f>'Obrazac kalkulacije'!$B$15</f>
        <v>Materijali:</v>
      </c>
      <c r="K231" s="837"/>
      <c r="L231" s="16"/>
      <c r="M231" s="16"/>
      <c r="N231" s="243"/>
      <c r="O231" s="18">
        <f>SUM(O232:O232)</f>
        <v>0</v>
      </c>
    </row>
    <row r="232" spans="1:15" ht="25.15" customHeight="1" thickBot="1">
      <c r="A232" s="43"/>
      <c r="B232" s="865">
        <f>'Cjenik M'!$B$28</f>
        <v>0</v>
      </c>
      <c r="C232" s="865"/>
      <c r="D232" s="44">
        <f>'Cjenik M'!$C$28</f>
        <v>0</v>
      </c>
      <c r="E232" s="45">
        <v>1</v>
      </c>
      <c r="F232" s="243">
        <f>'Cjenik M'!$D$28</f>
        <v>0</v>
      </c>
      <c r="G232" s="46">
        <f>E232*F232</f>
        <v>0</v>
      </c>
      <c r="I232" s="43"/>
      <c r="J232" s="865">
        <f>'Cjenik M'!$B$28</f>
        <v>0</v>
      </c>
      <c r="K232" s="865"/>
      <c r="L232" s="44">
        <f>'Cjenik M'!$C$28</f>
        <v>0</v>
      </c>
      <c r="M232" s="45">
        <v>1</v>
      </c>
      <c r="N232" s="243">
        <f>'Cjenik M'!$D$28</f>
        <v>0</v>
      </c>
      <c r="O232" s="46">
        <f>M232*N232</f>
        <v>0</v>
      </c>
    </row>
    <row r="233" spans="1:15" ht="25.15" customHeight="1" thickTop="1" thickBot="1">
      <c r="B233" s="47"/>
      <c r="C233" s="24"/>
      <c r="D233" s="25"/>
      <c r="E233" s="850" t="str">
        <f>'Obrazac kalkulacije'!$E$18</f>
        <v>Ukupno (kn):</v>
      </c>
      <c r="F233" s="850"/>
      <c r="G233" s="26">
        <f>ROUND(SUM(G222+G224+G231),2)</f>
        <v>61</v>
      </c>
      <c r="H233" s="269" t="e">
        <f>SUMIF(#REF!,$B218,#REF!)</f>
        <v>#REF!</v>
      </c>
      <c r="J233" s="47"/>
      <c r="K233" s="24"/>
      <c r="L233" s="25"/>
      <c r="M233" s="850" t="str">
        <f>'Obrazac kalkulacije'!$E$18</f>
        <v>Ukupno (kn):</v>
      </c>
      <c r="N233" s="850"/>
      <c r="O233" s="26">
        <f>ROUND(SUM(O222+O224+O231),2)</f>
        <v>43.25</v>
      </c>
    </row>
    <row r="234" spans="1:15" ht="25.15" customHeight="1" thickTop="1" thickBot="1">
      <c r="E234" s="27" t="str">
        <f>'Obrazac kalkulacije'!$E$19</f>
        <v>PDV:</v>
      </c>
      <c r="F234" s="248">
        <f>'Obrazac kalkulacije'!$F$19</f>
        <v>0.25</v>
      </c>
      <c r="G234" s="29">
        <f>G233*F234</f>
        <v>15.25</v>
      </c>
      <c r="H234" s="270" t="e">
        <f>H233-G233</f>
        <v>#REF!</v>
      </c>
      <c r="M234" s="27" t="str">
        <f>'Obrazac kalkulacije'!$E$19</f>
        <v>PDV:</v>
      </c>
      <c r="N234" s="248">
        <f>'Obrazac kalkulacije'!$F$19</f>
        <v>0.25</v>
      </c>
      <c r="O234" s="29">
        <f>O233*N234</f>
        <v>10.8125</v>
      </c>
    </row>
    <row r="235" spans="1:15" ht="25.15" customHeight="1" thickTop="1" thickBot="1">
      <c r="E235" s="840" t="str">
        <f>'Obrazac kalkulacije'!$E$20</f>
        <v>Sveukupno (kn):</v>
      </c>
      <c r="F235" s="840"/>
      <c r="G235" s="29">
        <f>ROUND(SUM(G233:G234),2)</f>
        <v>76.25</v>
      </c>
      <c r="H235" s="271" t="e">
        <f>G225+H234</f>
        <v>#REF!</v>
      </c>
      <c r="M235" s="840" t="str">
        <f>'Obrazac kalkulacije'!$E$20</f>
        <v>Sveukupno (kn):</v>
      </c>
      <c r="N235" s="840"/>
      <c r="O235" s="29">
        <f>ROUND(SUM(O233:O234),2)</f>
        <v>54.06</v>
      </c>
    </row>
    <row r="236" spans="1:15" ht="15" customHeight="1" thickTop="1"/>
    <row r="237" spans="1:15" ht="15" customHeight="1"/>
    <row r="238" spans="1:15" ht="15" customHeight="1"/>
    <row r="239" spans="1:15" ht="15" customHeight="1">
      <c r="C239" s="3" t="str">
        <f>'Obrazac kalkulacije'!$C$24</f>
        <v>IZVODITELJ:</v>
      </c>
      <c r="F239" s="841" t="str">
        <f>'Obrazac kalkulacije'!$F$24</f>
        <v>NARUČITELJ:</v>
      </c>
      <c r="G239" s="841"/>
      <c r="K239" s="3" t="str">
        <f>'Obrazac kalkulacije'!$C$24</f>
        <v>IZVODITELJ:</v>
      </c>
      <c r="N239" s="841" t="str">
        <f>'Obrazac kalkulacije'!$F$24</f>
        <v>NARUČITELJ:</v>
      </c>
      <c r="O239" s="841"/>
    </row>
    <row r="240" spans="1:15" ht="25.15" customHeight="1">
      <c r="C240" s="3" t="str">
        <f>'Obrazac kalkulacije'!$C$25</f>
        <v>__________________</v>
      </c>
      <c r="F240" s="841" t="str">
        <f>'Obrazac kalkulacije'!$F$25</f>
        <v>___________________</v>
      </c>
      <c r="G240" s="841"/>
      <c r="K240" s="3" t="str">
        <f>'Obrazac kalkulacije'!$C$25</f>
        <v>__________________</v>
      </c>
      <c r="N240" s="841" t="str">
        <f>'Obrazac kalkulacije'!$F$25</f>
        <v>___________________</v>
      </c>
      <c r="O240" s="841"/>
    </row>
    <row r="241" spans="1:15" ht="15" customHeight="1">
      <c r="F241" s="841"/>
      <c r="G241" s="841"/>
      <c r="N241" s="841"/>
      <c r="O241" s="841"/>
    </row>
    <row r="242" spans="1:15" ht="15" customHeight="1"/>
    <row r="243" spans="1:15" ht="15" customHeight="1">
      <c r="A243" s="144"/>
      <c r="B243" s="145" t="s">
        <v>23</v>
      </c>
      <c r="C243" s="836" t="s">
        <v>178</v>
      </c>
      <c r="D243" s="836"/>
      <c r="E243" s="836"/>
      <c r="F243" s="836"/>
      <c r="G243" s="836"/>
      <c r="I243" s="144"/>
      <c r="J243" s="145" t="s">
        <v>23</v>
      </c>
      <c r="K243" s="836" t="s">
        <v>178</v>
      </c>
      <c r="L243" s="836"/>
      <c r="M243" s="836"/>
      <c r="N243" s="836"/>
      <c r="O243" s="836"/>
    </row>
    <row r="244" spans="1:15" ht="150" customHeight="1">
      <c r="A244" s="40"/>
      <c r="B244" s="556" t="s">
        <v>211</v>
      </c>
      <c r="C244" s="852" t="s">
        <v>212</v>
      </c>
      <c r="D244" s="852"/>
      <c r="E244" s="852"/>
      <c r="F244" s="852"/>
      <c r="G244" s="852"/>
      <c r="I244" s="40"/>
      <c r="J244" s="41" t="s">
        <v>211</v>
      </c>
      <c r="K244" s="869" t="s">
        <v>213</v>
      </c>
      <c r="L244" s="869"/>
      <c r="M244" s="869"/>
      <c r="N244" s="869"/>
      <c r="O244" s="869"/>
    </row>
    <row r="245" spans="1:15" ht="15" customHeight="1" thickBot="1"/>
    <row r="246" spans="1:15" ht="30" customHeight="1" thickTop="1" thickBot="1">
      <c r="A246" s="10"/>
      <c r="B246" s="835" t="str">
        <f>'Obrazac kalkulacije'!$B$6:$C$6</f>
        <v>Opis</v>
      </c>
      <c r="C246" s="835"/>
      <c r="D246" s="10" t="str">
        <f>'Obrazac kalkulacije'!$D$6</f>
        <v>Jed.
mjere</v>
      </c>
      <c r="E246" s="10" t="str">
        <f>'Obrazac kalkulacije'!$E$6</f>
        <v>Normativ</v>
      </c>
      <c r="F246" s="10" t="str">
        <f>'Obrazac kalkulacije'!$F$6</f>
        <v>Jed.
cijena</v>
      </c>
      <c r="G246" s="10" t="str">
        <f>'Obrazac kalkulacije'!$G$6</f>
        <v>Iznos</v>
      </c>
      <c r="I246" s="10"/>
      <c r="J246" s="835" t="e">
        <f>'Obrazac kalkulacije'!$B$6:$C$6</f>
        <v>#VALUE!</v>
      </c>
      <c r="K246" s="835"/>
      <c r="L246" s="10" t="str">
        <f>'Obrazac kalkulacije'!$D$6</f>
        <v>Jed.
mjere</v>
      </c>
      <c r="M246" s="10" t="str">
        <f>'Obrazac kalkulacije'!$E$6</f>
        <v>Normativ</v>
      </c>
      <c r="N246" s="10" t="str">
        <f>'Obrazac kalkulacije'!$F$6</f>
        <v>Jed.
cijena</v>
      </c>
      <c r="O246" s="10" t="str">
        <f>'Obrazac kalkulacije'!$G$6</f>
        <v>Iznos</v>
      </c>
    </row>
    <row r="247" spans="1:15" ht="4.5" customHeight="1" thickTop="1">
      <c r="B247" s="42"/>
      <c r="C247" s="1"/>
      <c r="D247" s="11"/>
      <c r="E247" s="13"/>
      <c r="F247" s="245"/>
      <c r="G247" s="15"/>
      <c r="J247" s="42"/>
      <c r="K247" s="1"/>
      <c r="L247" s="11"/>
      <c r="M247" s="13"/>
      <c r="N247" s="245"/>
      <c r="O247" s="15"/>
    </row>
    <row r="248" spans="1:15" ht="25.15" customHeight="1">
      <c r="A248" s="16"/>
      <c r="B248" s="837" t="str">
        <f>'Obrazac kalkulacije'!$B$8</f>
        <v>Radna snaga:</v>
      </c>
      <c r="C248" s="837"/>
      <c r="D248" s="16"/>
      <c r="E248" s="16"/>
      <c r="F248" s="246"/>
      <c r="G248" s="18">
        <f>SUM(G249:G249)</f>
        <v>0</v>
      </c>
      <c r="I248" s="16"/>
      <c r="J248" s="837" t="str">
        <f>'Obrazac kalkulacije'!$B$8</f>
        <v>Radna snaga:</v>
      </c>
      <c r="K248" s="837"/>
      <c r="L248" s="16"/>
      <c r="M248" s="16"/>
      <c r="N248" s="246"/>
      <c r="O248" s="18">
        <f>SUM(O249:O249)</f>
        <v>0</v>
      </c>
    </row>
    <row r="249" spans="1:15" ht="25.15" customHeight="1">
      <c r="A249" s="32"/>
      <c r="B249" s="854" t="s">
        <v>103</v>
      </c>
      <c r="C249" s="854"/>
      <c r="D249" s="33" t="s">
        <v>51</v>
      </c>
      <c r="E249" s="34">
        <v>0.13839299999999999</v>
      </c>
      <c r="F249" s="243">
        <f>SUMIF('Cjenik RS'!$C$11:$C$26,$B249,'Cjenik RS'!$D$11:$D$90)</f>
        <v>0</v>
      </c>
      <c r="G249" s="35">
        <f>E249*F249</f>
        <v>0</v>
      </c>
      <c r="I249" s="32"/>
      <c r="J249" s="854" t="s">
        <v>103</v>
      </c>
      <c r="K249" s="854"/>
      <c r="L249" s="33" t="s">
        <v>51</v>
      </c>
      <c r="M249" s="34">
        <v>0.13839299999999999</v>
      </c>
      <c r="N249" s="243">
        <f>SUMIF('Cjenik RS'!$C$11:$C$26,$B249,'Cjenik RS'!$D$11:$D$90)</f>
        <v>0</v>
      </c>
      <c r="O249" s="35">
        <f>M249*N249</f>
        <v>0</v>
      </c>
    </row>
    <row r="250" spans="1:15" ht="25.15" customHeight="1">
      <c r="A250" s="16"/>
      <c r="B250" s="837" t="str">
        <f>'Obrazac kalkulacije'!$B$11</f>
        <v>Vozila, strojevi i oprema:</v>
      </c>
      <c r="C250" s="837"/>
      <c r="D250" s="16"/>
      <c r="E250" s="16">
        <f>'Obrazac kalkulacije'!$E$11</f>
        <v>0</v>
      </c>
      <c r="F250" s="243"/>
      <c r="G250" s="18">
        <f>SUM(G251:G255)</f>
        <v>24.779204276235831</v>
      </c>
      <c r="I250" s="16"/>
      <c r="J250" s="837" t="str">
        <f>'Obrazac kalkulacije'!$B$11</f>
        <v>Vozila, strojevi i oprema:</v>
      </c>
      <c r="K250" s="837"/>
      <c r="L250" s="16"/>
      <c r="M250" s="16">
        <f>'Obrazac kalkulacije'!$E$11</f>
        <v>0</v>
      </c>
      <c r="N250" s="243"/>
      <c r="O250" s="18">
        <f>SUM(O251:O255)</f>
        <v>26.24948397</v>
      </c>
    </row>
    <row r="251" spans="1:15" ht="25.15" customHeight="1">
      <c r="A251" s="51"/>
      <c r="B251" s="863" t="s">
        <v>69</v>
      </c>
      <c r="C251" s="863"/>
      <c r="D251" s="52" t="s">
        <v>51</v>
      </c>
      <c r="E251" s="53">
        <v>4.4640000000000001E-3</v>
      </c>
      <c r="F251" s="240">
        <f>SUMIF('Cjenik VSO'!$B$9:$B$85,$B251,'Cjenik VSO'!$C$9:$C$85)</f>
        <v>179.6</v>
      </c>
      <c r="G251" s="55">
        <f>E251*F251</f>
        <v>0.80173439999999996</v>
      </c>
      <c r="I251" s="51"/>
      <c r="J251" s="863" t="s">
        <v>69</v>
      </c>
      <c r="K251" s="863"/>
      <c r="L251" s="52" t="s">
        <v>51</v>
      </c>
      <c r="M251" s="53">
        <v>4.4640000000000001E-3</v>
      </c>
      <c r="N251" s="240">
        <f>SUMIF('Cjenik VSO'!$B$9:$B$85,$B251,'Cjenik VSO'!$C$9:$C$85)</f>
        <v>179.6</v>
      </c>
      <c r="O251" s="55">
        <f>M251*N251</f>
        <v>0.80173439999999996</v>
      </c>
    </row>
    <row r="252" spans="1:15" ht="25.15" customHeight="1">
      <c r="A252" s="56"/>
      <c r="B252" s="834" t="s">
        <v>172</v>
      </c>
      <c r="C252" s="834"/>
      <c r="D252" s="57" t="s">
        <v>51</v>
      </c>
      <c r="E252" s="58">
        <v>1.933250404863051E-2</v>
      </c>
      <c r="F252" s="241">
        <f>SUMIF('Cjenik VSO'!$B$9:$B$85,$B252,'Cjenik VSO'!$C$9:$C$85)</f>
        <v>447.37</v>
      </c>
      <c r="G252" s="60">
        <f>E252*F252</f>
        <v>8.6487823362358309</v>
      </c>
      <c r="I252" s="56"/>
      <c r="J252" s="834" t="s">
        <v>172</v>
      </c>
      <c r="K252" s="834"/>
      <c r="L252" s="57" t="s">
        <v>51</v>
      </c>
      <c r="M252" s="58">
        <v>2.2619E-2</v>
      </c>
      <c r="N252" s="241">
        <f>SUMIF('Cjenik VSO'!$B$9:$B$85,$B252,'Cjenik VSO'!$C$9:$C$85)</f>
        <v>447.37</v>
      </c>
      <c r="O252" s="60">
        <f>M252*N252</f>
        <v>10.11906203</v>
      </c>
    </row>
    <row r="253" spans="1:15" ht="25.15" customHeight="1">
      <c r="A253" s="56"/>
      <c r="B253" s="834" t="s">
        <v>97</v>
      </c>
      <c r="C253" s="834"/>
      <c r="D253" s="57" t="s">
        <v>51</v>
      </c>
      <c r="E253" s="58">
        <v>3.0952E-2</v>
      </c>
      <c r="F253" s="241">
        <f>SUMIF('Cjenik VSO'!$B$9:$B$85,$B253,'Cjenik VSO'!$C$9:$C$85)</f>
        <v>279.37</v>
      </c>
      <c r="G253" s="60">
        <f>E253*F253</f>
        <v>8.6470602400000001</v>
      </c>
      <c r="I253" s="56"/>
      <c r="J253" s="834" t="s">
        <v>97</v>
      </c>
      <c r="K253" s="834"/>
      <c r="L253" s="57" t="s">
        <v>51</v>
      </c>
      <c r="M253" s="58">
        <v>3.0952E-2</v>
      </c>
      <c r="N253" s="241">
        <f>SUMIF('Cjenik VSO'!$B$9:$B$85,$B253,'Cjenik VSO'!$C$9:$C$85)</f>
        <v>279.37</v>
      </c>
      <c r="O253" s="60">
        <f>M253*N253</f>
        <v>8.6470602400000001</v>
      </c>
    </row>
    <row r="254" spans="1:15" ht="25.15" customHeight="1">
      <c r="A254" s="56"/>
      <c r="B254" s="834" t="s">
        <v>182</v>
      </c>
      <c r="C254" s="834"/>
      <c r="D254" s="57" t="s">
        <v>51</v>
      </c>
      <c r="E254" s="58">
        <v>4.3006000000000003E-2</v>
      </c>
      <c r="F254" s="241">
        <f>SUMIF('Cjenik VSO'!$B$9:$B$85,$B254,'Cjenik VSO'!$C$9:$C$85)</f>
        <v>151.94999999999999</v>
      </c>
      <c r="G254" s="60">
        <f>E254*F254</f>
        <v>6.5347616999999998</v>
      </c>
      <c r="I254" s="56"/>
      <c r="J254" s="834" t="s">
        <v>182</v>
      </c>
      <c r="K254" s="834"/>
      <c r="L254" s="57" t="s">
        <v>51</v>
      </c>
      <c r="M254" s="58">
        <v>4.3006000000000003E-2</v>
      </c>
      <c r="N254" s="241">
        <f>SUMIF('Cjenik VSO'!$B$9:$B$85,$B254,'Cjenik VSO'!$C$9:$C$85)</f>
        <v>151.94999999999999</v>
      </c>
      <c r="O254" s="60">
        <f>M254*N254</f>
        <v>6.5347616999999998</v>
      </c>
    </row>
    <row r="255" spans="1:15" ht="25.15" customHeight="1">
      <c r="A255" s="61"/>
      <c r="B255" s="864" t="s">
        <v>183</v>
      </c>
      <c r="C255" s="864"/>
      <c r="D255" s="62" t="s">
        <v>51</v>
      </c>
      <c r="E255" s="63">
        <v>4.4640000000000001E-3</v>
      </c>
      <c r="F255" s="242">
        <f>SUMIF('Cjenik VSO'!$B$9:$B$85,$B255,'Cjenik VSO'!$C$9:$C$85)</f>
        <v>32.9</v>
      </c>
      <c r="G255" s="65">
        <f>E255*F255</f>
        <v>0.14686559999999999</v>
      </c>
      <c r="I255" s="61"/>
      <c r="J255" s="864" t="s">
        <v>183</v>
      </c>
      <c r="K255" s="864"/>
      <c r="L255" s="62" t="s">
        <v>51</v>
      </c>
      <c r="M255" s="63">
        <v>4.4640000000000001E-3</v>
      </c>
      <c r="N255" s="242">
        <f>SUMIF('Cjenik VSO'!$B$9:$B$85,$B255,'Cjenik VSO'!$C$9:$C$85)</f>
        <v>32.9</v>
      </c>
      <c r="O255" s="65">
        <f>M255*N255</f>
        <v>0.14686559999999999</v>
      </c>
    </row>
    <row r="256" spans="1:15" ht="25.15" customHeight="1">
      <c r="A256" s="16"/>
      <c r="B256" s="837" t="str">
        <f>'Obrazac kalkulacije'!$B$15</f>
        <v>Materijali:</v>
      </c>
      <c r="C256" s="837"/>
      <c r="D256" s="16"/>
      <c r="E256" s="16"/>
      <c r="F256" s="243"/>
      <c r="G256" s="18">
        <f>SUM(G257:G257)</f>
        <v>0</v>
      </c>
      <c r="I256" s="16"/>
      <c r="J256" s="837" t="str">
        <f>'Obrazac kalkulacije'!$B$15</f>
        <v>Materijali:</v>
      </c>
      <c r="K256" s="837"/>
      <c r="L256" s="16"/>
      <c r="M256" s="16"/>
      <c r="N256" s="243"/>
      <c r="O256" s="18">
        <f>SUM(O257:O257)</f>
        <v>0</v>
      </c>
    </row>
    <row r="257" spans="1:15" ht="25.15" customHeight="1" thickBot="1">
      <c r="A257" s="43"/>
      <c r="B257" s="865">
        <f>'Cjenik M'!$B$28</f>
        <v>0</v>
      </c>
      <c r="C257" s="865"/>
      <c r="D257" s="44">
        <f>'Cjenik M'!$C$28</f>
        <v>0</v>
      </c>
      <c r="E257" s="45">
        <v>1</v>
      </c>
      <c r="F257" s="243">
        <f>'Cjenik M'!$D$28</f>
        <v>0</v>
      </c>
      <c r="G257" s="46">
        <f>E257*F257</f>
        <v>0</v>
      </c>
      <c r="I257" s="43"/>
      <c r="J257" s="865">
        <f>'Cjenik M'!$B$28</f>
        <v>0</v>
      </c>
      <c r="K257" s="865"/>
      <c r="L257" s="44">
        <f>'Cjenik M'!$C$28</f>
        <v>0</v>
      </c>
      <c r="M257" s="45">
        <v>1</v>
      </c>
      <c r="N257" s="243">
        <f>'Cjenik M'!$D$28</f>
        <v>0</v>
      </c>
      <c r="O257" s="46">
        <f>M257*N257</f>
        <v>0</v>
      </c>
    </row>
    <row r="258" spans="1:15" ht="25.15" customHeight="1" thickTop="1" thickBot="1">
      <c r="B258" s="47"/>
      <c r="C258" s="24"/>
      <c r="D258" s="25"/>
      <c r="E258" s="850" t="str">
        <f>'Obrazac kalkulacije'!$E$18</f>
        <v>Ukupno (kn):</v>
      </c>
      <c r="F258" s="850"/>
      <c r="G258" s="26">
        <f>ROUND(SUM(G248+G250+G256),2)</f>
        <v>24.78</v>
      </c>
      <c r="H258" s="269" t="e">
        <f>SUMIF(#REF!,$B244,#REF!)</f>
        <v>#REF!</v>
      </c>
      <c r="J258" s="47"/>
      <c r="K258" s="24"/>
      <c r="L258" s="25"/>
      <c r="M258" s="850" t="str">
        <f>'Obrazac kalkulacije'!$E$18</f>
        <v>Ukupno (kn):</v>
      </c>
      <c r="N258" s="850"/>
      <c r="O258" s="26">
        <f>ROUND(SUM(O248+O250+O256),2)</f>
        <v>26.25</v>
      </c>
    </row>
    <row r="259" spans="1:15" ht="25.15" customHeight="1" thickTop="1" thickBot="1">
      <c r="E259" s="27" t="str">
        <f>'Obrazac kalkulacije'!$E$19</f>
        <v>PDV:</v>
      </c>
      <c r="F259" s="248">
        <f>'Obrazac kalkulacije'!$F$19</f>
        <v>0.25</v>
      </c>
      <c r="G259" s="29">
        <f>G258*F259</f>
        <v>6.1950000000000003</v>
      </c>
      <c r="H259" s="270" t="e">
        <f>H258-G258</f>
        <v>#REF!</v>
      </c>
      <c r="M259" s="27" t="str">
        <f>'Obrazac kalkulacije'!$E$19</f>
        <v>PDV:</v>
      </c>
      <c r="N259" s="248">
        <f>'Obrazac kalkulacije'!$F$19</f>
        <v>0.25</v>
      </c>
      <c r="O259" s="29">
        <f>O258*N259</f>
        <v>6.5625</v>
      </c>
    </row>
    <row r="260" spans="1:15" ht="25.15" customHeight="1" thickTop="1" thickBot="1">
      <c r="E260" s="840" t="str">
        <f>'Obrazac kalkulacije'!$E$20</f>
        <v>Sveukupno (kn):</v>
      </c>
      <c r="F260" s="840"/>
      <c r="G260" s="29">
        <f>ROUND(SUM(G258:G259),2)</f>
        <v>30.98</v>
      </c>
      <c r="H260" s="271" t="e">
        <f>G252+H259</f>
        <v>#REF!</v>
      </c>
      <c r="M260" s="840" t="str">
        <f>'Obrazac kalkulacije'!$E$20</f>
        <v>Sveukupno (kn):</v>
      </c>
      <c r="N260" s="840"/>
      <c r="O260" s="29">
        <f>ROUND(SUM(O258:O259),2)</f>
        <v>32.81</v>
      </c>
    </row>
    <row r="261" spans="1:15" ht="15" customHeight="1" thickTop="1"/>
    <row r="262" spans="1:15" ht="15" customHeight="1"/>
    <row r="263" spans="1:15" ht="15" customHeight="1"/>
    <row r="264" spans="1:15" ht="15" customHeight="1">
      <c r="C264" s="3" t="str">
        <f>'Obrazac kalkulacije'!$C$24</f>
        <v>IZVODITELJ:</v>
      </c>
      <c r="F264" s="841" t="str">
        <f>'Obrazac kalkulacije'!$F$24</f>
        <v>NARUČITELJ:</v>
      </c>
      <c r="G264" s="841"/>
      <c r="K264" s="3" t="str">
        <f>'Obrazac kalkulacije'!$C$24</f>
        <v>IZVODITELJ:</v>
      </c>
      <c r="N264" s="841" t="str">
        <f>'Obrazac kalkulacije'!$F$24</f>
        <v>NARUČITELJ:</v>
      </c>
      <c r="O264" s="841"/>
    </row>
    <row r="265" spans="1:15" ht="25.15" customHeight="1">
      <c r="C265" s="3" t="str">
        <f>'Obrazac kalkulacije'!$C$25</f>
        <v>__________________</v>
      </c>
      <c r="F265" s="841" t="str">
        <f>'Obrazac kalkulacije'!$F$25</f>
        <v>___________________</v>
      </c>
      <c r="G265" s="841"/>
      <c r="K265" s="3" t="str">
        <f>'Obrazac kalkulacije'!$C$25</f>
        <v>__________________</v>
      </c>
      <c r="N265" s="841" t="str">
        <f>'Obrazac kalkulacije'!$F$25</f>
        <v>___________________</v>
      </c>
      <c r="O265" s="841"/>
    </row>
    <row r="266" spans="1:15" ht="15" customHeight="1">
      <c r="F266" s="841"/>
      <c r="G266" s="841"/>
      <c r="N266" s="841"/>
      <c r="O266" s="841"/>
    </row>
    <row r="267" spans="1:15" ht="15" customHeight="1"/>
    <row r="268" spans="1:15" ht="15" customHeight="1">
      <c r="A268" s="144"/>
      <c r="B268" s="145" t="s">
        <v>23</v>
      </c>
      <c r="C268" s="836" t="s">
        <v>178</v>
      </c>
      <c r="D268" s="836"/>
      <c r="E268" s="836"/>
      <c r="F268" s="836"/>
      <c r="G268" s="836"/>
      <c r="I268" s="144"/>
      <c r="J268" s="145" t="s">
        <v>23</v>
      </c>
      <c r="K268" s="836" t="s">
        <v>178</v>
      </c>
      <c r="L268" s="836"/>
      <c r="M268" s="836"/>
      <c r="N268" s="836"/>
      <c r="O268" s="836"/>
    </row>
    <row r="269" spans="1:15" ht="150" customHeight="1">
      <c r="A269" s="40"/>
      <c r="B269" s="556" t="s">
        <v>214</v>
      </c>
      <c r="C269" s="852" t="s">
        <v>215</v>
      </c>
      <c r="D269" s="852"/>
      <c r="E269" s="852"/>
      <c r="F269" s="852"/>
      <c r="G269" s="852"/>
      <c r="I269" s="40"/>
      <c r="J269" s="41" t="s">
        <v>214</v>
      </c>
      <c r="K269" s="869" t="s">
        <v>216</v>
      </c>
      <c r="L269" s="869"/>
      <c r="M269" s="869"/>
      <c r="N269" s="869"/>
      <c r="O269" s="869"/>
    </row>
    <row r="270" spans="1:15" ht="15" customHeight="1" thickBot="1"/>
    <row r="271" spans="1:15" ht="30" customHeight="1" thickTop="1" thickBot="1">
      <c r="A271" s="10"/>
      <c r="B271" s="835" t="str">
        <f>'Obrazac kalkulacije'!$B$6:$C$6</f>
        <v>Opis</v>
      </c>
      <c r="C271" s="835"/>
      <c r="D271" s="10" t="str">
        <f>'Obrazac kalkulacije'!$D$6</f>
        <v>Jed.
mjere</v>
      </c>
      <c r="E271" s="10" t="str">
        <f>'Obrazac kalkulacije'!$E$6</f>
        <v>Normativ</v>
      </c>
      <c r="F271" s="10" t="str">
        <f>'Obrazac kalkulacije'!$F$6</f>
        <v>Jed.
cijena</v>
      </c>
      <c r="G271" s="10" t="str">
        <f>'Obrazac kalkulacije'!$G$6</f>
        <v>Iznos</v>
      </c>
      <c r="I271" s="10"/>
      <c r="J271" s="835" t="e">
        <f>'Obrazac kalkulacije'!$B$6:$C$6</f>
        <v>#VALUE!</v>
      </c>
      <c r="K271" s="835"/>
      <c r="L271" s="10" t="str">
        <f>'Obrazac kalkulacije'!$D$6</f>
        <v>Jed.
mjere</v>
      </c>
      <c r="M271" s="10" t="str">
        <f>'Obrazac kalkulacije'!$E$6</f>
        <v>Normativ</v>
      </c>
      <c r="N271" s="10" t="str">
        <f>'Obrazac kalkulacije'!$F$6</f>
        <v>Jed.
cijena</v>
      </c>
      <c r="O271" s="10" t="str">
        <f>'Obrazac kalkulacije'!$G$6</f>
        <v>Iznos</v>
      </c>
    </row>
    <row r="272" spans="1:15" ht="4.5" customHeight="1" thickTop="1">
      <c r="B272" s="42"/>
      <c r="C272" s="1"/>
      <c r="D272" s="11"/>
      <c r="E272" s="13"/>
      <c r="F272" s="245"/>
      <c r="G272" s="15"/>
      <c r="J272" s="42"/>
      <c r="K272" s="1"/>
      <c r="L272" s="11"/>
      <c r="M272" s="13"/>
      <c r="N272" s="245"/>
      <c r="O272" s="15"/>
    </row>
    <row r="273" spans="1:15" ht="25.15" customHeight="1">
      <c r="A273" s="16"/>
      <c r="B273" s="837" t="str">
        <f>'Obrazac kalkulacije'!$B$8</f>
        <v>Radna snaga:</v>
      </c>
      <c r="C273" s="837"/>
      <c r="D273" s="16"/>
      <c r="E273" s="16"/>
      <c r="F273" s="246"/>
      <c r="G273" s="18">
        <f>SUM(G274:G274)</f>
        <v>0</v>
      </c>
      <c r="I273" s="16"/>
      <c r="J273" s="837" t="str">
        <f>'Obrazac kalkulacije'!$B$8</f>
        <v>Radna snaga:</v>
      </c>
      <c r="K273" s="837"/>
      <c r="L273" s="16"/>
      <c r="M273" s="16"/>
      <c r="N273" s="246"/>
      <c r="O273" s="18">
        <f>SUM(O274:O274)</f>
        <v>0</v>
      </c>
    </row>
    <row r="274" spans="1:15" ht="25.15" customHeight="1">
      <c r="A274" s="32"/>
      <c r="B274" s="854" t="s">
        <v>103</v>
      </c>
      <c r="C274" s="854"/>
      <c r="D274" s="33" t="s">
        <v>51</v>
      </c>
      <c r="E274" s="34">
        <v>7.3563000000000003E-2</v>
      </c>
      <c r="F274" s="243">
        <f>SUMIF('Cjenik RS'!$C$11:$C$26,$B274,'Cjenik RS'!$D$11:$D$90)</f>
        <v>0</v>
      </c>
      <c r="G274" s="35">
        <f>E274*F274</f>
        <v>0</v>
      </c>
      <c r="I274" s="32"/>
      <c r="J274" s="854" t="s">
        <v>103</v>
      </c>
      <c r="K274" s="854"/>
      <c r="L274" s="33" t="s">
        <v>51</v>
      </c>
      <c r="M274" s="34">
        <v>7.3563000000000003E-2</v>
      </c>
      <c r="N274" s="243">
        <f>SUMIF('Cjenik RS'!$C$11:$C$26,$B274,'Cjenik RS'!$D$11:$D$90)</f>
        <v>0</v>
      </c>
      <c r="O274" s="35">
        <f>M274*N274</f>
        <v>0</v>
      </c>
    </row>
    <row r="275" spans="1:15" ht="25.15" customHeight="1">
      <c r="A275" s="16"/>
      <c r="B275" s="837" t="str">
        <f>'Obrazac kalkulacije'!$B$11</f>
        <v>Vozila, strojevi i oprema:</v>
      </c>
      <c r="C275" s="837"/>
      <c r="D275" s="16"/>
      <c r="E275" s="16">
        <f>'Obrazac kalkulacije'!$E$11</f>
        <v>0</v>
      </c>
      <c r="F275" s="243"/>
      <c r="G275" s="18">
        <f>SUM(G276:G278)</f>
        <v>30.38528013555359</v>
      </c>
      <c r="I275" s="16"/>
      <c r="J275" s="837" t="str">
        <f>'Obrazac kalkulacije'!$B$11</f>
        <v>Vozila, strojevi i oprema:</v>
      </c>
      <c r="K275" s="837"/>
      <c r="L275" s="16"/>
      <c r="M275" s="16">
        <f>'Obrazac kalkulacije'!$E$11</f>
        <v>0</v>
      </c>
      <c r="N275" s="243"/>
      <c r="O275" s="18">
        <f>SUM(O276:O278)</f>
        <v>30.826234359999997</v>
      </c>
    </row>
    <row r="276" spans="1:15" ht="25.15" customHeight="1">
      <c r="A276" s="51"/>
      <c r="B276" s="863" t="s">
        <v>217</v>
      </c>
      <c r="C276" s="863"/>
      <c r="D276" s="52" t="s">
        <v>51</v>
      </c>
      <c r="E276" s="53">
        <v>3.4368000000000003E-2</v>
      </c>
      <c r="F276" s="240">
        <f>SUMIF('Cjenik VSO'!$B$9:$B$85,$B276,'Cjenik VSO'!$C$9:$C$85)</f>
        <v>367.61</v>
      </c>
      <c r="G276" s="55">
        <f>E276*F276</f>
        <v>12.634020480000002</v>
      </c>
      <c r="I276" s="51"/>
      <c r="J276" s="863" t="s">
        <v>217</v>
      </c>
      <c r="K276" s="863"/>
      <c r="L276" s="52" t="s">
        <v>51</v>
      </c>
      <c r="M276" s="53">
        <v>3.4368000000000003E-2</v>
      </c>
      <c r="N276" s="240">
        <f>SUMIF('Cjenik VSO'!$B$9:$B$85,$B276,'Cjenik VSO'!$C$9:$C$85)</f>
        <v>367.61</v>
      </c>
      <c r="O276" s="55">
        <f>M276*N276</f>
        <v>12.634020480000002</v>
      </c>
    </row>
    <row r="277" spans="1:15" ht="25.15" customHeight="1">
      <c r="A277" s="56"/>
      <c r="B277" s="834" t="s">
        <v>74</v>
      </c>
      <c r="C277" s="834"/>
      <c r="D277" s="57" t="s">
        <v>51</v>
      </c>
      <c r="E277" s="58">
        <v>4.8875110717449086E-2</v>
      </c>
      <c r="F277" s="241">
        <f>SUMIF('Cjenik VSO'!$B$9:$B$85,$B277,'Cjenik VSO'!$C$9:$C$85)</f>
        <v>355.64</v>
      </c>
      <c r="G277" s="60">
        <f>E277*F277</f>
        <v>17.381944375553591</v>
      </c>
      <c r="I277" s="56"/>
      <c r="J277" s="834" t="s">
        <v>74</v>
      </c>
      <c r="K277" s="834"/>
      <c r="L277" s="57" t="s">
        <v>51</v>
      </c>
      <c r="M277" s="58">
        <v>5.0115E-2</v>
      </c>
      <c r="N277" s="241">
        <f>SUMIF('Cjenik VSO'!$B$9:$B$85,$B277,'Cjenik VSO'!$C$9:$C$85)</f>
        <v>355.64</v>
      </c>
      <c r="O277" s="60">
        <f>M277*N277</f>
        <v>17.822898599999998</v>
      </c>
    </row>
    <row r="278" spans="1:15" ht="25.15" customHeight="1" thickBot="1">
      <c r="A278" s="66"/>
      <c r="B278" s="864" t="s">
        <v>81</v>
      </c>
      <c r="C278" s="864"/>
      <c r="D278" s="62" t="s">
        <v>51</v>
      </c>
      <c r="E278" s="63">
        <v>3.4480000000000001E-3</v>
      </c>
      <c r="F278" s="242">
        <f>SUMIF('Cjenik VSO'!$B$9:$B$85,$B278,'Cjenik VSO'!$C$9:$C$85)</f>
        <v>107.11</v>
      </c>
      <c r="G278" s="65">
        <f>E278*F278</f>
        <v>0.36931528000000002</v>
      </c>
      <c r="I278" s="66"/>
      <c r="J278" s="864" t="s">
        <v>81</v>
      </c>
      <c r="K278" s="864"/>
      <c r="L278" s="62" t="s">
        <v>51</v>
      </c>
      <c r="M278" s="63">
        <v>3.4480000000000001E-3</v>
      </c>
      <c r="N278" s="242">
        <f>SUMIF('Cjenik VSO'!$B$9:$B$85,$B278,'Cjenik VSO'!$C$9:$C$85)</f>
        <v>107.11</v>
      </c>
      <c r="O278" s="65">
        <f>M278*N278</f>
        <v>0.36931528000000002</v>
      </c>
    </row>
    <row r="279" spans="1:15" ht="25.15" customHeight="1" thickTop="1" thickBot="1">
      <c r="B279" s="47"/>
      <c r="C279" s="24"/>
      <c r="D279" s="25"/>
      <c r="E279" s="850" t="str">
        <f>'Obrazac kalkulacije'!$E$18</f>
        <v>Ukupno (kn):</v>
      </c>
      <c r="F279" s="850"/>
      <c r="G279" s="26">
        <f>ROUND(SUM(G273+G275),2)</f>
        <v>30.39</v>
      </c>
      <c r="H279" s="269" t="e">
        <f>SUMIF(#REF!,$B269,#REF!)</f>
        <v>#REF!</v>
      </c>
      <c r="J279" s="47"/>
      <c r="K279" s="24"/>
      <c r="L279" s="25"/>
      <c r="M279" s="850" t="str">
        <f>'Obrazac kalkulacije'!$E$18</f>
        <v>Ukupno (kn):</v>
      </c>
      <c r="N279" s="850"/>
      <c r="O279" s="26">
        <f>ROUND(SUM(O273+O275),2)</f>
        <v>30.83</v>
      </c>
    </row>
    <row r="280" spans="1:15" ht="25.15" customHeight="1" thickTop="1" thickBot="1">
      <c r="E280" s="27" t="str">
        <f>'Obrazac kalkulacije'!$E$19</f>
        <v>PDV:</v>
      </c>
      <c r="F280" s="248">
        <f>'Obrazac kalkulacije'!$F$19</f>
        <v>0.25</v>
      </c>
      <c r="G280" s="29">
        <f>G279*F280</f>
        <v>7.5975000000000001</v>
      </c>
      <c r="H280" s="270" t="e">
        <f>H279-G279</f>
        <v>#REF!</v>
      </c>
      <c r="M280" s="27" t="str">
        <f>'Obrazac kalkulacije'!$E$19</f>
        <v>PDV:</v>
      </c>
      <c r="N280" s="248">
        <f>'Obrazac kalkulacije'!$F$19</f>
        <v>0.25</v>
      </c>
      <c r="O280" s="29">
        <f>O279*N280</f>
        <v>7.7074999999999996</v>
      </c>
    </row>
    <row r="281" spans="1:15" ht="25.15" customHeight="1" thickTop="1" thickBot="1">
      <c r="E281" s="840" t="str">
        <f>'Obrazac kalkulacije'!$E$20</f>
        <v>Sveukupno (kn):</v>
      </c>
      <c r="F281" s="840"/>
      <c r="G281" s="29">
        <f>ROUND(SUM(G279:G280),2)</f>
        <v>37.99</v>
      </c>
      <c r="H281" s="271" t="e">
        <f>G277+H280</f>
        <v>#REF!</v>
      </c>
      <c r="M281" s="840" t="str">
        <f>'Obrazac kalkulacije'!$E$20</f>
        <v>Sveukupno (kn):</v>
      </c>
      <c r="N281" s="840"/>
      <c r="O281" s="29">
        <f>ROUND(SUM(O279:O280),2)</f>
        <v>38.54</v>
      </c>
    </row>
    <row r="282" spans="1:15" ht="15" customHeight="1" thickTop="1"/>
    <row r="283" spans="1:15" ht="15" customHeight="1"/>
    <row r="284" spans="1:15" ht="15" customHeight="1"/>
    <row r="285" spans="1:15" ht="15" customHeight="1">
      <c r="C285" s="3" t="str">
        <f>'Obrazac kalkulacije'!$C$24</f>
        <v>IZVODITELJ:</v>
      </c>
      <c r="F285" s="841" t="str">
        <f>'Obrazac kalkulacije'!$F$24</f>
        <v>NARUČITELJ:</v>
      </c>
      <c r="G285" s="841"/>
      <c r="K285" s="3" t="str">
        <f>'Obrazac kalkulacije'!$C$24</f>
        <v>IZVODITELJ:</v>
      </c>
      <c r="N285" s="841" t="str">
        <f>'Obrazac kalkulacije'!$F$24</f>
        <v>NARUČITELJ:</v>
      </c>
      <c r="O285" s="841"/>
    </row>
    <row r="286" spans="1:15" ht="25.15" customHeight="1">
      <c r="C286" s="3" t="str">
        <f>'Obrazac kalkulacije'!$C$25</f>
        <v>__________________</v>
      </c>
      <c r="F286" s="841" t="str">
        <f>'Obrazac kalkulacije'!$F$25</f>
        <v>___________________</v>
      </c>
      <c r="G286" s="841"/>
      <c r="K286" s="3" t="str">
        <f>'Obrazac kalkulacije'!$C$25</f>
        <v>__________________</v>
      </c>
      <c r="N286" s="841" t="str">
        <f>'Obrazac kalkulacije'!$F$25</f>
        <v>___________________</v>
      </c>
      <c r="O286" s="841"/>
    </row>
    <row r="287" spans="1:15" ht="15" customHeight="1">
      <c r="F287" s="841"/>
      <c r="G287" s="841"/>
      <c r="N287" s="841"/>
      <c r="O287" s="841"/>
    </row>
    <row r="288" spans="1:15" ht="15" customHeight="1"/>
    <row r="289" spans="1:15" ht="15" customHeight="1">
      <c r="A289" s="144"/>
      <c r="B289" s="145" t="s">
        <v>23</v>
      </c>
      <c r="C289" s="836" t="s">
        <v>178</v>
      </c>
      <c r="D289" s="836"/>
      <c r="E289" s="836"/>
      <c r="F289" s="836"/>
      <c r="G289" s="836"/>
      <c r="I289" s="144"/>
      <c r="J289" s="145" t="s">
        <v>23</v>
      </c>
      <c r="K289" s="836" t="s">
        <v>178</v>
      </c>
      <c r="L289" s="836"/>
      <c r="M289" s="836"/>
      <c r="N289" s="836"/>
      <c r="O289" s="836"/>
    </row>
    <row r="290" spans="1:15" ht="150" customHeight="1">
      <c r="A290" s="40"/>
      <c r="B290" s="556" t="s">
        <v>218</v>
      </c>
      <c r="C290" s="852" t="s">
        <v>219</v>
      </c>
      <c r="D290" s="852"/>
      <c r="E290" s="852"/>
      <c r="F290" s="852"/>
      <c r="G290" s="852"/>
      <c r="I290" s="40"/>
      <c r="J290" s="41" t="s">
        <v>218</v>
      </c>
      <c r="K290" s="869" t="s">
        <v>220</v>
      </c>
      <c r="L290" s="869"/>
      <c r="M290" s="869"/>
      <c r="N290" s="869"/>
      <c r="O290" s="869"/>
    </row>
    <row r="291" spans="1:15" ht="15" customHeight="1" thickBot="1"/>
    <row r="292" spans="1:15" ht="30" customHeight="1" thickTop="1" thickBot="1">
      <c r="A292" s="10"/>
      <c r="B292" s="835" t="str">
        <f>'Obrazac kalkulacije'!$B$6:$C$6</f>
        <v>Opis</v>
      </c>
      <c r="C292" s="835"/>
      <c r="D292" s="10" t="str">
        <f>'Obrazac kalkulacije'!$D$6</f>
        <v>Jed.
mjere</v>
      </c>
      <c r="E292" s="10" t="str">
        <f>'Obrazac kalkulacije'!$E$6</f>
        <v>Normativ</v>
      </c>
      <c r="F292" s="10" t="str">
        <f>'Obrazac kalkulacije'!$F$6</f>
        <v>Jed.
cijena</v>
      </c>
      <c r="G292" s="10" t="str">
        <f>'Obrazac kalkulacije'!$G$6</f>
        <v>Iznos</v>
      </c>
      <c r="I292" s="10"/>
      <c r="J292" s="835" t="e">
        <f>'Obrazac kalkulacije'!$B$6:$C$6</f>
        <v>#VALUE!</v>
      </c>
      <c r="K292" s="835"/>
      <c r="L292" s="10" t="str">
        <f>'Obrazac kalkulacije'!$D$6</f>
        <v>Jed.
mjere</v>
      </c>
      <c r="M292" s="10" t="str">
        <f>'Obrazac kalkulacije'!$E$6</f>
        <v>Normativ</v>
      </c>
      <c r="N292" s="10" t="str">
        <f>'Obrazac kalkulacije'!$F$6</f>
        <v>Jed.
cijena</v>
      </c>
      <c r="O292" s="10" t="str">
        <f>'Obrazac kalkulacije'!$G$6</f>
        <v>Iznos</v>
      </c>
    </row>
    <row r="293" spans="1:15" ht="4.5" customHeight="1" thickTop="1">
      <c r="B293" s="42"/>
      <c r="C293" s="1"/>
      <c r="D293" s="11"/>
      <c r="E293" s="13"/>
      <c r="F293" s="245"/>
      <c r="G293" s="15"/>
      <c r="J293" s="42"/>
      <c r="K293" s="1"/>
      <c r="L293" s="11"/>
      <c r="M293" s="13"/>
      <c r="N293" s="245"/>
      <c r="O293" s="15"/>
    </row>
    <row r="294" spans="1:15" ht="25.15" customHeight="1">
      <c r="A294" s="16"/>
      <c r="B294" s="837" t="str">
        <f>'Obrazac kalkulacije'!$B$8</f>
        <v>Radna snaga:</v>
      </c>
      <c r="C294" s="837"/>
      <c r="D294" s="16"/>
      <c r="E294" s="16"/>
      <c r="F294" s="246"/>
      <c r="G294" s="18">
        <f>SUM(G295:G295)</f>
        <v>0</v>
      </c>
      <c r="I294" s="16"/>
      <c r="J294" s="837" t="str">
        <f>'Obrazac kalkulacije'!$B$8</f>
        <v>Radna snaga:</v>
      </c>
      <c r="K294" s="837"/>
      <c r="L294" s="16"/>
      <c r="M294" s="16"/>
      <c r="N294" s="246"/>
      <c r="O294" s="18">
        <f>SUM(O295:O295)</f>
        <v>0</v>
      </c>
    </row>
    <row r="295" spans="1:15" ht="25.15" customHeight="1">
      <c r="A295" s="32"/>
      <c r="B295" s="854" t="s">
        <v>103</v>
      </c>
      <c r="C295" s="854"/>
      <c r="D295" s="33" t="s">
        <v>51</v>
      </c>
      <c r="E295" s="34">
        <v>0.12260500000000001</v>
      </c>
      <c r="F295" s="243">
        <f>SUMIF('Cjenik RS'!$C$11:$C$26,$B295,'Cjenik RS'!$D$11:$D$90)</f>
        <v>0</v>
      </c>
      <c r="G295" s="35">
        <f>E295*F295</f>
        <v>0</v>
      </c>
      <c r="I295" s="32"/>
      <c r="J295" s="854" t="s">
        <v>103</v>
      </c>
      <c r="K295" s="854"/>
      <c r="L295" s="33" t="s">
        <v>51</v>
      </c>
      <c r="M295" s="34">
        <v>0.12260500000000001</v>
      </c>
      <c r="N295" s="243">
        <f>SUMIF('Cjenik RS'!$C$11:$C$26,$B295,'Cjenik RS'!$D$11:$D$90)</f>
        <v>0</v>
      </c>
      <c r="O295" s="35">
        <f>M295*N295</f>
        <v>0</v>
      </c>
    </row>
    <row r="296" spans="1:15" ht="25.15" customHeight="1">
      <c r="A296" s="16"/>
      <c r="B296" s="837" t="str">
        <f>'Obrazac kalkulacije'!$B$11</f>
        <v>Vozila, strojevi i oprema:</v>
      </c>
      <c r="C296" s="837"/>
      <c r="D296" s="16"/>
      <c r="E296" s="16">
        <f>'Obrazac kalkulacije'!$E$11</f>
        <v>0</v>
      </c>
      <c r="F296" s="243"/>
      <c r="G296" s="18">
        <f>SUM(G297:G299)</f>
        <v>43.345015940865075</v>
      </c>
      <c r="I296" s="16"/>
      <c r="J296" s="837" t="str">
        <f>'Obrazac kalkulacije'!$B$11</f>
        <v>Vozila, strojevi i oprema:</v>
      </c>
      <c r="K296" s="837"/>
      <c r="L296" s="16"/>
      <c r="M296" s="16">
        <f>'Obrazac kalkulacije'!$E$11</f>
        <v>0</v>
      </c>
      <c r="N296" s="243"/>
      <c r="O296" s="18">
        <f>SUM(O297:O299)</f>
        <v>43.702016970000003</v>
      </c>
    </row>
    <row r="297" spans="1:15" ht="25.15" customHeight="1">
      <c r="A297" s="51"/>
      <c r="B297" s="863" t="s">
        <v>217</v>
      </c>
      <c r="C297" s="863"/>
      <c r="D297" s="52" t="s">
        <v>51</v>
      </c>
      <c r="E297" s="53">
        <v>5.5556000000000001E-2</v>
      </c>
      <c r="F297" s="240">
        <f>SUMIF('Cjenik VSO'!$B$9:$B$85,$B297,'Cjenik VSO'!$C$9:$C$85)</f>
        <v>367.61</v>
      </c>
      <c r="G297" s="55">
        <f>E297*F297</f>
        <v>20.422941160000001</v>
      </c>
      <c r="I297" s="51"/>
      <c r="J297" s="863" t="s">
        <v>217</v>
      </c>
      <c r="K297" s="863"/>
      <c r="L297" s="52" t="s">
        <v>51</v>
      </c>
      <c r="M297" s="53">
        <v>5.5556000000000001E-2</v>
      </c>
      <c r="N297" s="240">
        <f>SUMIF('Cjenik VSO'!$B$9:$B$85,$B297,'Cjenik VSO'!$C$9:$C$85)</f>
        <v>367.61</v>
      </c>
      <c r="O297" s="55">
        <f>M297*N297</f>
        <v>20.422941160000001</v>
      </c>
    </row>
    <row r="298" spans="1:15" ht="25.15" customHeight="1">
      <c r="A298" s="56"/>
      <c r="B298" s="834" t="s">
        <v>74</v>
      </c>
      <c r="C298" s="834"/>
      <c r="D298" s="57" t="s">
        <v>51</v>
      </c>
      <c r="E298" s="58">
        <v>6.2722173014467086E-2</v>
      </c>
      <c r="F298" s="241">
        <f>SUMIF('Cjenik VSO'!$B$9:$B$85,$B298,'Cjenik VSO'!$C$9:$C$85)</f>
        <v>355.64</v>
      </c>
      <c r="G298" s="60">
        <f>E298*F298</f>
        <v>22.306513610865075</v>
      </c>
      <c r="I298" s="56"/>
      <c r="J298" s="834" t="s">
        <v>74</v>
      </c>
      <c r="K298" s="834"/>
      <c r="L298" s="57" t="s">
        <v>51</v>
      </c>
      <c r="M298" s="58">
        <v>6.3726000000000005E-2</v>
      </c>
      <c r="N298" s="241">
        <f>SUMIF('Cjenik VSO'!$B$9:$B$85,$B298,'Cjenik VSO'!$C$9:$C$85)</f>
        <v>355.64</v>
      </c>
      <c r="O298" s="60">
        <f>M298*N298</f>
        <v>22.663514640000002</v>
      </c>
    </row>
    <row r="299" spans="1:15" ht="25.15" customHeight="1" thickBot="1">
      <c r="A299" s="66"/>
      <c r="B299" s="864" t="s">
        <v>81</v>
      </c>
      <c r="C299" s="864"/>
      <c r="D299" s="62" t="s">
        <v>51</v>
      </c>
      <c r="E299" s="63">
        <v>5.7470000000000004E-3</v>
      </c>
      <c r="F299" s="242">
        <f>SUMIF('Cjenik VSO'!$B$9:$B$85,$B299,'Cjenik VSO'!$C$9:$C$85)</f>
        <v>107.11</v>
      </c>
      <c r="G299" s="65">
        <f>E299*F299</f>
        <v>0.61556116999999999</v>
      </c>
      <c r="I299" s="66"/>
      <c r="J299" s="864" t="s">
        <v>81</v>
      </c>
      <c r="K299" s="864"/>
      <c r="L299" s="62" t="s">
        <v>51</v>
      </c>
      <c r="M299" s="63">
        <v>5.7470000000000004E-3</v>
      </c>
      <c r="N299" s="242">
        <f>SUMIF('Cjenik VSO'!$B$9:$B$85,$B299,'Cjenik VSO'!$C$9:$C$85)</f>
        <v>107.11</v>
      </c>
      <c r="O299" s="65">
        <f>M299*N299</f>
        <v>0.61556116999999999</v>
      </c>
    </row>
    <row r="300" spans="1:15" ht="25.15" customHeight="1" thickTop="1" thickBot="1">
      <c r="B300" s="47"/>
      <c r="C300" s="24"/>
      <c r="D300" s="25"/>
      <c r="E300" s="850" t="str">
        <f>'Obrazac kalkulacije'!$E$18</f>
        <v>Ukupno (kn):</v>
      </c>
      <c r="F300" s="850"/>
      <c r="G300" s="26">
        <f>ROUND(SUM(G294+G296),2)</f>
        <v>43.35</v>
      </c>
      <c r="H300" s="269" t="e">
        <f>SUMIF(#REF!,$B290,#REF!)</f>
        <v>#REF!</v>
      </c>
      <c r="J300" s="47"/>
      <c r="K300" s="24"/>
      <c r="L300" s="25"/>
      <c r="M300" s="850" t="str">
        <f>'Obrazac kalkulacije'!$E$18</f>
        <v>Ukupno (kn):</v>
      </c>
      <c r="N300" s="850"/>
      <c r="O300" s="26">
        <f>ROUND(SUM(O294+O296),2)</f>
        <v>43.7</v>
      </c>
    </row>
    <row r="301" spans="1:15" ht="25.15" customHeight="1" thickTop="1" thickBot="1">
      <c r="E301" s="27" t="str">
        <f>'Obrazac kalkulacije'!$E$19</f>
        <v>PDV:</v>
      </c>
      <c r="F301" s="248">
        <f>'Obrazac kalkulacije'!$F$19</f>
        <v>0.25</v>
      </c>
      <c r="G301" s="29">
        <f>G300*F301</f>
        <v>10.8375</v>
      </c>
      <c r="H301" s="270" t="e">
        <f>H300-G300</f>
        <v>#REF!</v>
      </c>
      <c r="M301" s="27" t="str">
        <f>'Obrazac kalkulacije'!$E$19</f>
        <v>PDV:</v>
      </c>
      <c r="N301" s="248">
        <f>'Obrazac kalkulacije'!$F$19</f>
        <v>0.25</v>
      </c>
      <c r="O301" s="29">
        <f>O300*N301</f>
        <v>10.925000000000001</v>
      </c>
    </row>
    <row r="302" spans="1:15" ht="25.15" customHeight="1" thickTop="1" thickBot="1">
      <c r="E302" s="840" t="str">
        <f>'Obrazac kalkulacije'!$E$20</f>
        <v>Sveukupno (kn):</v>
      </c>
      <c r="F302" s="840"/>
      <c r="G302" s="29">
        <f>ROUND(SUM(G300:G301),2)</f>
        <v>54.19</v>
      </c>
      <c r="H302" s="271" t="e">
        <f>G298+H301</f>
        <v>#REF!</v>
      </c>
      <c r="M302" s="840" t="str">
        <f>'Obrazac kalkulacije'!$E$20</f>
        <v>Sveukupno (kn):</v>
      </c>
      <c r="N302" s="840"/>
      <c r="O302" s="29">
        <f>ROUND(SUM(O300:O301),2)</f>
        <v>54.63</v>
      </c>
    </row>
    <row r="303" spans="1:15" ht="15" customHeight="1" thickTop="1"/>
    <row r="304" spans="1:15" ht="15" customHeight="1"/>
    <row r="305" spans="1:15" ht="15" customHeight="1"/>
    <row r="306" spans="1:15" ht="15" customHeight="1">
      <c r="C306" s="3" t="str">
        <f>'Obrazac kalkulacije'!$C$24</f>
        <v>IZVODITELJ:</v>
      </c>
      <c r="F306" s="841" t="str">
        <f>'Obrazac kalkulacije'!$F$24</f>
        <v>NARUČITELJ:</v>
      </c>
      <c r="G306" s="841"/>
      <c r="K306" s="3" t="str">
        <f>'Obrazac kalkulacije'!$C$24</f>
        <v>IZVODITELJ:</v>
      </c>
      <c r="N306" s="841" t="str">
        <f>'Obrazac kalkulacije'!$F$24</f>
        <v>NARUČITELJ:</v>
      </c>
      <c r="O306" s="841"/>
    </row>
    <row r="307" spans="1:15" ht="25.15" customHeight="1">
      <c r="C307" s="3" t="str">
        <f>'Obrazac kalkulacije'!$C$25</f>
        <v>__________________</v>
      </c>
      <c r="F307" s="841" t="str">
        <f>'Obrazac kalkulacije'!$F$25</f>
        <v>___________________</v>
      </c>
      <c r="G307" s="841"/>
      <c r="K307" s="3" t="str">
        <f>'Obrazac kalkulacije'!$C$25</f>
        <v>__________________</v>
      </c>
      <c r="N307" s="841" t="str">
        <f>'Obrazac kalkulacije'!$F$25</f>
        <v>___________________</v>
      </c>
      <c r="O307" s="841"/>
    </row>
    <row r="308" spans="1:15" ht="15" customHeight="1">
      <c r="F308" s="841"/>
      <c r="G308" s="841"/>
      <c r="N308" s="841"/>
      <c r="O308" s="841"/>
    </row>
    <row r="309" spans="1:15" ht="15" customHeight="1"/>
    <row r="310" spans="1:15" ht="15" customHeight="1">
      <c r="A310" s="144"/>
      <c r="B310" s="145" t="s">
        <v>23</v>
      </c>
      <c r="C310" s="836" t="s">
        <v>178</v>
      </c>
      <c r="D310" s="836"/>
      <c r="E310" s="836"/>
      <c r="F310" s="836"/>
      <c r="G310" s="836"/>
      <c r="I310" s="144"/>
      <c r="J310" s="145" t="s">
        <v>23</v>
      </c>
      <c r="K310" s="836" t="s">
        <v>178</v>
      </c>
      <c r="L310" s="836"/>
      <c r="M310" s="836"/>
      <c r="N310" s="836"/>
      <c r="O310" s="836"/>
    </row>
    <row r="311" spans="1:15" ht="150" customHeight="1">
      <c r="A311" s="611"/>
      <c r="B311" s="556" t="s">
        <v>221</v>
      </c>
      <c r="C311" s="852" t="s">
        <v>222</v>
      </c>
      <c r="D311" s="852"/>
      <c r="E311" s="852"/>
      <c r="F311" s="852"/>
      <c r="G311" s="852"/>
      <c r="I311" s="40"/>
      <c r="J311" s="41" t="s">
        <v>221</v>
      </c>
      <c r="K311" s="869" t="s">
        <v>223</v>
      </c>
      <c r="L311" s="869"/>
      <c r="M311" s="869"/>
      <c r="N311" s="869"/>
      <c r="O311" s="869"/>
    </row>
    <row r="312" spans="1:15" ht="15" customHeight="1" thickBot="1"/>
    <row r="313" spans="1:15" ht="30" customHeight="1" thickTop="1" thickBot="1">
      <c r="A313" s="10"/>
      <c r="B313" s="835" t="str">
        <f>'Obrazac kalkulacije'!$B$6:$C$6</f>
        <v>Opis</v>
      </c>
      <c r="C313" s="835"/>
      <c r="D313" s="10" t="str">
        <f>'Obrazac kalkulacije'!$D$6</f>
        <v>Jed.
mjere</v>
      </c>
      <c r="E313" s="10" t="str">
        <f>'Obrazac kalkulacije'!$E$6</f>
        <v>Normativ</v>
      </c>
      <c r="F313" s="10" t="str">
        <f>'Obrazac kalkulacije'!$F$6</f>
        <v>Jed.
cijena</v>
      </c>
      <c r="G313" s="10" t="str">
        <f>'Obrazac kalkulacije'!$G$6</f>
        <v>Iznos</v>
      </c>
      <c r="I313" s="10"/>
      <c r="J313" s="835" t="e">
        <f>'Obrazac kalkulacije'!$B$6:$C$6</f>
        <v>#VALUE!</v>
      </c>
      <c r="K313" s="835"/>
      <c r="L313" s="10" t="str">
        <f>'Obrazac kalkulacije'!$D$6</f>
        <v>Jed.
mjere</v>
      </c>
      <c r="M313" s="10" t="str">
        <f>'Obrazac kalkulacije'!$E$6</f>
        <v>Normativ</v>
      </c>
      <c r="N313" s="10" t="str">
        <f>'Obrazac kalkulacije'!$F$6</f>
        <v>Jed.
cijena</v>
      </c>
      <c r="O313" s="10" t="str">
        <f>'Obrazac kalkulacije'!$G$6</f>
        <v>Iznos</v>
      </c>
    </row>
    <row r="314" spans="1:15" ht="4.5" customHeight="1" thickTop="1">
      <c r="B314" s="42"/>
      <c r="C314" s="1"/>
      <c r="D314" s="11"/>
      <c r="E314" s="13"/>
      <c r="F314" s="245"/>
      <c r="G314" s="15"/>
      <c r="J314" s="42"/>
      <c r="K314" s="1"/>
      <c r="L314" s="11"/>
      <c r="M314" s="13"/>
      <c r="N314" s="245"/>
      <c r="O314" s="15"/>
    </row>
    <row r="315" spans="1:15" ht="25.15" customHeight="1">
      <c r="A315" s="16"/>
      <c r="B315" s="837" t="str">
        <f>'Obrazac kalkulacije'!$B$8</f>
        <v>Radna snaga:</v>
      </c>
      <c r="C315" s="837"/>
      <c r="D315" s="16"/>
      <c r="E315" s="16"/>
      <c r="F315" s="246"/>
      <c r="G315" s="18">
        <f>SUM(G316:G316)</f>
        <v>368.53703796000002</v>
      </c>
      <c r="I315" s="16"/>
      <c r="J315" s="837" t="str">
        <f>'Obrazac kalkulacije'!$B$8</f>
        <v>Radna snaga:</v>
      </c>
      <c r="K315" s="837"/>
      <c r="L315" s="16"/>
      <c r="M315" s="16"/>
      <c r="N315" s="246"/>
      <c r="O315" s="18">
        <f>SUM(O316:O316)</f>
        <v>368.53703796000002</v>
      </c>
    </row>
    <row r="316" spans="1:15" ht="25.15" customHeight="1">
      <c r="A316" s="32"/>
      <c r="B316" s="854" t="s">
        <v>53</v>
      </c>
      <c r="C316" s="854"/>
      <c r="D316" s="33" t="s">
        <v>51</v>
      </c>
      <c r="E316" s="34">
        <v>3.7399740000000001</v>
      </c>
      <c r="F316" s="243">
        <f>SUMIF('Cjenik RS'!$C$11:$C$26,$B316,'Cjenik RS'!$D$11:$D$90)</f>
        <v>98.54</v>
      </c>
      <c r="G316" s="35">
        <f>+F316*E316</f>
        <v>368.53703796000002</v>
      </c>
      <c r="I316" s="32"/>
      <c r="J316" s="854" t="s">
        <v>53</v>
      </c>
      <c r="K316" s="854"/>
      <c r="L316" s="33" t="s">
        <v>51</v>
      </c>
      <c r="M316" s="34">
        <v>3.7399740000000001</v>
      </c>
      <c r="N316" s="243">
        <f>SUMIF('Cjenik RS'!$C$11:$C$26,$B316,'Cjenik RS'!$D$11:$D$90)</f>
        <v>98.54</v>
      </c>
      <c r="O316" s="35">
        <f>+N316*M316</f>
        <v>368.53703796000002</v>
      </c>
    </row>
    <row r="317" spans="1:15" ht="25.15" customHeight="1">
      <c r="A317" s="16"/>
      <c r="B317" s="837" t="str">
        <f>'Obrazac kalkulacije'!$B$11</f>
        <v>Vozila, strojevi i oprema:</v>
      </c>
      <c r="C317" s="837"/>
      <c r="D317" s="16"/>
      <c r="E317" s="16">
        <f>'Obrazac kalkulacije'!$E$11</f>
        <v>0</v>
      </c>
      <c r="F317" s="243"/>
      <c r="G317" s="18">
        <f>SUM(G318:G319)</f>
        <v>28.983133920000004</v>
      </c>
      <c r="I317" s="16"/>
      <c r="J317" s="837" t="str">
        <f>'Obrazac kalkulacije'!$B$11</f>
        <v>Vozila, strojevi i oprema:</v>
      </c>
      <c r="K317" s="837"/>
      <c r="L317" s="16"/>
      <c r="M317" s="16">
        <f>'Obrazac kalkulacije'!$E$11</f>
        <v>0</v>
      </c>
      <c r="N317" s="243"/>
      <c r="O317" s="18">
        <f>SUM(O318:O319)</f>
        <v>28.983133920000004</v>
      </c>
    </row>
    <row r="318" spans="1:15" ht="25.15" customHeight="1">
      <c r="A318" s="51"/>
      <c r="B318" s="863" t="s">
        <v>73</v>
      </c>
      <c r="C318" s="863"/>
      <c r="D318" s="52" t="s">
        <v>51</v>
      </c>
      <c r="E318" s="53">
        <v>8.0635999999999999E-2</v>
      </c>
      <c r="F318" s="240">
        <f>SUMIF('Cjenik VSO'!$B$9:$B$85,$B318,'Cjenik VSO'!$C$9:$C$85)</f>
        <v>291.72000000000003</v>
      </c>
      <c r="G318" s="55">
        <f>E318*F318</f>
        <v>23.523133920000003</v>
      </c>
      <c r="I318" s="51"/>
      <c r="J318" s="863" t="s">
        <v>73</v>
      </c>
      <c r="K318" s="863"/>
      <c r="L318" s="52" t="s">
        <v>51</v>
      </c>
      <c r="M318" s="53">
        <v>8.0635999999999999E-2</v>
      </c>
      <c r="N318" s="240">
        <f>SUMIF('Cjenik VSO'!$B$9:$B$85,$B318,'Cjenik VSO'!$C$9:$C$85)</f>
        <v>291.72000000000003</v>
      </c>
      <c r="O318" s="55">
        <f>M318*N318</f>
        <v>23.523133920000003</v>
      </c>
    </row>
    <row r="319" spans="1:15" ht="25.15" customHeight="1">
      <c r="A319" s="61"/>
      <c r="B319" s="864" t="s">
        <v>200</v>
      </c>
      <c r="C319" s="864"/>
      <c r="D319" s="62" t="s">
        <v>51</v>
      </c>
      <c r="E319" s="63">
        <v>0.25</v>
      </c>
      <c r="F319" s="242">
        <f>SUMIF('Cjenik VSO'!$B$9:$B$85,$B319,'Cjenik VSO'!$C$9:$C$85)</f>
        <v>21.84</v>
      </c>
      <c r="G319" s="65">
        <f>E319*F319</f>
        <v>5.46</v>
      </c>
      <c r="I319" s="61"/>
      <c r="J319" s="864" t="s">
        <v>200</v>
      </c>
      <c r="K319" s="864"/>
      <c r="L319" s="62" t="s">
        <v>51</v>
      </c>
      <c r="M319" s="63">
        <v>0.25</v>
      </c>
      <c r="N319" s="242">
        <f>SUMIF('Cjenik VSO'!$B$9:$B$85,$B319,'Cjenik VSO'!$C$9:$C$85)</f>
        <v>21.84</v>
      </c>
      <c r="O319" s="65">
        <f>M319*N319</f>
        <v>5.46</v>
      </c>
    </row>
    <row r="320" spans="1:15" ht="25.15" customHeight="1">
      <c r="A320" s="16"/>
      <c r="B320" s="837" t="str">
        <f>'Obrazac kalkulacije'!$B$15</f>
        <v>Materijali:</v>
      </c>
      <c r="C320" s="837"/>
      <c r="D320" s="16"/>
      <c r="E320" s="16"/>
      <c r="F320" s="243"/>
      <c r="G320" s="18">
        <f>SUM(G321:G323)</f>
        <v>0</v>
      </c>
      <c r="I320" s="16"/>
      <c r="J320" s="837" t="str">
        <f>'Obrazac kalkulacije'!$B$15</f>
        <v>Materijali:</v>
      </c>
      <c r="K320" s="837"/>
      <c r="L320" s="16"/>
      <c r="M320" s="16"/>
      <c r="N320" s="243"/>
      <c r="O320" s="18">
        <f>SUM(O321:O323)</f>
        <v>0</v>
      </c>
    </row>
    <row r="321" spans="1:15" ht="25.15" customHeight="1">
      <c r="A321" s="51"/>
      <c r="B321" s="863">
        <f>'Cjenik M'!$B$35</f>
        <v>0</v>
      </c>
      <c r="C321" s="863"/>
      <c r="D321" s="52">
        <f>'Cjenik M'!$C$35</f>
        <v>0</v>
      </c>
      <c r="E321" s="53">
        <v>1</v>
      </c>
      <c r="F321" s="240">
        <f>'Cjenik M'!$D$35</f>
        <v>0</v>
      </c>
      <c r="G321" s="55">
        <f>E321*F321</f>
        <v>0</v>
      </c>
      <c r="I321" s="51"/>
      <c r="J321" s="863">
        <f>'Cjenik M'!$B$35</f>
        <v>0</v>
      </c>
      <c r="K321" s="863"/>
      <c r="L321" s="52">
        <f>'Cjenik M'!$C$35</f>
        <v>0</v>
      </c>
      <c r="M321" s="53">
        <v>1</v>
      </c>
      <c r="N321" s="240">
        <f>'Cjenik M'!$D$35</f>
        <v>0</v>
      </c>
      <c r="O321" s="55">
        <f>M321*N321</f>
        <v>0</v>
      </c>
    </row>
    <row r="322" spans="1:15" ht="25.15" customHeight="1">
      <c r="A322" s="56"/>
      <c r="B322" s="834">
        <f>'Cjenik M'!$B$31</f>
        <v>0</v>
      </c>
      <c r="C322" s="834"/>
      <c r="D322" s="57">
        <f>'Cjenik M'!$C$31</f>
        <v>0</v>
      </c>
      <c r="E322" s="58">
        <v>9.5999999999999992E-3</v>
      </c>
      <c r="F322" s="241">
        <f>'Cjenik M'!$D$31</f>
        <v>0</v>
      </c>
      <c r="G322" s="60">
        <f>E322*F322</f>
        <v>0</v>
      </c>
      <c r="I322" s="56"/>
      <c r="J322" s="834">
        <f>'Cjenik M'!$B$31</f>
        <v>0</v>
      </c>
      <c r="K322" s="834"/>
      <c r="L322" s="57">
        <f>'Cjenik M'!$C$31</f>
        <v>0</v>
      </c>
      <c r="M322" s="58">
        <v>9.5999999999999992E-3</v>
      </c>
      <c r="N322" s="241">
        <f>'Cjenik M'!$D$31</f>
        <v>0</v>
      </c>
      <c r="O322" s="60">
        <f>M322*N322</f>
        <v>0</v>
      </c>
    </row>
    <row r="323" spans="1:15" ht="25.15" customHeight="1" thickBot="1">
      <c r="A323" s="66"/>
      <c r="B323" s="859">
        <f>'Cjenik M'!$B$65</f>
        <v>0</v>
      </c>
      <c r="C323" s="859"/>
      <c r="D323" s="67">
        <f>'Cjenik M'!$C$65</f>
        <v>0</v>
      </c>
      <c r="E323" s="68">
        <v>15.6</v>
      </c>
      <c r="F323" s="249">
        <f>'Cjenik M'!$D$65</f>
        <v>0</v>
      </c>
      <c r="G323" s="70">
        <f>E323*F323</f>
        <v>0</v>
      </c>
      <c r="I323" s="66"/>
      <c r="J323" s="859">
        <f>'Cjenik M'!$B$65</f>
        <v>0</v>
      </c>
      <c r="K323" s="859"/>
      <c r="L323" s="67">
        <f>'Cjenik M'!$C$65</f>
        <v>0</v>
      </c>
      <c r="M323" s="68">
        <v>15.6</v>
      </c>
      <c r="N323" s="249">
        <f>'Cjenik M'!$D$65</f>
        <v>0</v>
      </c>
      <c r="O323" s="70">
        <f>M323*N323</f>
        <v>0</v>
      </c>
    </row>
    <row r="324" spans="1:15" ht="25.15" customHeight="1" thickTop="1" thickBot="1">
      <c r="B324" s="47"/>
      <c r="C324" s="24"/>
      <c r="D324" s="25"/>
      <c r="E324" s="850" t="str">
        <f>'Obrazac kalkulacije'!$E$18</f>
        <v>Ukupno (kn):</v>
      </c>
      <c r="F324" s="850"/>
      <c r="G324" s="26">
        <f>ROUND(SUM(G315+G317+G320),2)</f>
        <v>397.52</v>
      </c>
      <c r="H324" s="269" t="e">
        <f>SUMIF(#REF!,$B311,#REF!)</f>
        <v>#REF!</v>
      </c>
      <c r="J324" s="47"/>
      <c r="K324" s="24"/>
      <c r="L324" s="25"/>
      <c r="M324" s="850" t="str">
        <f>'Obrazac kalkulacije'!$E$18</f>
        <v>Ukupno (kn):</v>
      </c>
      <c r="N324" s="850"/>
      <c r="O324" s="26">
        <f>ROUND(SUM(O315+O317+O320),2)</f>
        <v>397.52</v>
      </c>
    </row>
    <row r="325" spans="1:15" ht="25.15" customHeight="1" thickTop="1" thickBot="1">
      <c r="E325" s="27" t="str">
        <f>'Obrazac kalkulacije'!$E$19</f>
        <v>PDV:</v>
      </c>
      <c r="F325" s="248">
        <f>'Obrazac kalkulacije'!$F$19</f>
        <v>0.25</v>
      </c>
      <c r="G325" s="29">
        <f>G324*F325</f>
        <v>99.38</v>
      </c>
      <c r="H325" s="270" t="e">
        <f>H324-G324</f>
        <v>#REF!</v>
      </c>
      <c r="M325" s="27" t="str">
        <f>'Obrazac kalkulacije'!$E$19</f>
        <v>PDV:</v>
      </c>
      <c r="N325" s="248">
        <f>'Obrazac kalkulacije'!$F$19</f>
        <v>0.25</v>
      </c>
      <c r="O325" s="29">
        <f>O324*N325</f>
        <v>99.38</v>
      </c>
    </row>
    <row r="326" spans="1:15" ht="25.15" customHeight="1" thickTop="1" thickBot="1">
      <c r="E326" s="840" t="str">
        <f>'Obrazac kalkulacije'!$E$20</f>
        <v>Sveukupno (kn):</v>
      </c>
      <c r="F326" s="840"/>
      <c r="G326" s="29">
        <f>ROUND(SUM(G324:G325),2)</f>
        <v>496.9</v>
      </c>
      <c r="H326" s="271" t="e">
        <f>G318+H325</f>
        <v>#REF!</v>
      </c>
      <c r="M326" s="840" t="str">
        <f>'Obrazac kalkulacije'!$E$20</f>
        <v>Sveukupno (kn):</v>
      </c>
      <c r="N326" s="840"/>
      <c r="O326" s="29">
        <f>ROUND(SUM(O324:O325),2)</f>
        <v>496.9</v>
      </c>
    </row>
    <row r="327" spans="1:15" ht="15" customHeight="1" thickTop="1"/>
    <row r="328" spans="1:15" ht="15" customHeight="1"/>
    <row r="329" spans="1:15" ht="15" customHeight="1"/>
    <row r="330" spans="1:15" ht="15" customHeight="1">
      <c r="C330" s="3" t="str">
        <f>'Obrazac kalkulacije'!$C$24</f>
        <v>IZVODITELJ:</v>
      </c>
      <c r="F330" s="841" t="str">
        <f>'Obrazac kalkulacije'!$F$24</f>
        <v>NARUČITELJ:</v>
      </c>
      <c r="G330" s="841"/>
      <c r="K330" s="3" t="str">
        <f>'Obrazac kalkulacije'!$C$24</f>
        <v>IZVODITELJ:</v>
      </c>
      <c r="N330" s="841" t="str">
        <f>'Obrazac kalkulacije'!$F$24</f>
        <v>NARUČITELJ:</v>
      </c>
      <c r="O330" s="841"/>
    </row>
    <row r="331" spans="1:15" ht="25.15" customHeight="1">
      <c r="C331" s="3" t="str">
        <f>'Obrazac kalkulacije'!$C$25</f>
        <v>__________________</v>
      </c>
      <c r="F331" s="841" t="str">
        <f>'Obrazac kalkulacije'!$F$25</f>
        <v>___________________</v>
      </c>
      <c r="G331" s="841"/>
      <c r="K331" s="3" t="str">
        <f>'Obrazac kalkulacije'!$C$25</f>
        <v>__________________</v>
      </c>
      <c r="N331" s="841" t="str">
        <f>'Obrazac kalkulacije'!$F$25</f>
        <v>___________________</v>
      </c>
      <c r="O331" s="841"/>
    </row>
    <row r="332" spans="1:15" ht="15" customHeight="1">
      <c r="F332" s="841"/>
      <c r="G332" s="841"/>
      <c r="N332" s="841"/>
      <c r="O332" s="841"/>
    </row>
  </sheetData>
  <sheetProtection selectLockedCells="1"/>
  <mergeCells count="454">
    <mergeCell ref="J321:K321"/>
    <mergeCell ref="J299:K299"/>
    <mergeCell ref="M300:N300"/>
    <mergeCell ref="M302:N302"/>
    <mergeCell ref="N306:O306"/>
    <mergeCell ref="K310:O310"/>
    <mergeCell ref="K311:O311"/>
    <mergeCell ref="N332:O332"/>
    <mergeCell ref="J323:K323"/>
    <mergeCell ref="M324:N324"/>
    <mergeCell ref="M326:N326"/>
    <mergeCell ref="N330:O330"/>
    <mergeCell ref="N331:O331"/>
    <mergeCell ref="J322:K322"/>
    <mergeCell ref="J316:K316"/>
    <mergeCell ref="J317:K317"/>
    <mergeCell ref="J318:K318"/>
    <mergeCell ref="J319:K319"/>
    <mergeCell ref="J320:K320"/>
    <mergeCell ref="N285:O285"/>
    <mergeCell ref="N286:O286"/>
    <mergeCell ref="N287:O287"/>
    <mergeCell ref="K289:O289"/>
    <mergeCell ref="J315:K315"/>
    <mergeCell ref="N307:O307"/>
    <mergeCell ref="N308:O308"/>
    <mergeCell ref="J296:K296"/>
    <mergeCell ref="J297:K297"/>
    <mergeCell ref="J298:K298"/>
    <mergeCell ref="J313:K313"/>
    <mergeCell ref="K290:O290"/>
    <mergeCell ref="J292:K292"/>
    <mergeCell ref="J294:K294"/>
    <mergeCell ref="J295:K295"/>
    <mergeCell ref="J277:K277"/>
    <mergeCell ref="J278:K278"/>
    <mergeCell ref="M279:N279"/>
    <mergeCell ref="M281:N281"/>
    <mergeCell ref="J271:K271"/>
    <mergeCell ref="J257:K257"/>
    <mergeCell ref="J273:K273"/>
    <mergeCell ref="N264:O264"/>
    <mergeCell ref="N265:O265"/>
    <mergeCell ref="J274:K274"/>
    <mergeCell ref="J275:K275"/>
    <mergeCell ref="J276:K276"/>
    <mergeCell ref="M258:N258"/>
    <mergeCell ref="M260:N260"/>
    <mergeCell ref="N266:O266"/>
    <mergeCell ref="K268:O268"/>
    <mergeCell ref="K269:O269"/>
    <mergeCell ref="J231:K231"/>
    <mergeCell ref="J232:K232"/>
    <mergeCell ref="J256:K256"/>
    <mergeCell ref="J251:K251"/>
    <mergeCell ref="J252:K252"/>
    <mergeCell ref="J253:K253"/>
    <mergeCell ref="J254:K254"/>
    <mergeCell ref="J255:K255"/>
    <mergeCell ref="K244:O244"/>
    <mergeCell ref="J246:K246"/>
    <mergeCell ref="J248:K248"/>
    <mergeCell ref="J249:K249"/>
    <mergeCell ref="J250:K250"/>
    <mergeCell ref="K243:O243"/>
    <mergeCell ref="J222:K222"/>
    <mergeCell ref="J223:K223"/>
    <mergeCell ref="J224:K224"/>
    <mergeCell ref="J225:K225"/>
    <mergeCell ref="J227:K227"/>
    <mergeCell ref="J228:K228"/>
    <mergeCell ref="J226:K226"/>
    <mergeCell ref="J229:K229"/>
    <mergeCell ref="J230:K230"/>
    <mergeCell ref="J203:K203"/>
    <mergeCell ref="J204:K204"/>
    <mergeCell ref="J205:K205"/>
    <mergeCell ref="J206:K206"/>
    <mergeCell ref="N241:O241"/>
    <mergeCell ref="N190:O190"/>
    <mergeCell ref="N191:O191"/>
    <mergeCell ref="M184:N184"/>
    <mergeCell ref="M186:N186"/>
    <mergeCell ref="N213:O213"/>
    <mergeCell ref="N214:O214"/>
    <mergeCell ref="N239:O239"/>
    <mergeCell ref="N240:O240"/>
    <mergeCell ref="K194:O194"/>
    <mergeCell ref="J201:K201"/>
    <mergeCell ref="J202:K202"/>
    <mergeCell ref="M207:N207"/>
    <mergeCell ref="M209:N209"/>
    <mergeCell ref="M233:N233"/>
    <mergeCell ref="M235:N235"/>
    <mergeCell ref="N215:O215"/>
    <mergeCell ref="K217:O217"/>
    <mergeCell ref="K218:O218"/>
    <mergeCell ref="J220:K220"/>
    <mergeCell ref="J182:K182"/>
    <mergeCell ref="J183:K183"/>
    <mergeCell ref="K195:O195"/>
    <mergeCell ref="J197:K197"/>
    <mergeCell ref="J199:K199"/>
    <mergeCell ref="J200:K200"/>
    <mergeCell ref="K169:O169"/>
    <mergeCell ref="J171:K171"/>
    <mergeCell ref="J173:K173"/>
    <mergeCell ref="J180:K180"/>
    <mergeCell ref="J181:K181"/>
    <mergeCell ref="N192:O192"/>
    <mergeCell ref="J179:K179"/>
    <mergeCell ref="J174:K174"/>
    <mergeCell ref="J175:K175"/>
    <mergeCell ref="J176:K176"/>
    <mergeCell ref="J177:K177"/>
    <mergeCell ref="N164:O164"/>
    <mergeCell ref="N165:O165"/>
    <mergeCell ref="N166:O166"/>
    <mergeCell ref="J178:K178"/>
    <mergeCell ref="K168:O168"/>
    <mergeCell ref="M158:N158"/>
    <mergeCell ref="J156:K156"/>
    <mergeCell ref="J155:K155"/>
    <mergeCell ref="M160:N160"/>
    <mergeCell ref="J151:K151"/>
    <mergeCell ref="J152:K152"/>
    <mergeCell ref="J157:K157"/>
    <mergeCell ref="J154:K154"/>
    <mergeCell ref="J153:K153"/>
    <mergeCell ref="J150:K150"/>
    <mergeCell ref="J131:K131"/>
    <mergeCell ref="N138:O138"/>
    <mergeCell ref="N139:O139"/>
    <mergeCell ref="N140:O140"/>
    <mergeCell ref="M134:N134"/>
    <mergeCell ref="M132:N132"/>
    <mergeCell ref="K142:O142"/>
    <mergeCell ref="J147:K147"/>
    <mergeCell ref="J148:K148"/>
    <mergeCell ref="K143:O143"/>
    <mergeCell ref="J145:K145"/>
    <mergeCell ref="J149:K149"/>
    <mergeCell ref="J127:K127"/>
    <mergeCell ref="J128:K128"/>
    <mergeCell ref="J129:K129"/>
    <mergeCell ref="J130:K130"/>
    <mergeCell ref="J108:K108"/>
    <mergeCell ref="J109:K109"/>
    <mergeCell ref="M95:N95"/>
    <mergeCell ref="N99:O99"/>
    <mergeCell ref="N100:O100"/>
    <mergeCell ref="N101:O101"/>
    <mergeCell ref="J125:K125"/>
    <mergeCell ref="J111:K111"/>
    <mergeCell ref="M112:N112"/>
    <mergeCell ref="M114:N114"/>
    <mergeCell ref="N118:O118"/>
    <mergeCell ref="N119:O119"/>
    <mergeCell ref="N120:O120"/>
    <mergeCell ref="J90:K90"/>
    <mergeCell ref="J91:K91"/>
    <mergeCell ref="J92:K92"/>
    <mergeCell ref="M93:N93"/>
    <mergeCell ref="K122:O122"/>
    <mergeCell ref="K123:O123"/>
    <mergeCell ref="K103:O103"/>
    <mergeCell ref="K104:O104"/>
    <mergeCell ref="J110:K110"/>
    <mergeCell ref="J106:K106"/>
    <mergeCell ref="J88:K88"/>
    <mergeCell ref="J89:K89"/>
    <mergeCell ref="J68:K68"/>
    <mergeCell ref="J69:K69"/>
    <mergeCell ref="J70:K70"/>
    <mergeCell ref="J71:K71"/>
    <mergeCell ref="K84:O84"/>
    <mergeCell ref="J86:K86"/>
    <mergeCell ref="J50:K50"/>
    <mergeCell ref="K63:O63"/>
    <mergeCell ref="N81:O81"/>
    <mergeCell ref="K83:O83"/>
    <mergeCell ref="J72:K72"/>
    <mergeCell ref="N61:O61"/>
    <mergeCell ref="K64:O64"/>
    <mergeCell ref="J66:K66"/>
    <mergeCell ref="M73:N73"/>
    <mergeCell ref="M75:N75"/>
    <mergeCell ref="N79:O79"/>
    <mergeCell ref="N80:O80"/>
    <mergeCell ref="M34:N34"/>
    <mergeCell ref="N42:O42"/>
    <mergeCell ref="K44:O44"/>
    <mergeCell ref="K45:O45"/>
    <mergeCell ref="N60:O60"/>
    <mergeCell ref="J51:K51"/>
    <mergeCell ref="J52:K52"/>
    <mergeCell ref="M53:N53"/>
    <mergeCell ref="J31:K31"/>
    <mergeCell ref="M55:N55"/>
    <mergeCell ref="N59:O59"/>
    <mergeCell ref="M36:N36"/>
    <mergeCell ref="N40:O40"/>
    <mergeCell ref="J33:K33"/>
    <mergeCell ref="N41:O41"/>
    <mergeCell ref="J47:K47"/>
    <mergeCell ref="J49:K49"/>
    <mergeCell ref="K2:O2"/>
    <mergeCell ref="K3:O3"/>
    <mergeCell ref="J5:K5"/>
    <mergeCell ref="J7:K7"/>
    <mergeCell ref="J32:K32"/>
    <mergeCell ref="J29:K29"/>
    <mergeCell ref="J30:K30"/>
    <mergeCell ref="M13:N13"/>
    <mergeCell ref="N17:O17"/>
    <mergeCell ref="N18:O18"/>
    <mergeCell ref="N19:O19"/>
    <mergeCell ref="J24:K24"/>
    <mergeCell ref="K22:O22"/>
    <mergeCell ref="J27:K27"/>
    <mergeCell ref="J8:K8"/>
    <mergeCell ref="J9:K9"/>
    <mergeCell ref="J10:K10"/>
    <mergeCell ref="M11:N11"/>
    <mergeCell ref="J26:K26"/>
    <mergeCell ref="K21:O21"/>
    <mergeCell ref="J28:K28"/>
    <mergeCell ref="F266:G266"/>
    <mergeCell ref="B248:C248"/>
    <mergeCell ref="B222:C222"/>
    <mergeCell ref="E235:F235"/>
    <mergeCell ref="F241:G241"/>
    <mergeCell ref="E233:F233"/>
    <mergeCell ref="B229:C229"/>
    <mergeCell ref="B232:C232"/>
    <mergeCell ref="F239:G239"/>
    <mergeCell ref="F240:G240"/>
    <mergeCell ref="B224:C224"/>
    <mergeCell ref="B231:C231"/>
    <mergeCell ref="B228:C228"/>
    <mergeCell ref="B273:C273"/>
    <mergeCell ref="B277:C277"/>
    <mergeCell ref="B275:C275"/>
    <mergeCell ref="B276:C276"/>
    <mergeCell ref="B274:C274"/>
    <mergeCell ref="B253:C253"/>
    <mergeCell ref="B252:C252"/>
    <mergeCell ref="F332:G332"/>
    <mergeCell ref="B317:C317"/>
    <mergeCell ref="B320:C320"/>
    <mergeCell ref="E324:F324"/>
    <mergeCell ref="E326:F326"/>
    <mergeCell ref="F331:G331"/>
    <mergeCell ref="F330:G330"/>
    <mergeCell ref="B323:C323"/>
    <mergeCell ref="B322:C322"/>
    <mergeCell ref="B318:C318"/>
    <mergeCell ref="B315:C315"/>
    <mergeCell ref="C310:G310"/>
    <mergeCell ref="B313:C313"/>
    <mergeCell ref="B321:C321"/>
    <mergeCell ref="B319:C319"/>
    <mergeCell ref="B316:C316"/>
    <mergeCell ref="F308:G308"/>
    <mergeCell ref="C311:G311"/>
    <mergeCell ref="F306:G306"/>
    <mergeCell ref="F307:G307"/>
    <mergeCell ref="B295:C295"/>
    <mergeCell ref="E302:F302"/>
    <mergeCell ref="E300:F300"/>
    <mergeCell ref="B296:C296"/>
    <mergeCell ref="B297:C297"/>
    <mergeCell ref="B257:C257"/>
    <mergeCell ref="F264:G264"/>
    <mergeCell ref="C289:G289"/>
    <mergeCell ref="B292:C292"/>
    <mergeCell ref="F287:G287"/>
    <mergeCell ref="E258:F258"/>
    <mergeCell ref="E260:F260"/>
    <mergeCell ref="F265:G265"/>
    <mergeCell ref="F286:G286"/>
    <mergeCell ref="E281:F281"/>
    <mergeCell ref="B298:C298"/>
    <mergeCell ref="B299:C299"/>
    <mergeCell ref="B271:C271"/>
    <mergeCell ref="C268:G268"/>
    <mergeCell ref="C269:G269"/>
    <mergeCell ref="B294:C294"/>
    <mergeCell ref="C290:G290"/>
    <mergeCell ref="F285:G285"/>
    <mergeCell ref="E279:F279"/>
    <mergeCell ref="B278:C278"/>
    <mergeCell ref="F140:G140"/>
    <mergeCell ref="C143:G143"/>
    <mergeCell ref="B175:C175"/>
    <mergeCell ref="B154:C154"/>
    <mergeCell ref="B145:C145"/>
    <mergeCell ref="B147:C147"/>
    <mergeCell ref="F165:G165"/>
    <mergeCell ref="B151:C151"/>
    <mergeCell ref="B152:C152"/>
    <mergeCell ref="B149:C149"/>
    <mergeCell ref="B201:C201"/>
    <mergeCell ref="B202:C202"/>
    <mergeCell ref="C194:G194"/>
    <mergeCell ref="E209:F209"/>
    <mergeCell ref="B204:C204"/>
    <mergeCell ref="B205:C205"/>
    <mergeCell ref="B197:C197"/>
    <mergeCell ref="F213:G213"/>
    <mergeCell ref="C217:G217"/>
    <mergeCell ref="F215:G215"/>
    <mergeCell ref="F214:G214"/>
    <mergeCell ref="B230:C230"/>
    <mergeCell ref="B220:C220"/>
    <mergeCell ref="B227:C227"/>
    <mergeCell ref="B249:C249"/>
    <mergeCell ref="B256:C256"/>
    <mergeCell ref="B223:C223"/>
    <mergeCell ref="B226:C226"/>
    <mergeCell ref="B255:C255"/>
    <mergeCell ref="B225:C225"/>
    <mergeCell ref="B251:C251"/>
    <mergeCell ref="C244:G244"/>
    <mergeCell ref="B250:C250"/>
    <mergeCell ref="B254:C254"/>
    <mergeCell ref="B246:C246"/>
    <mergeCell ref="C243:G243"/>
    <mergeCell ref="B71:C71"/>
    <mergeCell ref="E75:F75"/>
    <mergeCell ref="E11:F11"/>
    <mergeCell ref="B8:C8"/>
    <mergeCell ref="B91:C91"/>
    <mergeCell ref="B92:C92"/>
    <mergeCell ref="F118:G118"/>
    <mergeCell ref="B33:C33"/>
    <mergeCell ref="B29:C29"/>
    <mergeCell ref="B30:C30"/>
    <mergeCell ref="F17:G17"/>
    <mergeCell ref="E13:F13"/>
    <mergeCell ref="F19:G19"/>
    <mergeCell ref="B70:C70"/>
    <mergeCell ref="C63:G63"/>
    <mergeCell ref="B68:C68"/>
    <mergeCell ref="C64:G64"/>
    <mergeCell ref="B69:C69"/>
    <mergeCell ref="B66:C66"/>
    <mergeCell ref="F42:G42"/>
    <mergeCell ref="F41:G41"/>
    <mergeCell ref="E36:F36"/>
    <mergeCell ref="E34:F34"/>
    <mergeCell ref="F40:G40"/>
    <mergeCell ref="B47:C47"/>
    <mergeCell ref="B52:C52"/>
    <mergeCell ref="B49:C49"/>
    <mergeCell ref="E55:F55"/>
    <mergeCell ref="C44:G44"/>
    <mergeCell ref="C45:G45"/>
    <mergeCell ref="E53:F53"/>
    <mergeCell ref="B51:C51"/>
    <mergeCell ref="C2:G2"/>
    <mergeCell ref="B27:C27"/>
    <mergeCell ref="B5:C5"/>
    <mergeCell ref="B10:C10"/>
    <mergeCell ref="B24:C24"/>
    <mergeCell ref="C3:G3"/>
    <mergeCell ref="B28:C28"/>
    <mergeCell ref="B32:C32"/>
    <mergeCell ref="B31:C31"/>
    <mergeCell ref="B7:C7"/>
    <mergeCell ref="C22:G22"/>
    <mergeCell ref="B9:C9"/>
    <mergeCell ref="F18:G18"/>
    <mergeCell ref="B26:C26"/>
    <mergeCell ref="C21:G21"/>
    <mergeCell ref="C83:G83"/>
    <mergeCell ref="B127:C127"/>
    <mergeCell ref="F60:G60"/>
    <mergeCell ref="B50:C50"/>
    <mergeCell ref="B86:C86"/>
    <mergeCell ref="C84:G84"/>
    <mergeCell ref="B72:C72"/>
    <mergeCell ref="F81:G81"/>
    <mergeCell ref="F59:G59"/>
    <mergeCell ref="F61:G61"/>
    <mergeCell ref="E73:F73"/>
    <mergeCell ref="F80:G80"/>
    <mergeCell ref="B88:C88"/>
    <mergeCell ref="B90:C90"/>
    <mergeCell ref="F101:G101"/>
    <mergeCell ref="E95:F95"/>
    <mergeCell ref="B125:C125"/>
    <mergeCell ref="F99:G99"/>
    <mergeCell ref="C122:G122"/>
    <mergeCell ref="E93:F93"/>
    <mergeCell ref="B109:C109"/>
    <mergeCell ref="B108:C108"/>
    <mergeCell ref="E112:F112"/>
    <mergeCell ref="F79:G79"/>
    <mergeCell ref="B111:C111"/>
    <mergeCell ref="B131:C131"/>
    <mergeCell ref="B110:C110"/>
    <mergeCell ref="B89:C89"/>
    <mergeCell ref="C104:G104"/>
    <mergeCell ref="F100:G100"/>
    <mergeCell ref="C103:G103"/>
    <mergeCell ref="B106:C106"/>
    <mergeCell ref="B128:C128"/>
    <mergeCell ref="B173:C173"/>
    <mergeCell ref="E132:F132"/>
    <mergeCell ref="F119:G119"/>
    <mergeCell ref="E134:F134"/>
    <mergeCell ref="B150:C150"/>
    <mergeCell ref="B177:C177"/>
    <mergeCell ref="B178:C178"/>
    <mergeCell ref="F139:G139"/>
    <mergeCell ref="B157:C157"/>
    <mergeCell ref="C168:G168"/>
    <mergeCell ref="F166:G166"/>
    <mergeCell ref="B155:C155"/>
    <mergeCell ref="E158:F158"/>
    <mergeCell ref="F164:G164"/>
    <mergeCell ref="E160:F160"/>
    <mergeCell ref="B156:C156"/>
    <mergeCell ref="F138:G138"/>
    <mergeCell ref="F120:G120"/>
    <mergeCell ref="B148:C148"/>
    <mergeCell ref="B130:C130"/>
    <mergeCell ref="B129:C129"/>
    <mergeCell ref="C142:G142"/>
    <mergeCell ref="E207:F207"/>
    <mergeCell ref="B206:C206"/>
    <mergeCell ref="E184:F184"/>
    <mergeCell ref="B153:C153"/>
    <mergeCell ref="B176:C176"/>
    <mergeCell ref="B180:C180"/>
    <mergeCell ref="E114:F114"/>
    <mergeCell ref="C218:G218"/>
    <mergeCell ref="C195:G195"/>
    <mergeCell ref="B199:C199"/>
    <mergeCell ref="B203:C203"/>
    <mergeCell ref="B171:C171"/>
    <mergeCell ref="B179:C179"/>
    <mergeCell ref="B174:C174"/>
    <mergeCell ref="B181:C181"/>
    <mergeCell ref="F192:G192"/>
    <mergeCell ref="B182:C182"/>
    <mergeCell ref="B200:C200"/>
    <mergeCell ref="F191:G191"/>
    <mergeCell ref="C123:G123"/>
    <mergeCell ref="E186:F186"/>
    <mergeCell ref="B183:C183"/>
    <mergeCell ref="F190:G190"/>
    <mergeCell ref="C169:G169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94" orientation="portrait" horizontalDpi="4294967293" r:id="rId1"/>
  <headerFooter alignWithMargins="0">
    <oddHeader>&amp;L&amp;8HRVATSKE CESTE d.o.o.&amp;C&amp;8STANDARD REDOVNOG ODRŽAVANJA CESTA 2009.&amp;R&amp;8&amp;D</oddHeader>
    <oddFooter>&amp;L&amp;8&amp;F&amp;C&amp;8&amp;A&amp;R&amp;8&amp;P / &amp;N</oddFooter>
  </headerFooter>
  <rowBreaks count="14" manualBreakCount="14">
    <brk id="19" max="16383" man="1"/>
    <brk id="42" max="6" man="1"/>
    <brk id="61" max="6" man="1"/>
    <brk id="81" max="6" man="1"/>
    <brk id="101" max="6" man="1"/>
    <brk id="120" max="6" man="1"/>
    <brk id="140" max="6" man="1"/>
    <brk id="166" max="6" man="1"/>
    <brk id="192" max="6" man="1"/>
    <brk id="215" max="6" man="1"/>
    <brk id="241" max="6" man="1"/>
    <brk id="266" max="6" man="1"/>
    <brk id="287" max="6" man="1"/>
    <brk id="308" max="6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'Cjenik RS'!$C$11:$C$26</xm:f>
          </x14:formula1>
          <xm:sqref>E112:F112 B8:C8 J8:K8 B27:C27 J27:K27 B50:C50 J50:K50 B69:C69 J69:K69 B89:C89 J89:K89 J109:K109 B108:C109 B128:C128 J128:K128 B148:C148 J148:K148 B174:C174 J174:K174 B200:C200 J200:K200 B223:C223 J223:K223 B249:C249 J249:K249 B274:C274 J274:K274 B295:C295 J295:K295 B316:C316 J316:K316</xm:sqref>
        </x14:dataValidation>
        <x14:dataValidation type="list" allowBlank="1" showInputMessage="1" showErrorMessage="1" xr:uid="{00000000-0002-0000-0400-000001000000}">
          <x14:formula1>
            <xm:f>'Cjenik VSO (pomoćna)'!$B$9:$B$13</xm:f>
          </x14:formula1>
          <xm:sqref>J318:K319 B318:C319 B297:C299 J297:K299 J276:K278 B276:C278 B251:C255 J251:K255 J225:K230 B225:C230 B202:C206 J202:K206 B176:C179 J176:K179 B150:C153 J150:K153 J130:K131 B130:C131 J111:K111 B111:C111 B91:C92 J91:K92 J71:K72 B71:C72 B52:C52 J52:K52 J10:K10 J29:K31 B29:C31 B10:C10</xm:sqref>
        </x14:dataValidation>
        <x14:dataValidation type="list" allowBlank="1" showInputMessage="1" showErrorMessage="1" xr:uid="{00000000-0002-0000-0400-000002000000}">
          <x14:formula1>
            <xm:f>'Cjenik M'!$B$11:$B$119</xm:f>
          </x14:formula1>
          <xm:sqref>B33:C33 J33:K33 B155:C157 J155:K157 B181:C183 J181:K183 B232:C232 J232:K232 B257:C257 J257:K257 B321:C323 J321:K323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P298"/>
  <sheetViews>
    <sheetView showZeros="0" topLeftCell="B256" zoomScale="115" zoomScaleNormal="115" zoomScaleSheetLayoutView="100" workbookViewId="0">
      <selection activeCell="B256" sqref="B256:C256"/>
    </sheetView>
  </sheetViews>
  <sheetFormatPr defaultRowHeight="12.75"/>
  <cols>
    <col min="1" max="1" width="3.7109375" style="1" customWidth="1"/>
    <col min="2" max="2" width="10.7109375" style="37" customWidth="1"/>
    <col min="3" max="3" width="25.7109375" style="2" customWidth="1"/>
    <col min="4" max="4" width="6.7109375" style="3" customWidth="1"/>
    <col min="5" max="5" width="11.7109375" style="4" customWidth="1"/>
    <col min="6" max="6" width="11.7109375" style="30" customWidth="1"/>
    <col min="7" max="7" width="11.7109375" style="5" customWidth="1"/>
    <col min="8" max="8" width="9.140625" style="2"/>
    <col min="9" max="9" width="3.7109375" style="1" customWidth="1"/>
    <col min="10" max="10" width="10.7109375" style="37" customWidth="1"/>
    <col min="11" max="11" width="25.7109375" style="2" customWidth="1"/>
    <col min="12" max="12" width="6.7109375" style="3" customWidth="1"/>
    <col min="13" max="13" width="11.7109375" style="4" customWidth="1"/>
    <col min="14" max="14" width="11.7109375" style="30" customWidth="1"/>
    <col min="15" max="15" width="11.7109375" style="5" customWidth="1"/>
    <col min="16" max="16384" width="9.140625" style="2"/>
  </cols>
  <sheetData>
    <row r="1" spans="1:15" ht="15" customHeight="1"/>
    <row r="2" spans="1:15" s="6" customFormat="1" ht="15" customHeight="1">
      <c r="A2" s="144"/>
      <c r="B2" s="145" t="s">
        <v>27</v>
      </c>
      <c r="C2" s="836" t="s">
        <v>224</v>
      </c>
      <c r="D2" s="836"/>
      <c r="E2" s="836"/>
      <c r="F2" s="836"/>
      <c r="G2" s="836"/>
      <c r="I2" s="144"/>
      <c r="J2" s="145" t="s">
        <v>27</v>
      </c>
      <c r="K2" s="836" t="s">
        <v>224</v>
      </c>
      <c r="L2" s="836"/>
      <c r="M2" s="836"/>
      <c r="N2" s="836"/>
      <c r="O2" s="836"/>
    </row>
    <row r="3" spans="1:15" ht="150" customHeight="1">
      <c r="A3" s="40"/>
      <c r="B3" s="556" t="s">
        <v>29</v>
      </c>
      <c r="C3" s="852" t="s">
        <v>225</v>
      </c>
      <c r="D3" s="852"/>
      <c r="E3" s="852"/>
      <c r="F3" s="852"/>
      <c r="G3" s="852"/>
      <c r="I3" s="40"/>
      <c r="J3" s="41" t="s">
        <v>29</v>
      </c>
      <c r="K3" s="869" t="s">
        <v>225</v>
      </c>
      <c r="L3" s="869"/>
      <c r="M3" s="869"/>
      <c r="N3" s="869"/>
      <c r="O3" s="869"/>
    </row>
    <row r="4" spans="1:15" ht="15" customHeight="1" thickBot="1"/>
    <row r="5" spans="1:15" s="11" customFormat="1" ht="30" customHeight="1" thickTop="1" thickBot="1">
      <c r="A5" s="10"/>
      <c r="B5" s="835" t="str">
        <f>'Obrazac kalkulacije'!$B$6:$C$6</f>
        <v>Opis</v>
      </c>
      <c r="C5" s="835"/>
      <c r="D5" s="10" t="str">
        <f>'Obrazac kalkulacije'!$D$6</f>
        <v>Jed.
mjere</v>
      </c>
      <c r="E5" s="10" t="str">
        <f>'Obrazac kalkulacije'!$E$6</f>
        <v>Normativ</v>
      </c>
      <c r="F5" s="10" t="str">
        <f>'Obrazac kalkulacije'!$F$6</f>
        <v>Jed.
cijena</v>
      </c>
      <c r="G5" s="10" t="str">
        <f>'Obrazac kalkulacije'!$G$6</f>
        <v>Iznos</v>
      </c>
      <c r="I5" s="10"/>
      <c r="J5" s="835" t="e">
        <f>'Obrazac kalkulacije'!$B$6:$C$6</f>
        <v>#VALUE!</v>
      </c>
      <c r="K5" s="835"/>
      <c r="L5" s="10" t="str">
        <f>'Obrazac kalkulacije'!$D$6</f>
        <v>Jed.
mjere</v>
      </c>
      <c r="M5" s="10" t="str">
        <f>'Obrazac kalkulacije'!$E$6</f>
        <v>Normativ</v>
      </c>
      <c r="N5" s="10" t="str">
        <f>'Obrazac kalkulacije'!$F$6</f>
        <v>Jed.
cijena</v>
      </c>
      <c r="O5" s="10" t="str">
        <f>'Obrazac kalkulacije'!$G$6</f>
        <v>Iznos</v>
      </c>
    </row>
    <row r="6" spans="1:15" s="12" customFormat="1" ht="4.5" customHeight="1" thickTop="1">
      <c r="A6" s="1"/>
      <c r="B6" s="42"/>
      <c r="C6" s="1"/>
      <c r="D6" s="11"/>
      <c r="E6" s="13"/>
      <c r="F6" s="258"/>
      <c r="G6" s="15"/>
      <c r="I6" s="1"/>
      <c r="J6" s="42"/>
      <c r="K6" s="1"/>
      <c r="L6" s="11"/>
      <c r="M6" s="13"/>
      <c r="N6" s="258"/>
      <c r="O6" s="15"/>
    </row>
    <row r="7" spans="1:15" s="12" customFormat="1" ht="25.15" customHeight="1">
      <c r="A7" s="16"/>
      <c r="B7" s="837" t="str">
        <f>'Obrazac kalkulacije'!$B$8</f>
        <v>Radna snaga:</v>
      </c>
      <c r="C7" s="837"/>
      <c r="D7" s="16"/>
      <c r="E7" s="16"/>
      <c r="F7" s="44"/>
      <c r="G7" s="18">
        <f>SUM(G8:G8)</f>
        <v>98.54</v>
      </c>
      <c r="I7" s="16"/>
      <c r="J7" s="837" t="str">
        <f>'Obrazac kalkulacije'!$B$8</f>
        <v>Radna snaga:</v>
      </c>
      <c r="K7" s="837"/>
      <c r="L7" s="16"/>
      <c r="M7" s="16"/>
      <c r="N7" s="44"/>
      <c r="O7" s="18">
        <f>SUM(O8:O8)</f>
        <v>98.54</v>
      </c>
    </row>
    <row r="8" spans="1:15" s="12" customFormat="1" ht="25.15" customHeight="1">
      <c r="A8" s="32"/>
      <c r="B8" s="854" t="s">
        <v>53</v>
      </c>
      <c r="C8" s="854"/>
      <c r="D8" s="33" t="s">
        <v>51</v>
      </c>
      <c r="E8" s="34">
        <v>1</v>
      </c>
      <c r="F8" s="238">
        <f>SUMIF('Cjenik RS'!$C$11:$C$26,$B8,'Cjenik RS'!$D$11:$D$90)</f>
        <v>98.54</v>
      </c>
      <c r="G8" s="35">
        <f>+F8*E8</f>
        <v>98.54</v>
      </c>
      <c r="I8" s="32"/>
      <c r="J8" s="854" t="s">
        <v>53</v>
      </c>
      <c r="K8" s="854"/>
      <c r="L8" s="33" t="s">
        <v>51</v>
      </c>
      <c r="M8" s="34">
        <v>1</v>
      </c>
      <c r="N8" s="238">
        <f>SUMIF('Cjenik RS'!$C$11:$C$26,$B8,'Cjenik RS'!$D$11:$D$90)</f>
        <v>98.54</v>
      </c>
      <c r="O8" s="35">
        <f>+N8*M8</f>
        <v>98.54</v>
      </c>
    </row>
    <row r="9" spans="1:15" s="12" customFormat="1" ht="25.15" customHeight="1">
      <c r="A9" s="16"/>
      <c r="B9" s="837" t="str">
        <f>'Obrazac kalkulacije'!$B$11</f>
        <v>Vozila, strojevi i oprema:</v>
      </c>
      <c r="C9" s="837"/>
      <c r="D9" s="16"/>
      <c r="E9" s="16"/>
      <c r="F9" s="238"/>
      <c r="G9" s="18">
        <f>SUM(G10)</f>
        <v>14.368</v>
      </c>
      <c r="I9" s="16"/>
      <c r="J9" s="837" t="str">
        <f>'Obrazac kalkulacije'!$B$11</f>
        <v>Vozila, strojevi i oprema:</v>
      </c>
      <c r="K9" s="837"/>
      <c r="L9" s="16"/>
      <c r="M9" s="16"/>
      <c r="N9" s="238"/>
      <c r="O9" s="18">
        <f>SUM(O10)</f>
        <v>18.5792608</v>
      </c>
    </row>
    <row r="10" spans="1:15" s="12" customFormat="1" ht="25.15" customHeight="1" thickBot="1">
      <c r="A10" s="43"/>
      <c r="B10" s="864" t="s">
        <v>69</v>
      </c>
      <c r="C10" s="864"/>
      <c r="D10" s="62" t="s">
        <v>51</v>
      </c>
      <c r="E10" s="63">
        <v>0.08</v>
      </c>
      <c r="F10" s="238">
        <f>SUMIF('Cjenik VSO'!$B$9:$B$85,$B10,'Cjenik VSO'!$C$9:$C$85)</f>
        <v>179.6</v>
      </c>
      <c r="G10" s="65">
        <f>E10*F10</f>
        <v>14.368</v>
      </c>
      <c r="I10" s="43"/>
      <c r="J10" s="864" t="s">
        <v>69</v>
      </c>
      <c r="K10" s="864"/>
      <c r="L10" s="62" t="s">
        <v>51</v>
      </c>
      <c r="M10" s="63">
        <v>0.103448</v>
      </c>
      <c r="N10" s="238">
        <f>SUMIF('Cjenik VSO'!$B$9:$B$85,$B10,'Cjenik VSO'!$C$9:$C$85)</f>
        <v>179.6</v>
      </c>
      <c r="O10" s="65">
        <f>M10*N10</f>
        <v>18.5792608</v>
      </c>
    </row>
    <row r="11" spans="1:15" ht="25.15" customHeight="1" thickTop="1" thickBot="1">
      <c r="B11" s="47"/>
      <c r="C11" s="24"/>
      <c r="D11" s="25"/>
      <c r="E11" s="850" t="str">
        <f>'Obrazac kalkulacije'!$E$18</f>
        <v>Ukupno (kn):</v>
      </c>
      <c r="F11" s="850"/>
      <c r="G11" s="26">
        <f>ROUND(SUM(G7+G9),2)</f>
        <v>112.91</v>
      </c>
      <c r="H11" s="269" t="e">
        <f>SUMIF(#REF!,B3,#REF!)</f>
        <v>#REF!</v>
      </c>
      <c r="J11" s="47"/>
      <c r="K11" s="24"/>
      <c r="L11" s="25"/>
      <c r="M11" s="850" t="str">
        <f>'Obrazac kalkulacije'!$E$18</f>
        <v>Ukupno (kn):</v>
      </c>
      <c r="N11" s="850"/>
      <c r="O11" s="26">
        <f>ROUND(SUM(O7+O9),2)</f>
        <v>117.12</v>
      </c>
    </row>
    <row r="12" spans="1:15" ht="25.15" customHeight="1" thickTop="1" thickBot="1">
      <c r="E12" s="27" t="str">
        <f>'Obrazac kalkulacije'!$E$19</f>
        <v>PDV:</v>
      </c>
      <c r="F12" s="259">
        <f>'Obrazac kalkulacije'!$F$19</f>
        <v>0.25</v>
      </c>
      <c r="G12" s="29">
        <f>G11*F12</f>
        <v>28.227499999999999</v>
      </c>
      <c r="H12" s="270" t="e">
        <f>H11-G11</f>
        <v>#REF!</v>
      </c>
      <c r="M12" s="27" t="str">
        <f>'Obrazac kalkulacije'!$E$19</f>
        <v>PDV:</v>
      </c>
      <c r="N12" s="259">
        <f>'Obrazac kalkulacije'!$F$19</f>
        <v>0.25</v>
      </c>
      <c r="O12" s="29">
        <f>O11*N12</f>
        <v>29.28</v>
      </c>
    </row>
    <row r="13" spans="1:15" ht="25.15" customHeight="1" thickTop="1" thickBot="1">
      <c r="E13" s="840" t="str">
        <f>'Obrazac kalkulacije'!$E$20</f>
        <v>Sveukupno (kn):</v>
      </c>
      <c r="F13" s="840"/>
      <c r="G13" s="29">
        <f>ROUND(SUM(G11:G12),2)</f>
        <v>141.13999999999999</v>
      </c>
      <c r="H13" s="271" t="e">
        <f>G10+H12</f>
        <v>#REF!</v>
      </c>
      <c r="M13" s="840" t="str">
        <f>'Obrazac kalkulacije'!$E$20</f>
        <v>Sveukupno (kn):</v>
      </c>
      <c r="N13" s="840"/>
      <c r="O13" s="29">
        <f>ROUND(SUM(O11:O12),2)</f>
        <v>146.4</v>
      </c>
    </row>
    <row r="14" spans="1:15" ht="15" customHeight="1" thickTop="1"/>
    <row r="15" spans="1:15" ht="15" customHeight="1"/>
    <row r="16" spans="1:15" ht="15" customHeight="1"/>
    <row r="17" spans="1:16" ht="15" customHeight="1">
      <c r="C17" s="3" t="str">
        <f>'Obrazac kalkulacije'!$C$24</f>
        <v>IZVODITELJ:</v>
      </c>
      <c r="F17" s="841" t="str">
        <f>'Obrazac kalkulacije'!$F$24</f>
        <v>NARUČITELJ:</v>
      </c>
      <c r="G17" s="841"/>
      <c r="K17" s="3" t="str">
        <f>'Obrazac kalkulacije'!$C$24</f>
        <v>IZVODITELJ:</v>
      </c>
      <c r="N17" s="841" t="str">
        <f>'Obrazac kalkulacije'!$F$24</f>
        <v>NARUČITELJ:</v>
      </c>
      <c r="O17" s="841"/>
    </row>
    <row r="18" spans="1:16" ht="25.15" customHeight="1">
      <c r="C18" s="3" t="str">
        <f>'Obrazac kalkulacije'!$C$25</f>
        <v>__________________</v>
      </c>
      <c r="F18" s="841" t="str">
        <f>'Obrazac kalkulacije'!$F$25</f>
        <v>___________________</v>
      </c>
      <c r="G18" s="841"/>
      <c r="K18" s="3" t="str">
        <f>'Obrazac kalkulacije'!$C$25</f>
        <v>__________________</v>
      </c>
      <c r="N18" s="841" t="str">
        <f>'Obrazac kalkulacije'!$F$25</f>
        <v>___________________</v>
      </c>
      <c r="O18" s="841"/>
    </row>
    <row r="19" spans="1:16">
      <c r="F19" s="841"/>
      <c r="G19" s="841"/>
      <c r="N19" s="841"/>
      <c r="O19" s="841"/>
    </row>
    <row r="20" spans="1:16" ht="15" customHeight="1"/>
    <row r="21" spans="1:16" ht="15" customHeight="1">
      <c r="A21" s="274"/>
      <c r="B21" s="145" t="s">
        <v>27</v>
      </c>
      <c r="C21" s="836" t="s">
        <v>224</v>
      </c>
      <c r="D21" s="836"/>
      <c r="E21" s="836"/>
      <c r="F21" s="836"/>
      <c r="G21" s="836"/>
      <c r="I21" s="144"/>
      <c r="J21" s="145" t="s">
        <v>27</v>
      </c>
      <c r="K21" s="836" t="s">
        <v>224</v>
      </c>
      <c r="L21" s="836"/>
      <c r="M21" s="836"/>
      <c r="N21" s="836"/>
      <c r="O21" s="836"/>
    </row>
    <row r="22" spans="1:16" ht="150" customHeight="1">
      <c r="A22" s="611"/>
      <c r="B22" s="556" t="s">
        <v>30</v>
      </c>
      <c r="C22" s="852" t="s">
        <v>226</v>
      </c>
      <c r="D22" s="852"/>
      <c r="E22" s="852"/>
      <c r="F22" s="852"/>
      <c r="G22" s="852"/>
      <c r="I22" s="40"/>
      <c r="J22" s="41" t="s">
        <v>30</v>
      </c>
      <c r="K22" s="869" t="s">
        <v>227</v>
      </c>
      <c r="L22" s="869"/>
      <c r="M22" s="869"/>
      <c r="N22" s="869"/>
      <c r="O22" s="869"/>
    </row>
    <row r="23" spans="1:16" ht="15" customHeight="1" thickBot="1"/>
    <row r="24" spans="1:16" ht="30" customHeight="1" thickTop="1" thickBot="1">
      <c r="A24" s="10"/>
      <c r="B24" s="835" t="str">
        <f>'Obrazac kalkulacije'!$B$6:$C$6</f>
        <v>Opis</v>
      </c>
      <c r="C24" s="835"/>
      <c r="D24" s="10" t="str">
        <f>'Obrazac kalkulacije'!$D$6</f>
        <v>Jed.
mjere</v>
      </c>
      <c r="E24" s="10" t="str">
        <f>'Obrazac kalkulacije'!$E$6</f>
        <v>Normativ</v>
      </c>
      <c r="F24" s="10" t="str">
        <f>'Obrazac kalkulacije'!$F$6</f>
        <v>Jed.
cijena</v>
      </c>
      <c r="G24" s="10" t="str">
        <f>'Obrazac kalkulacije'!$G$6</f>
        <v>Iznos</v>
      </c>
      <c r="H24" s="622">
        <v>40</v>
      </c>
      <c r="I24" s="10"/>
      <c r="J24" s="835" t="e">
        <f>'Obrazac kalkulacije'!$B$6:$C$6</f>
        <v>#VALUE!</v>
      </c>
      <c r="K24" s="835"/>
      <c r="L24" s="10" t="str">
        <f>'Obrazac kalkulacije'!$D$6</f>
        <v>Jed.
mjere</v>
      </c>
      <c r="M24" s="10" t="str">
        <f>'Obrazac kalkulacije'!$E$6</f>
        <v>Normativ</v>
      </c>
      <c r="N24" s="10" t="str">
        <f>'Obrazac kalkulacije'!$F$6</f>
        <v>Jed.
cijena</v>
      </c>
      <c r="O24" s="10" t="str">
        <f>'Obrazac kalkulacije'!$G$6</f>
        <v>Iznos</v>
      </c>
      <c r="P24" s="2">
        <v>40</v>
      </c>
    </row>
    <row r="25" spans="1:16" ht="4.5" customHeight="1">
      <c r="B25" s="42"/>
      <c r="C25" s="1"/>
      <c r="D25" s="11"/>
      <c r="E25" s="13"/>
      <c r="F25" s="258"/>
      <c r="G25" s="15"/>
      <c r="H25" s="3"/>
      <c r="J25" s="42"/>
      <c r="K25" s="1"/>
      <c r="L25" s="11"/>
      <c r="M25" s="13"/>
      <c r="N25" s="258"/>
      <c r="O25" s="15"/>
    </row>
    <row r="26" spans="1:16" ht="25.15" customHeight="1">
      <c r="A26" s="16"/>
      <c r="B26" s="837" t="str">
        <f>'Obrazac kalkulacije'!$B$8</f>
        <v>Radna snaga:</v>
      </c>
      <c r="C26" s="837"/>
      <c r="D26" s="16"/>
      <c r="E26" s="16"/>
      <c r="F26" s="44"/>
      <c r="G26" s="18">
        <f>SUM(G27:G27)</f>
        <v>39.416000000000004</v>
      </c>
      <c r="H26" s="3"/>
      <c r="I26" s="16"/>
      <c r="J26" s="837" t="str">
        <f>'Obrazac kalkulacije'!$B$8</f>
        <v>Radna snaga:</v>
      </c>
      <c r="K26" s="837"/>
      <c r="L26" s="16"/>
      <c r="M26" s="16"/>
      <c r="N26" s="44"/>
      <c r="O26" s="18">
        <f>SUM(O27:O27)</f>
        <v>39.416000000000004</v>
      </c>
      <c r="P26" s="3"/>
    </row>
    <row r="27" spans="1:16" ht="25.15" customHeight="1">
      <c r="A27" s="32"/>
      <c r="B27" s="854" t="s">
        <v>53</v>
      </c>
      <c r="C27" s="854"/>
      <c r="D27" s="33" t="s">
        <v>51</v>
      </c>
      <c r="E27" s="34">
        <f>H27/H$24</f>
        <v>0.4</v>
      </c>
      <c r="F27" s="238">
        <f>SUMIF('Cjenik RS'!$C$11:$C$26,$B27,'Cjenik RS'!$D$11:$D$90)</f>
        <v>98.54</v>
      </c>
      <c r="G27" s="35">
        <f>+F27*E27</f>
        <v>39.416000000000004</v>
      </c>
      <c r="H27" s="3">
        <v>16</v>
      </c>
      <c r="I27" s="32"/>
      <c r="J27" s="854" t="s">
        <v>53</v>
      </c>
      <c r="K27" s="854"/>
      <c r="L27" s="33" t="s">
        <v>51</v>
      </c>
      <c r="M27" s="34">
        <f>P27/P$24</f>
        <v>0.4</v>
      </c>
      <c r="N27" s="238">
        <f>SUMIF('Cjenik RS'!$C$11:$C$26,$B27,'Cjenik RS'!$D$11:$D$90)</f>
        <v>98.54</v>
      </c>
      <c r="O27" s="35">
        <f>+N27*M27</f>
        <v>39.416000000000004</v>
      </c>
      <c r="P27" s="3">
        <v>16</v>
      </c>
    </row>
    <row r="28" spans="1:16" ht="25.15" customHeight="1">
      <c r="A28" s="16"/>
      <c r="B28" s="837" t="str">
        <f>'Obrazac kalkulacije'!$B$11</f>
        <v>Vozila, strojevi i oprema:</v>
      </c>
      <c r="C28" s="837"/>
      <c r="D28" s="16"/>
      <c r="E28" s="16"/>
      <c r="F28" s="238"/>
      <c r="G28" s="18">
        <f>SUM(G29:G30)</f>
        <v>114.21800000000002</v>
      </c>
      <c r="H28" s="3"/>
      <c r="I28" s="16"/>
      <c r="J28" s="837" t="str">
        <f>'Obrazac kalkulacije'!$B$11</f>
        <v>Vozila, strojevi i oprema:</v>
      </c>
      <c r="K28" s="837"/>
      <c r="L28" s="16"/>
      <c r="M28" s="16"/>
      <c r="N28" s="238"/>
      <c r="O28" s="18">
        <f>SUM(O29:O30)</f>
        <v>114.21800000000002</v>
      </c>
      <c r="P28" s="3"/>
    </row>
    <row r="29" spans="1:16" ht="25.15" customHeight="1">
      <c r="A29" s="51"/>
      <c r="B29" s="849" t="s">
        <v>73</v>
      </c>
      <c r="C29" s="849"/>
      <c r="D29" s="52" t="s">
        <v>51</v>
      </c>
      <c r="E29" s="34">
        <f>H29/H$24</f>
        <v>0.2</v>
      </c>
      <c r="F29" s="260">
        <f>SUMIF('Cjenik VSO'!$B$9:$B$85,$B29,'Cjenik VSO'!$C$9:$C$85)</f>
        <v>291.72000000000003</v>
      </c>
      <c r="G29" s="54">
        <f>E29*F29</f>
        <v>58.344000000000008</v>
      </c>
      <c r="H29" s="3">
        <v>8</v>
      </c>
      <c r="I29" s="51"/>
      <c r="J29" s="849" t="s">
        <v>73</v>
      </c>
      <c r="K29" s="849"/>
      <c r="L29" s="52" t="s">
        <v>51</v>
      </c>
      <c r="M29" s="34">
        <f>P29/P$24</f>
        <v>0.2</v>
      </c>
      <c r="N29" s="260">
        <f>SUMIF('Cjenik VSO'!$B$9:$B$85,$B29,'Cjenik VSO'!$C$9:$C$85)</f>
        <v>291.72000000000003</v>
      </c>
      <c r="O29" s="54">
        <f>M29*N29</f>
        <v>58.344000000000008</v>
      </c>
      <c r="P29" s="3">
        <v>8</v>
      </c>
    </row>
    <row r="30" spans="1:16" ht="25.15" customHeight="1">
      <c r="A30" s="61"/>
      <c r="B30" s="855" t="s">
        <v>97</v>
      </c>
      <c r="C30" s="855"/>
      <c r="D30" s="62" t="s">
        <v>51</v>
      </c>
      <c r="E30" s="34">
        <f>H30/H$24</f>
        <v>0.2</v>
      </c>
      <c r="F30" s="261">
        <f>SUMIF('Cjenik VSO'!$B$9:$B$85,$B30,'Cjenik VSO'!$C$9:$C$85)</f>
        <v>279.37</v>
      </c>
      <c r="G30" s="64">
        <f>E30*F30</f>
        <v>55.874000000000002</v>
      </c>
      <c r="H30" s="3">
        <v>8</v>
      </c>
      <c r="I30" s="61"/>
      <c r="J30" s="855" t="s">
        <v>97</v>
      </c>
      <c r="K30" s="855"/>
      <c r="L30" s="62" t="s">
        <v>51</v>
      </c>
      <c r="M30" s="34">
        <f>P30/P$24</f>
        <v>0.2</v>
      </c>
      <c r="N30" s="261">
        <f>SUMIF('Cjenik VSO'!$B$9:$B$85,$B30,'Cjenik VSO'!$C$9:$C$85)</f>
        <v>279.37</v>
      </c>
      <c r="O30" s="64">
        <f>M30*N30</f>
        <v>55.874000000000002</v>
      </c>
      <c r="P30" s="3">
        <v>8</v>
      </c>
    </row>
    <row r="31" spans="1:16" ht="25.15" customHeight="1">
      <c r="A31" s="88"/>
      <c r="B31" s="837" t="str">
        <f>'Obrazac kalkulacije'!$B$15</f>
        <v>Materijali:</v>
      </c>
      <c r="C31" s="837"/>
      <c r="D31" s="16"/>
      <c r="E31" s="16"/>
      <c r="F31" s="238"/>
      <c r="G31" s="18">
        <f>SUM(G32:G32)</f>
        <v>0</v>
      </c>
      <c r="I31" s="88"/>
      <c r="J31" s="837" t="str">
        <f>'Obrazac kalkulacije'!$B$15</f>
        <v>Materijali:</v>
      </c>
      <c r="K31" s="837"/>
      <c r="L31" s="16"/>
      <c r="M31" s="16"/>
      <c r="N31" s="238"/>
      <c r="O31" s="18">
        <f>SUM(O32:O32)</f>
        <v>0</v>
      </c>
    </row>
    <row r="32" spans="1:16" ht="25.15" customHeight="1">
      <c r="A32" s="66"/>
      <c r="B32" s="859"/>
      <c r="C32" s="859"/>
      <c r="D32" s="67"/>
      <c r="E32" s="68"/>
      <c r="F32" s="262"/>
      <c r="G32" s="70">
        <f>E32*F32</f>
        <v>0</v>
      </c>
      <c r="I32" s="66"/>
      <c r="J32" s="859"/>
      <c r="K32" s="859"/>
      <c r="L32" s="67"/>
      <c r="M32" s="68"/>
      <c r="N32" s="262"/>
      <c r="O32" s="70">
        <f>M32*N32</f>
        <v>0</v>
      </c>
    </row>
    <row r="33" spans="1:16" ht="25.15" customHeight="1">
      <c r="B33" s="47"/>
      <c r="C33" s="24"/>
      <c r="D33" s="25"/>
      <c r="E33" s="850" t="str">
        <f>'Obrazac kalkulacije'!$E$18</f>
        <v>Ukupno (kn):</v>
      </c>
      <c r="F33" s="850"/>
      <c r="G33" s="26">
        <f>ROUND(SUM(G26+G28+G31),2)</f>
        <v>153.63</v>
      </c>
      <c r="H33" s="269" t="e">
        <f>SUMIF(#REF!,B22,#REF!)</f>
        <v>#REF!</v>
      </c>
      <c r="J33" s="47"/>
      <c r="K33" s="24"/>
      <c r="L33" s="25"/>
      <c r="M33" s="850" t="str">
        <f>'Obrazac kalkulacije'!$E$18</f>
        <v>Ukupno (kn):</v>
      </c>
      <c r="N33" s="850"/>
      <c r="O33" s="26">
        <f>ROUND(SUM(O26+O28+O31),2)</f>
        <v>153.63</v>
      </c>
      <c r="P33" s="269" t="e">
        <f>SUMIF(#REF!,J22,#REF!)</f>
        <v>#REF!</v>
      </c>
    </row>
    <row r="34" spans="1:16" ht="25.15" customHeight="1">
      <c r="E34" s="27" t="str">
        <f>'Obrazac kalkulacije'!$E$19</f>
        <v>PDV:</v>
      </c>
      <c r="F34" s="259">
        <f>'Obrazac kalkulacije'!$F$19</f>
        <v>0.25</v>
      </c>
      <c r="G34" s="29">
        <f>G33*F34</f>
        <v>38.407499999999999</v>
      </c>
      <c r="H34" s="270" t="e">
        <f>H33-G33</f>
        <v>#REF!</v>
      </c>
      <c r="M34" s="27" t="str">
        <f>'Obrazac kalkulacije'!$E$19</f>
        <v>PDV:</v>
      </c>
      <c r="N34" s="259">
        <f>'Obrazac kalkulacije'!$F$19</f>
        <v>0.25</v>
      </c>
      <c r="O34" s="29">
        <f>O33*N34</f>
        <v>38.407499999999999</v>
      </c>
      <c r="P34" s="270" t="e">
        <f>P33-O33</f>
        <v>#REF!</v>
      </c>
    </row>
    <row r="35" spans="1:16" ht="25.15" customHeight="1">
      <c r="E35" s="840" t="str">
        <f>'Obrazac kalkulacije'!$E$20</f>
        <v>Sveukupno (kn):</v>
      </c>
      <c r="F35" s="840"/>
      <c r="G35" s="29">
        <f>ROUND(SUM(G33:G34),2)</f>
        <v>192.04</v>
      </c>
      <c r="H35" s="271" t="e">
        <f>G29+H34</f>
        <v>#REF!</v>
      </c>
      <c r="M35" s="840" t="str">
        <f>'Obrazac kalkulacije'!$E$20</f>
        <v>Sveukupno (kn):</v>
      </c>
      <c r="N35" s="840"/>
      <c r="O35" s="29">
        <f>ROUND(SUM(O33:O34),2)</f>
        <v>192.04</v>
      </c>
      <c r="P35" s="271" t="e">
        <f>O29+P34</f>
        <v>#REF!</v>
      </c>
    </row>
    <row r="36" spans="1:16" ht="15" customHeight="1">
      <c r="A36" s="277"/>
      <c r="B36" s="278"/>
      <c r="C36" s="279"/>
      <c r="D36" s="280"/>
      <c r="E36" s="281"/>
      <c r="F36" s="283"/>
      <c r="G36" s="282"/>
    </row>
    <row r="37" spans="1:16" ht="15" customHeight="1">
      <c r="A37" s="277"/>
      <c r="B37" s="278"/>
      <c r="C37" s="279"/>
      <c r="D37" s="280"/>
      <c r="E37" s="281"/>
      <c r="F37" s="283"/>
      <c r="G37" s="282"/>
    </row>
    <row r="38" spans="1:16" ht="15" customHeight="1">
      <c r="A38" s="277"/>
      <c r="B38" s="278"/>
      <c r="C38" s="279"/>
      <c r="D38" s="280"/>
      <c r="E38" s="281"/>
      <c r="F38" s="283"/>
      <c r="G38" s="282"/>
    </row>
    <row r="39" spans="1:16" ht="15" customHeight="1">
      <c r="A39" s="277"/>
      <c r="B39" s="278"/>
      <c r="C39" s="3" t="str">
        <f>'Obrazac kalkulacije'!$C$24</f>
        <v>IZVODITELJ:</v>
      </c>
      <c r="F39" s="841" t="str">
        <f>'Obrazac kalkulacije'!$F$24</f>
        <v>NARUČITELJ:</v>
      </c>
      <c r="G39" s="841"/>
      <c r="K39" s="3" t="str">
        <f>'Obrazac kalkulacije'!$C$24</f>
        <v>IZVODITELJ:</v>
      </c>
      <c r="N39" s="841" t="str">
        <f>'Obrazac kalkulacije'!$F$24</f>
        <v>NARUČITELJ:</v>
      </c>
      <c r="O39" s="841"/>
    </row>
    <row r="40" spans="1:16" ht="25.15" customHeight="1">
      <c r="A40" s="277"/>
      <c r="B40" s="278"/>
      <c r="C40" s="3" t="str">
        <f>'Obrazac kalkulacije'!$C$25</f>
        <v>__________________</v>
      </c>
      <c r="F40" s="841" t="str">
        <f>'Obrazac kalkulacije'!$F$25</f>
        <v>___________________</v>
      </c>
      <c r="G40" s="841"/>
      <c r="K40" s="3" t="str">
        <f>'Obrazac kalkulacije'!$C$25</f>
        <v>__________________</v>
      </c>
      <c r="N40" s="841" t="str">
        <f>'Obrazac kalkulacije'!$F$25</f>
        <v>___________________</v>
      </c>
      <c r="O40" s="841"/>
    </row>
    <row r="41" spans="1:16" ht="15" customHeight="1">
      <c r="A41" s="277"/>
      <c r="B41" s="278"/>
      <c r="C41" s="279"/>
      <c r="D41" s="280"/>
      <c r="E41" s="281"/>
      <c r="F41" s="874"/>
      <c r="G41" s="874"/>
      <c r="N41" s="841"/>
      <c r="O41" s="841"/>
    </row>
    <row r="42" spans="1:16" ht="15" customHeight="1"/>
    <row r="43" spans="1:16" ht="15" customHeight="1">
      <c r="A43" s="144"/>
      <c r="B43" s="145" t="s">
        <v>27</v>
      </c>
      <c r="C43" s="836" t="s">
        <v>224</v>
      </c>
      <c r="D43" s="836"/>
      <c r="E43" s="836"/>
      <c r="F43" s="836"/>
      <c r="G43" s="836"/>
      <c r="I43" s="144"/>
      <c r="J43" s="145" t="s">
        <v>27</v>
      </c>
      <c r="K43" s="836" t="s">
        <v>224</v>
      </c>
      <c r="L43" s="836"/>
      <c r="M43" s="836"/>
      <c r="N43" s="836"/>
      <c r="O43" s="836"/>
    </row>
    <row r="44" spans="1:16" ht="150" customHeight="1">
      <c r="A44" s="40"/>
      <c r="B44" s="556" t="s">
        <v>228</v>
      </c>
      <c r="C44" s="852" t="s">
        <v>229</v>
      </c>
      <c r="D44" s="852"/>
      <c r="E44" s="852"/>
      <c r="F44" s="852"/>
      <c r="G44" s="852"/>
      <c r="I44" s="40"/>
      <c r="J44" s="41" t="s">
        <v>228</v>
      </c>
      <c r="K44" s="869" t="s">
        <v>229</v>
      </c>
      <c r="L44" s="869"/>
      <c r="M44" s="869"/>
      <c r="N44" s="869"/>
      <c r="O44" s="869"/>
    </row>
    <row r="45" spans="1:16" ht="15" customHeight="1" thickBot="1"/>
    <row r="46" spans="1:16" ht="30" customHeight="1" thickTop="1" thickBot="1">
      <c r="A46" s="10"/>
      <c r="B46" s="835" t="str">
        <f>'Obrazac kalkulacije'!$B$6:$C$6</f>
        <v>Opis</v>
      </c>
      <c r="C46" s="835"/>
      <c r="D46" s="10" t="str">
        <f>'Obrazac kalkulacije'!$D$6</f>
        <v>Jed.
mjere</v>
      </c>
      <c r="E46" s="10" t="str">
        <f>'Obrazac kalkulacije'!$E$6</f>
        <v>Normativ</v>
      </c>
      <c r="F46" s="10" t="str">
        <f>'Obrazac kalkulacije'!$F$6</f>
        <v>Jed.
cijena</v>
      </c>
      <c r="G46" s="10" t="str">
        <f>'Obrazac kalkulacije'!$G$6</f>
        <v>Iznos</v>
      </c>
      <c r="I46" s="10"/>
      <c r="J46" s="835" t="e">
        <f>'Obrazac kalkulacije'!$B$6:$C$6</f>
        <v>#VALUE!</v>
      </c>
      <c r="K46" s="835"/>
      <c r="L46" s="10" t="str">
        <f>'Obrazac kalkulacije'!$D$6</f>
        <v>Jed.
mjere</v>
      </c>
      <c r="M46" s="10" t="str">
        <f>'Obrazac kalkulacije'!$E$6</f>
        <v>Normativ</v>
      </c>
      <c r="N46" s="10" t="str">
        <f>'Obrazac kalkulacije'!$F$6</f>
        <v>Jed.
cijena</v>
      </c>
      <c r="O46" s="10" t="str">
        <f>'Obrazac kalkulacije'!$G$6</f>
        <v>Iznos</v>
      </c>
    </row>
    <row r="47" spans="1:16" ht="4.5" customHeight="1" thickTop="1">
      <c r="B47" s="42"/>
      <c r="C47" s="1"/>
      <c r="D47" s="11"/>
      <c r="E47" s="13"/>
      <c r="F47" s="258"/>
      <c r="G47" s="15"/>
      <c r="J47" s="42"/>
      <c r="K47" s="1"/>
      <c r="L47" s="11"/>
      <c r="M47" s="13"/>
      <c r="N47" s="258"/>
      <c r="O47" s="15"/>
    </row>
    <row r="48" spans="1:16" ht="25.15" customHeight="1">
      <c r="A48" s="16"/>
      <c r="B48" s="837" t="str">
        <f>'Obrazac kalkulacije'!$B$8</f>
        <v>Radna snaga:</v>
      </c>
      <c r="C48" s="837"/>
      <c r="D48" s="16"/>
      <c r="E48" s="16"/>
      <c r="F48" s="44"/>
      <c r="G48" s="18">
        <f>SUM(G49:G49)</f>
        <v>72.731881299999998</v>
      </c>
      <c r="I48" s="16"/>
      <c r="J48" s="837" t="str">
        <f>'Obrazac kalkulacije'!$B$8</f>
        <v>Radna snaga:</v>
      </c>
      <c r="K48" s="837"/>
      <c r="L48" s="16"/>
      <c r="M48" s="16"/>
      <c r="N48" s="44"/>
      <c r="O48" s="18">
        <f>SUM(O49:O49)</f>
        <v>72.731881299999998</v>
      </c>
    </row>
    <row r="49" spans="1:15" ht="25.15" customHeight="1">
      <c r="A49" s="32"/>
      <c r="B49" s="854" t="s">
        <v>53</v>
      </c>
      <c r="C49" s="854"/>
      <c r="D49" s="33" t="s">
        <v>51</v>
      </c>
      <c r="E49" s="34">
        <v>0.73809499999999995</v>
      </c>
      <c r="F49" s="238">
        <f>SUMIF('Cjenik RS'!$C$11:$C$26,$B49,'Cjenik RS'!$D$11:$D$90)</f>
        <v>98.54</v>
      </c>
      <c r="G49" s="35">
        <f>+F49*E49</f>
        <v>72.731881299999998</v>
      </c>
      <c r="I49" s="32"/>
      <c r="J49" s="854" t="s">
        <v>53</v>
      </c>
      <c r="K49" s="854"/>
      <c r="L49" s="33" t="s">
        <v>51</v>
      </c>
      <c r="M49" s="34">
        <v>0.73809499999999995</v>
      </c>
      <c r="N49" s="238">
        <f>SUMIF('Cjenik RS'!$C$11:$C$26,$B49,'Cjenik RS'!$D$11:$D$90)</f>
        <v>98.54</v>
      </c>
      <c r="O49" s="35">
        <f>+N49*M49</f>
        <v>72.731881299999998</v>
      </c>
    </row>
    <row r="50" spans="1:15" ht="25.15" customHeight="1">
      <c r="A50" s="16"/>
      <c r="B50" s="837" t="str">
        <f>'Obrazac kalkulacije'!$B$11</f>
        <v>Vozila, strojevi i oprema:</v>
      </c>
      <c r="C50" s="837"/>
      <c r="D50" s="16"/>
      <c r="E50" s="16"/>
      <c r="F50" s="238"/>
      <c r="G50" s="18">
        <f>SUM(G51:G52)</f>
        <v>108.62149521556205</v>
      </c>
      <c r="I50" s="16"/>
      <c r="J50" s="837" t="str">
        <f>'Obrazac kalkulacije'!$B$11</f>
        <v>Vozila, strojevi i oprema:</v>
      </c>
      <c r="K50" s="837"/>
      <c r="L50" s="16"/>
      <c r="M50" s="16"/>
      <c r="N50" s="238"/>
      <c r="O50" s="18">
        <f>SUM(O51:O52)</f>
        <v>110.08146864</v>
      </c>
    </row>
    <row r="51" spans="1:15" ht="25.15" customHeight="1">
      <c r="A51" s="51"/>
      <c r="B51" s="849" t="s">
        <v>73</v>
      </c>
      <c r="C51" s="849"/>
      <c r="D51" s="52" t="s">
        <v>51</v>
      </c>
      <c r="E51" s="86">
        <v>0.18993629197710832</v>
      </c>
      <c r="F51" s="260">
        <f>SUMIF('Cjenik VSO'!$B$9:$B$85,$B51,'Cjenik VSO'!$C$9:$C$85)</f>
        <v>291.72000000000003</v>
      </c>
      <c r="G51" s="54">
        <f>E51*F51</f>
        <v>55.408215095562042</v>
      </c>
      <c r="I51" s="51"/>
      <c r="J51" s="849" t="s">
        <v>73</v>
      </c>
      <c r="K51" s="849"/>
      <c r="L51" s="52" t="s">
        <v>51</v>
      </c>
      <c r="M51" s="86">
        <v>0.194941</v>
      </c>
      <c r="N51" s="260">
        <f>SUMIF('Cjenik VSO'!$B$9:$B$85,$B51,'Cjenik VSO'!$C$9:$C$85)</f>
        <v>291.72000000000003</v>
      </c>
      <c r="O51" s="54">
        <f>M51*N51</f>
        <v>56.868188520000004</v>
      </c>
    </row>
    <row r="52" spans="1:15" ht="25.15" customHeight="1">
      <c r="A52" s="61"/>
      <c r="B52" s="855" t="s">
        <v>97</v>
      </c>
      <c r="C52" s="855"/>
      <c r="D52" s="62" t="s">
        <v>51</v>
      </c>
      <c r="E52" s="87">
        <v>0.19047600000000001</v>
      </c>
      <c r="F52" s="261">
        <f>SUMIF('Cjenik VSO'!$B$9:$B$85,$B52,'Cjenik VSO'!$C$9:$C$85)</f>
        <v>279.37</v>
      </c>
      <c r="G52" s="64">
        <f>E52*F52</f>
        <v>53.21328012</v>
      </c>
      <c r="I52" s="61"/>
      <c r="J52" s="855" t="s">
        <v>97</v>
      </c>
      <c r="K52" s="855"/>
      <c r="L52" s="62" t="s">
        <v>51</v>
      </c>
      <c r="M52" s="87">
        <v>0.19047600000000001</v>
      </c>
      <c r="N52" s="261">
        <f>SUMIF('Cjenik VSO'!$B$9:$B$85,$B52,'Cjenik VSO'!$C$9:$C$85)</f>
        <v>279.37</v>
      </c>
      <c r="O52" s="64">
        <f>M52*N52</f>
        <v>53.21328012</v>
      </c>
    </row>
    <row r="53" spans="1:15" ht="25.15" customHeight="1">
      <c r="A53" s="88"/>
      <c r="B53" s="837" t="str">
        <f>'Obrazac kalkulacije'!$B$15</f>
        <v>Materijali:</v>
      </c>
      <c r="C53" s="837"/>
      <c r="D53" s="16"/>
      <c r="E53" s="16"/>
      <c r="F53" s="238"/>
      <c r="G53" s="18">
        <f>SUM(G54:G54)</f>
        <v>0</v>
      </c>
      <c r="I53" s="88"/>
      <c r="J53" s="837" t="str">
        <f>'Obrazac kalkulacije'!$B$15</f>
        <v>Materijali:</v>
      </c>
      <c r="K53" s="837"/>
      <c r="L53" s="16"/>
      <c r="M53" s="16"/>
      <c r="N53" s="238"/>
      <c r="O53" s="18">
        <f>SUM(O54:O54)</f>
        <v>0</v>
      </c>
    </row>
    <row r="54" spans="1:15" ht="25.15" customHeight="1" thickBot="1">
      <c r="A54" s="66"/>
      <c r="B54" s="859">
        <f>'Cjenik M'!$B$70</f>
        <v>0</v>
      </c>
      <c r="C54" s="859"/>
      <c r="D54" s="67">
        <f>'Cjenik M'!$C$70</f>
        <v>0</v>
      </c>
      <c r="E54" s="68">
        <v>1</v>
      </c>
      <c r="F54" s="262">
        <f>'Cjenik M'!$D$70</f>
        <v>0</v>
      </c>
      <c r="G54" s="70">
        <f>E54*F54</f>
        <v>0</v>
      </c>
      <c r="I54" s="66"/>
      <c r="J54" s="859">
        <f>'Cjenik M'!$B$70</f>
        <v>0</v>
      </c>
      <c r="K54" s="859"/>
      <c r="L54" s="67">
        <f>'Cjenik M'!$C$70</f>
        <v>0</v>
      </c>
      <c r="M54" s="68">
        <v>1</v>
      </c>
      <c r="N54" s="262">
        <f>'Cjenik M'!$D$70</f>
        <v>0</v>
      </c>
      <c r="O54" s="70">
        <f>M54*N54</f>
        <v>0</v>
      </c>
    </row>
    <row r="55" spans="1:15" ht="25.15" customHeight="1" thickTop="1" thickBot="1">
      <c r="B55" s="47"/>
      <c r="C55" s="24"/>
      <c r="D55" s="25"/>
      <c r="E55" s="850" t="str">
        <f>'Obrazac kalkulacije'!$E$18</f>
        <v>Ukupno (kn):</v>
      </c>
      <c r="F55" s="850"/>
      <c r="G55" s="26">
        <f>ROUND(SUM(G48+G50+G53),2)</f>
        <v>181.35</v>
      </c>
      <c r="H55" s="269" t="e">
        <f>SUMIF(#REF!,B44,#REF!)</f>
        <v>#REF!</v>
      </c>
      <c r="J55" s="47"/>
      <c r="K55" s="24"/>
      <c r="L55" s="25"/>
      <c r="M55" s="850" t="str">
        <f>'Obrazac kalkulacije'!$E$18</f>
        <v>Ukupno (kn):</v>
      </c>
      <c r="N55" s="850"/>
      <c r="O55" s="26">
        <f>ROUND(SUM(O48+O50+O53),2)</f>
        <v>182.81</v>
      </c>
    </row>
    <row r="56" spans="1:15" ht="25.15" customHeight="1" thickTop="1" thickBot="1">
      <c r="E56" s="27" t="str">
        <f>'Obrazac kalkulacije'!$E$19</f>
        <v>PDV:</v>
      </c>
      <c r="F56" s="259">
        <f>'Obrazac kalkulacije'!$F$19</f>
        <v>0.25</v>
      </c>
      <c r="G56" s="29">
        <f>G55*F56</f>
        <v>45.337499999999999</v>
      </c>
      <c r="H56" s="270" t="e">
        <f>H55-G55</f>
        <v>#REF!</v>
      </c>
      <c r="M56" s="27" t="str">
        <f>'Obrazac kalkulacije'!$E$19</f>
        <v>PDV:</v>
      </c>
      <c r="N56" s="259">
        <f>'Obrazac kalkulacije'!$F$19</f>
        <v>0.25</v>
      </c>
      <c r="O56" s="29">
        <f>O55*N56</f>
        <v>45.702500000000001</v>
      </c>
    </row>
    <row r="57" spans="1:15" ht="25.15" customHeight="1" thickTop="1" thickBot="1">
      <c r="E57" s="840" t="str">
        <f>'Obrazac kalkulacije'!$E$20</f>
        <v>Sveukupno (kn):</v>
      </c>
      <c r="F57" s="840"/>
      <c r="G57" s="29">
        <f>ROUND(SUM(G55:G56),2)</f>
        <v>226.69</v>
      </c>
      <c r="H57" s="271" t="e">
        <f>G51+H56</f>
        <v>#REF!</v>
      </c>
      <c r="M57" s="840" t="str">
        <f>'Obrazac kalkulacije'!$E$20</f>
        <v>Sveukupno (kn):</v>
      </c>
      <c r="N57" s="840"/>
      <c r="O57" s="29">
        <f>ROUND(SUM(O55:O56),2)</f>
        <v>228.51</v>
      </c>
    </row>
    <row r="58" spans="1:15" ht="15" customHeight="1" thickTop="1"/>
    <row r="59" spans="1:15" ht="15" customHeight="1"/>
    <row r="60" spans="1:15" ht="15" customHeight="1"/>
    <row r="61" spans="1:15" ht="15" customHeight="1">
      <c r="C61" s="3" t="str">
        <f>'Obrazac kalkulacije'!$C$24</f>
        <v>IZVODITELJ:</v>
      </c>
      <c r="F61" s="841" t="str">
        <f>'Obrazac kalkulacije'!$F$24</f>
        <v>NARUČITELJ:</v>
      </c>
      <c r="G61" s="841"/>
      <c r="K61" s="3" t="str">
        <f>'Obrazac kalkulacije'!$C$24</f>
        <v>IZVODITELJ:</v>
      </c>
      <c r="N61" s="841" t="str">
        <f>'Obrazac kalkulacije'!$F$24</f>
        <v>NARUČITELJ:</v>
      </c>
      <c r="O61" s="841"/>
    </row>
    <row r="62" spans="1:15" ht="25.15" customHeight="1">
      <c r="C62" s="3" t="str">
        <f>'Obrazac kalkulacije'!$C$25</f>
        <v>__________________</v>
      </c>
      <c r="F62" s="841" t="str">
        <f>'Obrazac kalkulacije'!$F$25</f>
        <v>___________________</v>
      </c>
      <c r="G62" s="841"/>
      <c r="K62" s="3" t="str">
        <f>'Obrazac kalkulacije'!$C$25</f>
        <v>__________________</v>
      </c>
      <c r="N62" s="841" t="str">
        <f>'Obrazac kalkulacije'!$F$25</f>
        <v>___________________</v>
      </c>
      <c r="O62" s="841"/>
    </row>
    <row r="63" spans="1:15" ht="15" customHeight="1">
      <c r="F63" s="841"/>
      <c r="G63" s="841"/>
      <c r="N63" s="841"/>
      <c r="O63" s="841"/>
    </row>
    <row r="64" spans="1:15" ht="15" customHeight="1"/>
    <row r="65" spans="1:15" ht="15" customHeight="1">
      <c r="A65" s="144"/>
      <c r="B65" s="145" t="s">
        <v>27</v>
      </c>
      <c r="C65" s="836" t="s">
        <v>224</v>
      </c>
      <c r="D65" s="836"/>
      <c r="E65" s="836"/>
      <c r="F65" s="836"/>
      <c r="G65" s="836"/>
      <c r="I65" s="144"/>
      <c r="J65" s="145" t="s">
        <v>27</v>
      </c>
      <c r="K65" s="836" t="s">
        <v>224</v>
      </c>
      <c r="L65" s="836"/>
      <c r="M65" s="836"/>
      <c r="N65" s="836"/>
      <c r="O65" s="836"/>
    </row>
    <row r="66" spans="1:15" ht="150" customHeight="1">
      <c r="A66" s="40"/>
      <c r="B66" s="556" t="s">
        <v>230</v>
      </c>
      <c r="C66" s="852" t="s">
        <v>231</v>
      </c>
      <c r="D66" s="852"/>
      <c r="E66" s="852"/>
      <c r="F66" s="852"/>
      <c r="G66" s="852"/>
      <c r="I66" s="40"/>
      <c r="J66" s="41" t="s">
        <v>230</v>
      </c>
      <c r="K66" s="869" t="s">
        <v>232</v>
      </c>
      <c r="L66" s="869"/>
      <c r="M66" s="869"/>
      <c r="N66" s="869"/>
      <c r="O66" s="869"/>
    </row>
    <row r="67" spans="1:15" ht="15" customHeight="1" thickBot="1"/>
    <row r="68" spans="1:15" ht="30" customHeight="1" thickTop="1" thickBot="1">
      <c r="A68" s="10"/>
      <c r="B68" s="835" t="str">
        <f>'Obrazac kalkulacije'!$B$6:$C$6</f>
        <v>Opis</v>
      </c>
      <c r="C68" s="835"/>
      <c r="D68" s="10" t="str">
        <f>'Obrazac kalkulacije'!$D$6</f>
        <v>Jed.
mjere</v>
      </c>
      <c r="E68" s="10" t="str">
        <f>'Obrazac kalkulacije'!$E$6</f>
        <v>Normativ</v>
      </c>
      <c r="F68" s="10" t="str">
        <f>'Obrazac kalkulacije'!$F$6</f>
        <v>Jed.
cijena</v>
      </c>
      <c r="G68" s="10" t="str">
        <f>'Obrazac kalkulacije'!$G$6</f>
        <v>Iznos</v>
      </c>
      <c r="I68" s="10"/>
      <c r="J68" s="835" t="e">
        <f>'Obrazac kalkulacije'!$B$6:$C$6</f>
        <v>#VALUE!</v>
      </c>
      <c r="K68" s="835"/>
      <c r="L68" s="10" t="str">
        <f>'Obrazac kalkulacije'!$D$6</f>
        <v>Jed.
mjere</v>
      </c>
      <c r="M68" s="10" t="str">
        <f>'Obrazac kalkulacije'!$E$6</f>
        <v>Normativ</v>
      </c>
      <c r="N68" s="10" t="str">
        <f>'Obrazac kalkulacije'!$F$6</f>
        <v>Jed.
cijena</v>
      </c>
      <c r="O68" s="10" t="str">
        <f>'Obrazac kalkulacije'!$G$6</f>
        <v>Iznos</v>
      </c>
    </row>
    <row r="69" spans="1:15" ht="4.5" customHeight="1" thickTop="1">
      <c r="B69" s="42"/>
      <c r="C69" s="1"/>
      <c r="D69" s="11"/>
      <c r="E69" s="13"/>
      <c r="F69" s="258"/>
      <c r="G69" s="15"/>
      <c r="J69" s="42"/>
      <c r="K69" s="1"/>
      <c r="L69" s="11"/>
      <c r="M69" s="13"/>
      <c r="N69" s="258"/>
      <c r="O69" s="15"/>
    </row>
    <row r="70" spans="1:15" ht="25.15" customHeight="1">
      <c r="A70" s="16"/>
      <c r="B70" s="837" t="str">
        <f>'Obrazac kalkulacije'!$B$8</f>
        <v>Radna snaga:</v>
      </c>
      <c r="C70" s="837"/>
      <c r="D70" s="16"/>
      <c r="E70" s="16"/>
      <c r="F70" s="44"/>
      <c r="G70" s="18">
        <f>SUM(G71:G72)</f>
        <v>21.746694060000003</v>
      </c>
      <c r="I70" s="16"/>
      <c r="J70" s="837" t="str">
        <f>'Obrazac kalkulacije'!$B$8</f>
        <v>Radna snaga:</v>
      </c>
      <c r="K70" s="837"/>
      <c r="L70" s="16"/>
      <c r="M70" s="16"/>
      <c r="N70" s="44"/>
      <c r="O70" s="18">
        <f>SUM(O71:O72)</f>
        <v>21.746694060000003</v>
      </c>
    </row>
    <row r="71" spans="1:15" ht="25.15" customHeight="1">
      <c r="A71" s="72"/>
      <c r="B71" s="849" t="s">
        <v>53</v>
      </c>
      <c r="C71" s="849"/>
      <c r="D71" s="89" t="s">
        <v>51</v>
      </c>
      <c r="E71" s="86">
        <v>7.3563000000000003E-2</v>
      </c>
      <c r="F71" s="260">
        <f>SUMIF('Cjenik RS'!$C$11:$C$26,$B71,'Cjenik RS'!$D$11:$D$90)</f>
        <v>98.54</v>
      </c>
      <c r="G71" s="55">
        <f>+F71*E71</f>
        <v>7.2488980200000004</v>
      </c>
      <c r="I71" s="72"/>
      <c r="J71" s="849" t="s">
        <v>53</v>
      </c>
      <c r="K71" s="849"/>
      <c r="L71" s="89" t="s">
        <v>51</v>
      </c>
      <c r="M71" s="86">
        <v>7.3563000000000003E-2</v>
      </c>
      <c r="N71" s="260">
        <f>SUMIF('Cjenik RS'!$C$11:$C$26,$B71,'Cjenik RS'!$D$11:$D$90)</f>
        <v>98.54</v>
      </c>
      <c r="O71" s="55">
        <f>+N71*M71</f>
        <v>7.2488980200000004</v>
      </c>
    </row>
    <row r="72" spans="1:15" ht="25.15" customHeight="1">
      <c r="A72" s="90"/>
      <c r="B72" s="855" t="s">
        <v>53</v>
      </c>
      <c r="C72" s="855"/>
      <c r="D72" s="91" t="s">
        <v>51</v>
      </c>
      <c r="E72" s="87">
        <v>0.14712600000000001</v>
      </c>
      <c r="F72" s="261">
        <f>SUMIF('Cjenik RS'!$C$11:$C$26,$B72,'Cjenik RS'!$D$11:$D$90)</f>
        <v>98.54</v>
      </c>
      <c r="G72" s="65">
        <f>+F72*E72</f>
        <v>14.497796040000001</v>
      </c>
      <c r="I72" s="90"/>
      <c r="J72" s="855" t="s">
        <v>53</v>
      </c>
      <c r="K72" s="855"/>
      <c r="L72" s="91" t="s">
        <v>51</v>
      </c>
      <c r="M72" s="87">
        <v>0.14712600000000001</v>
      </c>
      <c r="N72" s="261">
        <f>SUMIF('Cjenik RS'!$C$11:$C$26,$B72,'Cjenik RS'!$D$11:$D$90)</f>
        <v>98.54</v>
      </c>
      <c r="O72" s="65">
        <f>+N72*M72</f>
        <v>14.497796040000001</v>
      </c>
    </row>
    <row r="73" spans="1:15" ht="25.15" customHeight="1">
      <c r="A73" s="16"/>
      <c r="B73" s="837" t="str">
        <f>'Obrazac kalkulacije'!$B$11</f>
        <v>Vozila, strojevi i oprema:</v>
      </c>
      <c r="C73" s="837"/>
      <c r="D73" s="16"/>
      <c r="E73" s="16"/>
      <c r="F73" s="238"/>
      <c r="G73" s="18">
        <f>SUM(G74:G74)</f>
        <v>4.4319883075124231</v>
      </c>
      <c r="I73" s="16"/>
      <c r="J73" s="837" t="str">
        <f>'Obrazac kalkulacije'!$B$11</f>
        <v>Vozila, strojevi i oprema:</v>
      </c>
      <c r="K73" s="837"/>
      <c r="L73" s="16"/>
      <c r="M73" s="16"/>
      <c r="N73" s="238"/>
      <c r="O73" s="18">
        <f>SUM(O74:O74)</f>
        <v>4.8305216</v>
      </c>
    </row>
    <row r="74" spans="1:15" ht="25.15" customHeight="1">
      <c r="A74" s="16"/>
      <c r="B74" s="864" t="s">
        <v>69</v>
      </c>
      <c r="C74" s="864"/>
      <c r="D74" s="62" t="s">
        <v>51</v>
      </c>
      <c r="E74" s="63">
        <v>2.4676995030692778E-2</v>
      </c>
      <c r="F74" s="261">
        <f>SUMIF('Cjenik VSO'!$B$9:$B$85,$B74,'Cjenik VSO'!$C$9:$C$85)</f>
        <v>179.6</v>
      </c>
      <c r="G74" s="65">
        <f>E74*F74</f>
        <v>4.4319883075124231</v>
      </c>
      <c r="I74" s="16"/>
      <c r="J74" s="864" t="s">
        <v>69</v>
      </c>
      <c r="K74" s="864"/>
      <c r="L74" s="62" t="s">
        <v>51</v>
      </c>
      <c r="M74" s="63">
        <v>2.6896E-2</v>
      </c>
      <c r="N74" s="261">
        <f>SUMIF('Cjenik VSO'!$B$9:$B$85,$B74,'Cjenik VSO'!$C$9:$C$85)</f>
        <v>179.6</v>
      </c>
      <c r="O74" s="65">
        <f>M74*N74</f>
        <v>4.8305216</v>
      </c>
    </row>
    <row r="75" spans="1:15" ht="25.15" customHeight="1">
      <c r="A75" s="88"/>
      <c r="B75" s="837" t="str">
        <f>'Obrazac kalkulacije'!$B$15</f>
        <v>Materijali:</v>
      </c>
      <c r="C75" s="837"/>
      <c r="D75" s="16"/>
      <c r="E75" s="16"/>
      <c r="F75" s="238"/>
      <c r="G75" s="18">
        <f>SUM(G76:G77)</f>
        <v>0</v>
      </c>
      <c r="I75" s="88"/>
      <c r="J75" s="837" t="str">
        <f>'Obrazac kalkulacije'!$B$15</f>
        <v>Materijali:</v>
      </c>
      <c r="K75" s="837"/>
      <c r="L75" s="16"/>
      <c r="M75" s="16"/>
      <c r="N75" s="238"/>
      <c r="O75" s="18">
        <f>SUM(O76:O77)</f>
        <v>0</v>
      </c>
    </row>
    <row r="76" spans="1:15" ht="25.15" customHeight="1">
      <c r="A76" s="51"/>
      <c r="B76" s="863">
        <f>'Cjenik M'!$B$69</f>
        <v>0</v>
      </c>
      <c r="C76" s="863"/>
      <c r="D76" s="52">
        <f>'Cjenik M'!$C$69</f>
        <v>0</v>
      </c>
      <c r="E76" s="53">
        <v>0.5</v>
      </c>
      <c r="F76" s="260">
        <f>'Cjenik M'!$D$69</f>
        <v>0</v>
      </c>
      <c r="G76" s="55">
        <f>E76*F76</f>
        <v>0</v>
      </c>
      <c r="I76" s="51"/>
      <c r="J76" s="863">
        <f>'Cjenik M'!$B$69</f>
        <v>0</v>
      </c>
      <c r="K76" s="863"/>
      <c r="L76" s="52">
        <f>'Cjenik M'!$C$69</f>
        <v>0</v>
      </c>
      <c r="M76" s="53">
        <v>0.5</v>
      </c>
      <c r="N76" s="260">
        <f>'Cjenik M'!$D$69</f>
        <v>0</v>
      </c>
      <c r="O76" s="55">
        <f>M76*N76</f>
        <v>0</v>
      </c>
    </row>
    <row r="77" spans="1:15" ht="25.15" customHeight="1" thickBot="1">
      <c r="A77" s="66"/>
      <c r="B77" s="859">
        <f>'Cjenik M'!$B$67</f>
        <v>0</v>
      </c>
      <c r="C77" s="859"/>
      <c r="D77" s="67">
        <f>'Cjenik M'!$C$67</f>
        <v>0</v>
      </c>
      <c r="E77" s="68">
        <v>0.5</v>
      </c>
      <c r="F77" s="262">
        <f>'Cjenik M'!$D$67</f>
        <v>0</v>
      </c>
      <c r="G77" s="70">
        <f>E77*F77</f>
        <v>0</v>
      </c>
      <c r="I77" s="66"/>
      <c r="J77" s="859">
        <f>'Cjenik M'!$B$67</f>
        <v>0</v>
      </c>
      <c r="K77" s="859"/>
      <c r="L77" s="67">
        <f>'Cjenik M'!$C$67</f>
        <v>0</v>
      </c>
      <c r="M77" s="68">
        <v>0.5</v>
      </c>
      <c r="N77" s="262">
        <f>'Cjenik M'!$D$67</f>
        <v>0</v>
      </c>
      <c r="O77" s="70">
        <f>M77*N77</f>
        <v>0</v>
      </c>
    </row>
    <row r="78" spans="1:15" ht="25.15" customHeight="1" thickTop="1" thickBot="1">
      <c r="B78" s="47"/>
      <c r="C78" s="24"/>
      <c r="D78" s="25"/>
      <c r="E78" s="850" t="str">
        <f>'Obrazac kalkulacije'!$E$18</f>
        <v>Ukupno (kn):</v>
      </c>
      <c r="F78" s="850"/>
      <c r="G78" s="26">
        <f>ROUND(SUM(G70+G73+G75),2)</f>
        <v>26.18</v>
      </c>
      <c r="H78" s="269" t="e">
        <f>SUMIF(#REF!,B66,#REF!)</f>
        <v>#REF!</v>
      </c>
      <c r="J78" s="47"/>
      <c r="K78" s="24"/>
      <c r="L78" s="25"/>
      <c r="M78" s="850" t="str">
        <f>'Obrazac kalkulacije'!$E$18</f>
        <v>Ukupno (kn):</v>
      </c>
      <c r="N78" s="850"/>
      <c r="O78" s="26">
        <f>ROUND(SUM(O70+O73+O75),2)</f>
        <v>26.58</v>
      </c>
    </row>
    <row r="79" spans="1:15" ht="25.15" customHeight="1" thickTop="1" thickBot="1">
      <c r="E79" s="27" t="str">
        <f>'Obrazac kalkulacije'!$E$19</f>
        <v>PDV:</v>
      </c>
      <c r="F79" s="259">
        <f>'Obrazac kalkulacije'!$F$19</f>
        <v>0.25</v>
      </c>
      <c r="G79" s="29">
        <f>G78*F79</f>
        <v>6.5449999999999999</v>
      </c>
      <c r="H79" s="270" t="e">
        <f>H78-G78</f>
        <v>#REF!</v>
      </c>
      <c r="M79" s="27" t="str">
        <f>'Obrazac kalkulacije'!$E$19</f>
        <v>PDV:</v>
      </c>
      <c r="N79" s="259">
        <f>'Obrazac kalkulacije'!$F$19</f>
        <v>0.25</v>
      </c>
      <c r="O79" s="29">
        <f>O78*N79</f>
        <v>6.6449999999999996</v>
      </c>
    </row>
    <row r="80" spans="1:15" ht="25.15" customHeight="1" thickTop="1" thickBot="1">
      <c r="E80" s="840" t="str">
        <f>'Obrazac kalkulacije'!$E$20</f>
        <v>Sveukupno (kn):</v>
      </c>
      <c r="F80" s="840"/>
      <c r="G80" s="29">
        <f>ROUND(SUM(G78:G79),2)</f>
        <v>32.729999999999997</v>
      </c>
      <c r="H80" s="271" t="e">
        <f>G74+H79</f>
        <v>#REF!</v>
      </c>
      <c r="M80" s="840" t="str">
        <f>'Obrazac kalkulacije'!$E$20</f>
        <v>Sveukupno (kn):</v>
      </c>
      <c r="N80" s="840"/>
      <c r="O80" s="29">
        <f>ROUND(SUM(O78:O79),2)</f>
        <v>33.229999999999997</v>
      </c>
    </row>
    <row r="81" spans="1:15" ht="15" customHeight="1" thickTop="1"/>
    <row r="82" spans="1:15" ht="15" customHeight="1"/>
    <row r="83" spans="1:15" ht="15" customHeight="1"/>
    <row r="84" spans="1:15" ht="15" customHeight="1">
      <c r="C84" s="3" t="str">
        <f>'Obrazac kalkulacije'!$C$24</f>
        <v>IZVODITELJ:</v>
      </c>
      <c r="F84" s="841" t="str">
        <f>'Obrazac kalkulacije'!$F$24</f>
        <v>NARUČITELJ:</v>
      </c>
      <c r="G84" s="841"/>
      <c r="K84" s="3" t="str">
        <f>'Obrazac kalkulacije'!$C$24</f>
        <v>IZVODITELJ:</v>
      </c>
      <c r="N84" s="841" t="str">
        <f>'Obrazac kalkulacije'!$F$24</f>
        <v>NARUČITELJ:</v>
      </c>
      <c r="O84" s="841"/>
    </row>
    <row r="85" spans="1:15" ht="25.15" customHeight="1">
      <c r="C85" s="3" t="str">
        <f>'Obrazac kalkulacije'!$C$25</f>
        <v>__________________</v>
      </c>
      <c r="F85" s="841" t="str">
        <f>'Obrazac kalkulacije'!$F$25</f>
        <v>___________________</v>
      </c>
      <c r="G85" s="841"/>
      <c r="K85" s="3" t="str">
        <f>'Obrazac kalkulacije'!$C$25</f>
        <v>__________________</v>
      </c>
      <c r="N85" s="841" t="str">
        <f>'Obrazac kalkulacije'!$F$25</f>
        <v>___________________</v>
      </c>
      <c r="O85" s="841"/>
    </row>
    <row r="86" spans="1:15" ht="15" customHeight="1">
      <c r="F86" s="841"/>
      <c r="G86" s="841"/>
      <c r="N86" s="841"/>
      <c r="O86" s="841"/>
    </row>
    <row r="87" spans="1:15" ht="15" customHeight="1"/>
    <row r="88" spans="1:15" ht="15" customHeight="1">
      <c r="A88" s="144"/>
      <c r="B88" s="145" t="s">
        <v>27</v>
      </c>
      <c r="C88" s="836" t="s">
        <v>224</v>
      </c>
      <c r="D88" s="836"/>
      <c r="E88" s="836"/>
      <c r="F88" s="836"/>
      <c r="G88" s="836"/>
      <c r="I88" s="144"/>
      <c r="J88" s="145" t="s">
        <v>27</v>
      </c>
      <c r="K88" s="836" t="s">
        <v>224</v>
      </c>
      <c r="L88" s="836"/>
      <c r="M88" s="836"/>
      <c r="N88" s="836"/>
      <c r="O88" s="836"/>
    </row>
    <row r="89" spans="1:15" ht="150" customHeight="1">
      <c r="A89" s="40"/>
      <c r="B89" s="556" t="s">
        <v>233</v>
      </c>
      <c r="C89" s="852" t="s">
        <v>234</v>
      </c>
      <c r="D89" s="852"/>
      <c r="E89" s="852"/>
      <c r="F89" s="852"/>
      <c r="G89" s="852"/>
      <c r="I89" s="40"/>
      <c r="J89" s="41" t="s">
        <v>233</v>
      </c>
      <c r="K89" s="869" t="s">
        <v>235</v>
      </c>
      <c r="L89" s="869"/>
      <c r="M89" s="869"/>
      <c r="N89" s="869"/>
      <c r="O89" s="869"/>
    </row>
    <row r="90" spans="1:15" ht="15" customHeight="1" thickBot="1"/>
    <row r="91" spans="1:15" ht="30" customHeight="1" thickTop="1" thickBot="1">
      <c r="A91" s="10"/>
      <c r="B91" s="835" t="str">
        <f>'Obrazac kalkulacije'!$B$6:$C$6</f>
        <v>Opis</v>
      </c>
      <c r="C91" s="835"/>
      <c r="D91" s="10" t="str">
        <f>'Obrazac kalkulacije'!$D$6</f>
        <v>Jed.
mjere</v>
      </c>
      <c r="E91" s="10" t="str">
        <f>'Obrazac kalkulacije'!$E$6</f>
        <v>Normativ</v>
      </c>
      <c r="F91" s="10" t="str">
        <f>'Obrazac kalkulacije'!$F$6</f>
        <v>Jed.
cijena</v>
      </c>
      <c r="G91" s="10" t="str">
        <f>'Obrazac kalkulacije'!$G$6</f>
        <v>Iznos</v>
      </c>
      <c r="I91" s="10"/>
      <c r="J91" s="835" t="e">
        <f>'Obrazac kalkulacije'!$B$6:$C$6</f>
        <v>#VALUE!</v>
      </c>
      <c r="K91" s="835"/>
      <c r="L91" s="10" t="str">
        <f>'Obrazac kalkulacije'!$D$6</f>
        <v>Jed.
mjere</v>
      </c>
      <c r="M91" s="10" t="str">
        <f>'Obrazac kalkulacije'!$E$6</f>
        <v>Normativ</v>
      </c>
      <c r="N91" s="10" t="str">
        <f>'Obrazac kalkulacije'!$F$6</f>
        <v>Jed.
cijena</v>
      </c>
      <c r="O91" s="10" t="str">
        <f>'Obrazac kalkulacije'!$G$6</f>
        <v>Iznos</v>
      </c>
    </row>
    <row r="92" spans="1:15" ht="4.5" customHeight="1" thickTop="1">
      <c r="B92" s="42"/>
      <c r="C92" s="1"/>
      <c r="D92" s="11"/>
      <c r="E92" s="13"/>
      <c r="F92" s="258"/>
      <c r="G92" s="15"/>
      <c r="J92" s="42"/>
      <c r="K92" s="1"/>
      <c r="L92" s="11"/>
      <c r="M92" s="13"/>
      <c r="N92" s="258"/>
      <c r="O92" s="15"/>
    </row>
    <row r="93" spans="1:15" ht="25.15" customHeight="1">
      <c r="A93" s="16"/>
      <c r="B93" s="837" t="str">
        <f>'Obrazac kalkulacije'!$B$8</f>
        <v>Radna snaga:</v>
      </c>
      <c r="C93" s="837"/>
      <c r="D93" s="16"/>
      <c r="E93" s="16"/>
      <c r="F93" s="44"/>
      <c r="G93" s="18">
        <f>SUM(G94:G94)</f>
        <v>5.4366488799999999</v>
      </c>
      <c r="I93" s="16"/>
      <c r="J93" s="837" t="str">
        <f>'Obrazac kalkulacije'!$B$8</f>
        <v>Radna snaga:</v>
      </c>
      <c r="K93" s="837"/>
      <c r="L93" s="16"/>
      <c r="M93" s="16"/>
      <c r="N93" s="44"/>
      <c r="O93" s="18">
        <f>SUM(O94:O94)</f>
        <v>5.4366488799999999</v>
      </c>
    </row>
    <row r="94" spans="1:15" ht="25.15" customHeight="1">
      <c r="A94" s="32"/>
      <c r="B94" s="854" t="s">
        <v>53</v>
      </c>
      <c r="C94" s="854"/>
      <c r="D94" s="33" t="s">
        <v>51</v>
      </c>
      <c r="E94" s="34">
        <v>5.5171999999999999E-2</v>
      </c>
      <c r="F94" s="238">
        <f>SUMIF('Cjenik RS'!$C$11:$C$26,$B94,'Cjenik RS'!$D$11:$D$90)</f>
        <v>98.54</v>
      </c>
      <c r="G94" s="35">
        <f>+F94*E94</f>
        <v>5.4366488799999999</v>
      </c>
      <c r="I94" s="32"/>
      <c r="J94" s="854" t="s">
        <v>53</v>
      </c>
      <c r="K94" s="854"/>
      <c r="L94" s="33" t="s">
        <v>51</v>
      </c>
      <c r="M94" s="34">
        <v>5.5171999999999999E-2</v>
      </c>
      <c r="N94" s="238">
        <f>SUMIF('Cjenik RS'!$C$11:$C$26,$B94,'Cjenik RS'!$D$11:$D$90)</f>
        <v>98.54</v>
      </c>
      <c r="O94" s="35">
        <f>+N94*M94</f>
        <v>5.4366488799999999</v>
      </c>
    </row>
    <row r="95" spans="1:15" ht="25.15" customHeight="1">
      <c r="A95" s="16"/>
      <c r="B95" s="837" t="str">
        <f>'Obrazac kalkulacije'!$B$11</f>
        <v>Vozila, strojevi i oprema:</v>
      </c>
      <c r="C95" s="837"/>
      <c r="D95" s="16"/>
      <c r="E95" s="16"/>
      <c r="F95" s="238"/>
      <c r="G95" s="18">
        <f>SUM(G96:G96)</f>
        <v>1.1129845074539606</v>
      </c>
      <c r="I95" s="16"/>
      <c r="J95" s="837" t="str">
        <f>'Obrazac kalkulacije'!$B$11</f>
        <v>Vozila, strojevi i oprema:</v>
      </c>
      <c r="K95" s="837"/>
      <c r="L95" s="16"/>
      <c r="M95" s="16"/>
      <c r="N95" s="238"/>
      <c r="O95" s="18">
        <f>SUM(O96:O96)</f>
        <v>1.2076304</v>
      </c>
    </row>
    <row r="96" spans="1:15" ht="25.15" customHeight="1">
      <c r="A96" s="16"/>
      <c r="B96" s="864" t="s">
        <v>69</v>
      </c>
      <c r="C96" s="864"/>
      <c r="D96" s="62" t="s">
        <v>51</v>
      </c>
      <c r="E96" s="63">
        <v>6.1970184156679327E-3</v>
      </c>
      <c r="F96" s="261">
        <f>SUMIF('Cjenik VSO'!$B$9:$B$85,$B96,'Cjenik VSO'!$C$9:$C$85)</f>
        <v>179.6</v>
      </c>
      <c r="G96" s="65">
        <f>E96*F96</f>
        <v>1.1129845074539606</v>
      </c>
      <c r="I96" s="16"/>
      <c r="J96" s="864" t="s">
        <v>69</v>
      </c>
      <c r="K96" s="864"/>
      <c r="L96" s="62" t="s">
        <v>51</v>
      </c>
      <c r="M96" s="63">
        <v>6.7239999999999999E-3</v>
      </c>
      <c r="N96" s="261">
        <f>SUMIF('Cjenik VSO'!$B$9:$B$85,$B96,'Cjenik VSO'!$C$9:$C$85)</f>
        <v>179.6</v>
      </c>
      <c r="O96" s="65">
        <f>M96*N96</f>
        <v>1.2076304</v>
      </c>
    </row>
    <row r="97" spans="1:15" ht="25.15" customHeight="1">
      <c r="A97" s="16"/>
      <c r="B97" s="837" t="str">
        <f>'Obrazac kalkulacije'!$B$15</f>
        <v>Materijali:</v>
      </c>
      <c r="C97" s="837"/>
      <c r="D97" s="16"/>
      <c r="E97" s="16"/>
      <c r="F97" s="238"/>
      <c r="G97" s="18">
        <f>SUM(G98:G98)</f>
        <v>0</v>
      </c>
      <c r="I97" s="16"/>
      <c r="J97" s="837" t="str">
        <f>'Obrazac kalkulacije'!$B$15</f>
        <v>Materijali:</v>
      </c>
      <c r="K97" s="837"/>
      <c r="L97" s="16"/>
      <c r="M97" s="16"/>
      <c r="N97" s="238"/>
      <c r="O97" s="18">
        <f>SUM(O98:O98)</f>
        <v>0</v>
      </c>
    </row>
    <row r="98" spans="1:15" ht="25.15" customHeight="1" thickBot="1">
      <c r="A98" s="43"/>
      <c r="B98" s="863">
        <f>'Cjenik M'!$B$71</f>
        <v>0</v>
      </c>
      <c r="C98" s="863"/>
      <c r="D98" s="52">
        <f>'Cjenik M'!$C$71</f>
        <v>0</v>
      </c>
      <c r="E98" s="53">
        <v>1.1000000000000001</v>
      </c>
      <c r="F98" s="260">
        <f>'Cjenik M'!$D$71</f>
        <v>0</v>
      </c>
      <c r="G98" s="55">
        <f>E98*F98</f>
        <v>0</v>
      </c>
      <c r="I98" s="43"/>
      <c r="J98" s="863">
        <f>'Cjenik M'!$B$71</f>
        <v>0</v>
      </c>
      <c r="K98" s="863"/>
      <c r="L98" s="52">
        <f>'Cjenik M'!$C$71</f>
        <v>0</v>
      </c>
      <c r="M98" s="53">
        <v>1.1000000000000001</v>
      </c>
      <c r="N98" s="260">
        <f>'Cjenik M'!$D$71</f>
        <v>0</v>
      </c>
      <c r="O98" s="55">
        <f>M98*N98</f>
        <v>0</v>
      </c>
    </row>
    <row r="99" spans="1:15" ht="25.15" customHeight="1" thickTop="1" thickBot="1">
      <c r="B99" s="47"/>
      <c r="C99" s="24"/>
      <c r="D99" s="25"/>
      <c r="E99" s="850" t="str">
        <f>'Obrazac kalkulacije'!$E$18</f>
        <v>Ukupno (kn):</v>
      </c>
      <c r="F99" s="850"/>
      <c r="G99" s="26">
        <f>ROUND(SUM(G93+G95+G97),2)</f>
        <v>6.55</v>
      </c>
      <c r="H99" s="269" t="e">
        <f>SUMIF(#REF!,B89,#REF!)</f>
        <v>#REF!</v>
      </c>
      <c r="J99" s="47"/>
      <c r="K99" s="24"/>
      <c r="L99" s="25"/>
      <c r="M99" s="850" t="str">
        <f>'Obrazac kalkulacije'!$E$18</f>
        <v>Ukupno (kn):</v>
      </c>
      <c r="N99" s="850"/>
      <c r="O99" s="26">
        <f>ROUND(SUM(O93+O95+O97),2)</f>
        <v>6.64</v>
      </c>
    </row>
    <row r="100" spans="1:15" ht="25.15" customHeight="1" thickTop="1" thickBot="1">
      <c r="E100" s="27" t="str">
        <f>'Obrazac kalkulacije'!$E$19</f>
        <v>PDV:</v>
      </c>
      <c r="F100" s="259">
        <f>'Obrazac kalkulacije'!$F$19</f>
        <v>0.25</v>
      </c>
      <c r="G100" s="29">
        <f>G99*F100</f>
        <v>1.6375</v>
      </c>
      <c r="H100" s="270" t="e">
        <f>H99-G99</f>
        <v>#REF!</v>
      </c>
      <c r="M100" s="27" t="str">
        <f>'Obrazac kalkulacije'!$E$19</f>
        <v>PDV:</v>
      </c>
      <c r="N100" s="259">
        <f>'Obrazac kalkulacije'!$F$19</f>
        <v>0.25</v>
      </c>
      <c r="O100" s="29">
        <f>O99*N100</f>
        <v>1.66</v>
      </c>
    </row>
    <row r="101" spans="1:15" ht="25.15" customHeight="1" thickTop="1" thickBot="1">
      <c r="E101" s="840" t="str">
        <f>'Obrazac kalkulacije'!$E$20</f>
        <v>Sveukupno (kn):</v>
      </c>
      <c r="F101" s="840"/>
      <c r="G101" s="29">
        <f>ROUND(SUM(G99:G100),2)</f>
        <v>8.19</v>
      </c>
      <c r="H101" s="271" t="e">
        <f>G95+H100</f>
        <v>#REF!</v>
      </c>
      <c r="M101" s="840" t="str">
        <f>'Obrazac kalkulacije'!$E$20</f>
        <v>Sveukupno (kn):</v>
      </c>
      <c r="N101" s="840"/>
      <c r="O101" s="29">
        <f>ROUND(SUM(O99:O100),2)</f>
        <v>8.3000000000000007</v>
      </c>
    </row>
    <row r="102" spans="1:15" ht="15" customHeight="1" thickTop="1"/>
    <row r="103" spans="1:15" ht="15" customHeight="1"/>
    <row r="104" spans="1:15" ht="15" customHeight="1"/>
    <row r="105" spans="1:15" ht="15" customHeight="1">
      <c r="C105" s="3" t="str">
        <f>'Obrazac kalkulacije'!$C$24</f>
        <v>IZVODITELJ:</v>
      </c>
      <c r="F105" s="841" t="str">
        <f>'Obrazac kalkulacije'!$F$24</f>
        <v>NARUČITELJ:</v>
      </c>
      <c r="G105" s="841"/>
      <c r="K105" s="3" t="str">
        <f>'Obrazac kalkulacije'!$C$24</f>
        <v>IZVODITELJ:</v>
      </c>
      <c r="N105" s="841" t="str">
        <f>'Obrazac kalkulacije'!$F$24</f>
        <v>NARUČITELJ:</v>
      </c>
      <c r="O105" s="841"/>
    </row>
    <row r="106" spans="1:15" ht="25.15" customHeight="1">
      <c r="C106" s="3" t="str">
        <f>'Obrazac kalkulacije'!$C$25</f>
        <v>__________________</v>
      </c>
      <c r="F106" s="841" t="str">
        <f>'Obrazac kalkulacije'!$F$25</f>
        <v>___________________</v>
      </c>
      <c r="G106" s="841"/>
      <c r="K106" s="3" t="str">
        <f>'Obrazac kalkulacije'!$C$25</f>
        <v>__________________</v>
      </c>
      <c r="N106" s="841" t="str">
        <f>'Obrazac kalkulacije'!$F$25</f>
        <v>___________________</v>
      </c>
      <c r="O106" s="841"/>
    </row>
    <row r="107" spans="1:15" ht="15" customHeight="1">
      <c r="F107" s="841"/>
      <c r="G107" s="841"/>
      <c r="N107" s="841"/>
      <c r="O107" s="841"/>
    </row>
    <row r="108" spans="1:15" ht="15" customHeight="1"/>
    <row r="109" spans="1:15" ht="15" customHeight="1">
      <c r="A109" s="144"/>
      <c r="B109" s="145" t="s">
        <v>27</v>
      </c>
      <c r="C109" s="836" t="s">
        <v>224</v>
      </c>
      <c r="D109" s="836"/>
      <c r="E109" s="836"/>
      <c r="F109" s="836"/>
      <c r="G109" s="836"/>
      <c r="I109" s="144"/>
      <c r="J109" s="145" t="s">
        <v>27</v>
      </c>
      <c r="K109" s="836" t="s">
        <v>224</v>
      </c>
      <c r="L109" s="836"/>
      <c r="M109" s="836"/>
      <c r="N109" s="836"/>
      <c r="O109" s="836"/>
    </row>
    <row r="110" spans="1:15" ht="150" customHeight="1">
      <c r="A110" s="40"/>
      <c r="B110" s="556" t="s">
        <v>236</v>
      </c>
      <c r="C110" s="852" t="s">
        <v>237</v>
      </c>
      <c r="D110" s="852"/>
      <c r="E110" s="852"/>
      <c r="F110" s="852"/>
      <c r="G110" s="852"/>
      <c r="I110" s="40"/>
      <c r="J110" s="41" t="s">
        <v>236</v>
      </c>
      <c r="K110" s="869" t="s">
        <v>238</v>
      </c>
      <c r="L110" s="869"/>
      <c r="M110" s="869"/>
      <c r="N110" s="869"/>
      <c r="O110" s="869"/>
    </row>
    <row r="111" spans="1:15" ht="15" customHeight="1" thickBot="1"/>
    <row r="112" spans="1:15" ht="30" customHeight="1" thickTop="1" thickBot="1">
      <c r="A112" s="10"/>
      <c r="B112" s="835" t="str">
        <f>'Obrazac kalkulacije'!$B$6:$C$6</f>
        <v>Opis</v>
      </c>
      <c r="C112" s="835"/>
      <c r="D112" s="10" t="str">
        <f>'Obrazac kalkulacije'!$D$6</f>
        <v>Jed.
mjere</v>
      </c>
      <c r="E112" s="10" t="str">
        <f>'Obrazac kalkulacije'!$E$6</f>
        <v>Normativ</v>
      </c>
      <c r="F112" s="10" t="str">
        <f>'Obrazac kalkulacije'!$F$6</f>
        <v>Jed.
cijena</v>
      </c>
      <c r="G112" s="10" t="str">
        <f>'Obrazac kalkulacije'!$G$6</f>
        <v>Iznos</v>
      </c>
      <c r="I112" s="10"/>
      <c r="J112" s="835" t="e">
        <f>'Obrazac kalkulacije'!$B$6:$C$6</f>
        <v>#VALUE!</v>
      </c>
      <c r="K112" s="835"/>
      <c r="L112" s="10" t="str">
        <f>'Obrazac kalkulacije'!$D$6</f>
        <v>Jed.
mjere</v>
      </c>
      <c r="M112" s="10" t="str">
        <f>'Obrazac kalkulacije'!$E$6</f>
        <v>Normativ</v>
      </c>
      <c r="N112" s="10" t="str">
        <f>'Obrazac kalkulacije'!$F$6</f>
        <v>Jed.
cijena</v>
      </c>
      <c r="O112" s="10" t="str">
        <f>'Obrazac kalkulacije'!$G$6</f>
        <v>Iznos</v>
      </c>
    </row>
    <row r="113" spans="1:15" ht="4.5" customHeight="1" thickTop="1">
      <c r="B113" s="42"/>
      <c r="C113" s="1"/>
      <c r="D113" s="11"/>
      <c r="E113" s="13"/>
      <c r="F113" s="258"/>
      <c r="G113" s="15"/>
      <c r="J113" s="42"/>
      <c r="K113" s="1"/>
      <c r="L113" s="11"/>
      <c r="M113" s="13"/>
      <c r="N113" s="258"/>
      <c r="O113" s="15"/>
    </row>
    <row r="114" spans="1:15" ht="25.15" customHeight="1">
      <c r="A114" s="16"/>
      <c r="B114" s="837" t="str">
        <f>'Obrazac kalkulacije'!$B$8</f>
        <v>Radna snaga:</v>
      </c>
      <c r="C114" s="837"/>
      <c r="D114" s="16"/>
      <c r="E114" s="16"/>
      <c r="F114" s="44"/>
      <c r="G114" s="18">
        <f>SUM(G115:G115)</f>
        <v>104.82616222</v>
      </c>
      <c r="I114" s="16"/>
      <c r="J114" s="837" t="str">
        <f>'Obrazac kalkulacije'!$B$8</f>
        <v>Radna snaga:</v>
      </c>
      <c r="K114" s="837"/>
      <c r="L114" s="16"/>
      <c r="M114" s="16"/>
      <c r="N114" s="44"/>
      <c r="O114" s="18">
        <f>SUM(O115:O115)</f>
        <v>104.82616222</v>
      </c>
    </row>
    <row r="115" spans="1:15" ht="25.15" customHeight="1">
      <c r="A115" s="32"/>
      <c r="B115" s="854" t="s">
        <v>53</v>
      </c>
      <c r="C115" s="854"/>
      <c r="D115" s="33" t="s">
        <v>51</v>
      </c>
      <c r="E115" s="34">
        <v>1.063793</v>
      </c>
      <c r="F115" s="238">
        <f>SUMIF('Cjenik RS'!$C$11:$C$26,$B115,'Cjenik RS'!$D$11:$D$90)</f>
        <v>98.54</v>
      </c>
      <c r="G115" s="35">
        <f>+F115*E115</f>
        <v>104.82616222</v>
      </c>
      <c r="I115" s="32"/>
      <c r="J115" s="854" t="s">
        <v>53</v>
      </c>
      <c r="K115" s="854"/>
      <c r="L115" s="33" t="s">
        <v>51</v>
      </c>
      <c r="M115" s="34">
        <v>1.063793</v>
      </c>
      <c r="N115" s="238">
        <f>SUMIF('Cjenik RS'!$C$11:$C$26,$B115,'Cjenik RS'!$D$11:$D$90)</f>
        <v>98.54</v>
      </c>
      <c r="O115" s="35">
        <f>+N115*M115</f>
        <v>104.82616222</v>
      </c>
    </row>
    <row r="116" spans="1:15" ht="25.15" customHeight="1">
      <c r="A116" s="16"/>
      <c r="B116" s="837" t="str">
        <f>'Obrazac kalkulacije'!$B$11</f>
        <v>Vozila, strojevi i oprema:</v>
      </c>
      <c r="C116" s="837"/>
      <c r="D116" s="16"/>
      <c r="E116" s="16"/>
      <c r="F116" s="238"/>
      <c r="G116" s="18">
        <f>SUM(G117:G119)</f>
        <v>13.319094293431327</v>
      </c>
      <c r="I116" s="16"/>
      <c r="J116" s="837" t="str">
        <f>'Obrazac kalkulacije'!$B$11</f>
        <v>Vozila, strojevi i oprema:</v>
      </c>
      <c r="K116" s="837"/>
      <c r="L116" s="16"/>
      <c r="M116" s="16"/>
      <c r="N116" s="238"/>
      <c r="O116" s="18">
        <f>SUM(O117:O119)</f>
        <v>22.307400000000001</v>
      </c>
    </row>
    <row r="117" spans="1:15" ht="25.15" customHeight="1">
      <c r="A117" s="51"/>
      <c r="B117" s="863" t="s">
        <v>69</v>
      </c>
      <c r="C117" s="863"/>
      <c r="D117" s="52" t="s">
        <v>51</v>
      </c>
      <c r="E117" s="53">
        <v>3.9356913183279732E-2</v>
      </c>
      <c r="F117" s="260">
        <f>SUMIF('Cjenik VSO'!$B$9:$B$85,$B117,'Cjenik VSO'!$C$9:$C$85)</f>
        <v>179.6</v>
      </c>
      <c r="G117" s="55">
        <f>E117*F117</f>
        <v>7.0685016077170397</v>
      </c>
      <c r="I117" s="51"/>
      <c r="J117" s="863" t="s">
        <v>69</v>
      </c>
      <c r="K117" s="863"/>
      <c r="L117" s="52" t="s">
        <v>51</v>
      </c>
      <c r="M117" s="53">
        <v>5.6896000000000002E-2</v>
      </c>
      <c r="N117" s="260">
        <f>SUMIF('Cjenik VSO'!$B$9:$B$85,$B117,'Cjenik VSO'!$C$9:$C$85)</f>
        <v>179.6</v>
      </c>
      <c r="O117" s="55">
        <f>M117*N117</f>
        <v>10.218521600000001</v>
      </c>
    </row>
    <row r="118" spans="1:15" ht="25.15" customHeight="1">
      <c r="A118" s="56"/>
      <c r="B118" s="834" t="s">
        <v>71</v>
      </c>
      <c r="C118" s="834"/>
      <c r="D118" s="57" t="s">
        <v>51</v>
      </c>
      <c r="E118" s="58">
        <v>4.2857142857142864E-2</v>
      </c>
      <c r="F118" s="263">
        <f>SUMIF('Cjenik VSO'!$B$9:$B$85,$B118,'Cjenik VSO'!$C$9:$C$85)</f>
        <v>102.17</v>
      </c>
      <c r="G118" s="60">
        <f>E118*F118</f>
        <v>4.3787142857142864</v>
      </c>
      <c r="I118" s="56"/>
      <c r="J118" s="834" t="s">
        <v>71</v>
      </c>
      <c r="K118" s="834"/>
      <c r="L118" s="57" t="s">
        <v>51</v>
      </c>
      <c r="M118" s="58">
        <v>0.1</v>
      </c>
      <c r="N118" s="263">
        <f>SUMIF('Cjenik VSO'!$B$9:$B$85,$B118,'Cjenik VSO'!$C$9:$C$85)</f>
        <v>102.17</v>
      </c>
      <c r="O118" s="60">
        <f>M118*N118</f>
        <v>10.217000000000001</v>
      </c>
    </row>
    <row r="119" spans="1:15" ht="25.15" customHeight="1">
      <c r="A119" s="61"/>
      <c r="B119" s="864" t="s">
        <v>183</v>
      </c>
      <c r="C119" s="864"/>
      <c r="D119" s="62" t="s">
        <v>51</v>
      </c>
      <c r="E119" s="63">
        <v>5.6896000000000002E-2</v>
      </c>
      <c r="F119" s="261">
        <f>SUMIF('Cjenik VSO'!$B$9:$B$85,$B119,'Cjenik VSO'!$C$9:$C$85)</f>
        <v>32.9</v>
      </c>
      <c r="G119" s="65">
        <f>E119*F119</f>
        <v>1.8718783999999999</v>
      </c>
      <c r="I119" s="61"/>
      <c r="J119" s="864" t="s">
        <v>183</v>
      </c>
      <c r="K119" s="864"/>
      <c r="L119" s="62" t="s">
        <v>51</v>
      </c>
      <c r="M119" s="63">
        <v>5.6896000000000002E-2</v>
      </c>
      <c r="N119" s="261">
        <f>SUMIF('Cjenik VSO'!$B$9:$B$85,$B119,'Cjenik VSO'!$C$9:$C$85)</f>
        <v>32.9</v>
      </c>
      <c r="O119" s="65">
        <f>M119*N119</f>
        <v>1.8718783999999999</v>
      </c>
    </row>
    <row r="120" spans="1:15" ht="25.15" customHeight="1">
      <c r="A120" s="16"/>
      <c r="B120" s="837" t="str">
        <f>'Obrazac kalkulacije'!$B$15</f>
        <v>Materijali:</v>
      </c>
      <c r="C120" s="837"/>
      <c r="D120" s="16"/>
      <c r="E120" s="16"/>
      <c r="F120" s="238"/>
      <c r="G120" s="18">
        <f>SUM(G121:G121)</f>
        <v>0</v>
      </c>
      <c r="I120" s="16"/>
      <c r="J120" s="837" t="str">
        <f>'Obrazac kalkulacije'!$B$15</f>
        <v>Materijali:</v>
      </c>
      <c r="K120" s="837"/>
      <c r="L120" s="16"/>
      <c r="M120" s="16"/>
      <c r="N120" s="238"/>
      <c r="O120" s="18">
        <f>SUM(O121:O121)</f>
        <v>0</v>
      </c>
    </row>
    <row r="121" spans="1:15" ht="25.15" customHeight="1" thickBot="1">
      <c r="A121" s="43"/>
      <c r="B121" s="863">
        <f>'Cjenik M'!$B$28</f>
        <v>0</v>
      </c>
      <c r="C121" s="863"/>
      <c r="D121" s="52">
        <f>'Cjenik M'!$C$28</f>
        <v>0</v>
      </c>
      <c r="E121" s="53">
        <v>1</v>
      </c>
      <c r="F121" s="260">
        <f>'Cjenik M'!$D$28</f>
        <v>0</v>
      </c>
      <c r="G121" s="55">
        <f>E121*F121</f>
        <v>0</v>
      </c>
      <c r="I121" s="43"/>
      <c r="J121" s="863">
        <f>'Cjenik M'!$B$28</f>
        <v>0</v>
      </c>
      <c r="K121" s="863"/>
      <c r="L121" s="52">
        <f>'Cjenik M'!$C$28</f>
        <v>0</v>
      </c>
      <c r="M121" s="53">
        <v>1</v>
      </c>
      <c r="N121" s="260">
        <f>'Cjenik M'!$D$28</f>
        <v>0</v>
      </c>
      <c r="O121" s="55">
        <f>M121*N121</f>
        <v>0</v>
      </c>
    </row>
    <row r="122" spans="1:15" ht="25.15" customHeight="1" thickTop="1" thickBot="1">
      <c r="B122" s="47"/>
      <c r="C122" s="24"/>
      <c r="D122" s="25"/>
      <c r="E122" s="850" t="str">
        <f>'Obrazac kalkulacije'!$E$18</f>
        <v>Ukupno (kn):</v>
      </c>
      <c r="F122" s="850"/>
      <c r="G122" s="26">
        <f>ROUND(SUM(G114+G116+G120),2)</f>
        <v>118.15</v>
      </c>
      <c r="H122" s="269" t="e">
        <f>SUMIF(#REF!,B110,#REF!)</f>
        <v>#REF!</v>
      </c>
      <c r="J122" s="47"/>
      <c r="K122" s="24"/>
      <c r="L122" s="25"/>
      <c r="M122" s="850" t="str">
        <f>'Obrazac kalkulacije'!$E$18</f>
        <v>Ukupno (kn):</v>
      </c>
      <c r="N122" s="850"/>
      <c r="O122" s="26">
        <f>ROUND(SUM(O114+O116+O120),2)</f>
        <v>127.13</v>
      </c>
    </row>
    <row r="123" spans="1:15" ht="25.15" customHeight="1" thickTop="1" thickBot="1">
      <c r="E123" s="27" t="str">
        <f>'Obrazac kalkulacije'!$E$19</f>
        <v>PDV:</v>
      </c>
      <c r="F123" s="259">
        <f>'Obrazac kalkulacije'!$F$19</f>
        <v>0.25</v>
      </c>
      <c r="G123" s="29">
        <f>G122*F123</f>
        <v>29.537500000000001</v>
      </c>
      <c r="H123" s="270" t="e">
        <f>H122-G122</f>
        <v>#REF!</v>
      </c>
      <c r="M123" s="27" t="str">
        <f>'Obrazac kalkulacije'!$E$19</f>
        <v>PDV:</v>
      </c>
      <c r="N123" s="259">
        <f>'Obrazac kalkulacije'!$F$19</f>
        <v>0.25</v>
      </c>
      <c r="O123" s="29">
        <f>O122*N123</f>
        <v>31.782499999999999</v>
      </c>
    </row>
    <row r="124" spans="1:15" ht="25.15" customHeight="1" thickTop="1" thickBot="1">
      <c r="E124" s="840" t="str">
        <f>'Obrazac kalkulacije'!$E$20</f>
        <v>Sveukupno (kn):</v>
      </c>
      <c r="F124" s="840"/>
      <c r="G124" s="29">
        <f>ROUND(SUM(G122:G123),2)</f>
        <v>147.69</v>
      </c>
      <c r="H124" s="271" t="e">
        <f>G117+H123</f>
        <v>#REF!</v>
      </c>
      <c r="M124" s="840" t="str">
        <f>'Obrazac kalkulacije'!$E$20</f>
        <v>Sveukupno (kn):</v>
      </c>
      <c r="N124" s="840"/>
      <c r="O124" s="29">
        <f>ROUND(SUM(O122:O123),2)</f>
        <v>158.91</v>
      </c>
    </row>
    <row r="125" spans="1:15" ht="15" customHeight="1" thickTop="1"/>
    <row r="126" spans="1:15" ht="15" customHeight="1"/>
    <row r="127" spans="1:15" ht="15" customHeight="1"/>
    <row r="128" spans="1:15" ht="15" customHeight="1">
      <c r="C128" s="3" t="str">
        <f>'Obrazac kalkulacije'!$C$24</f>
        <v>IZVODITELJ:</v>
      </c>
      <c r="F128" s="841" t="str">
        <f>'Obrazac kalkulacije'!$F$24</f>
        <v>NARUČITELJ:</v>
      </c>
      <c r="G128" s="841"/>
      <c r="K128" s="3" t="str">
        <f>'Obrazac kalkulacije'!$C$24</f>
        <v>IZVODITELJ:</v>
      </c>
      <c r="N128" s="841" t="str">
        <f>'Obrazac kalkulacije'!$F$24</f>
        <v>NARUČITELJ:</v>
      </c>
      <c r="O128" s="841"/>
    </row>
    <row r="129" spans="1:15" ht="25.15" customHeight="1">
      <c r="C129" s="3" t="str">
        <f>'Obrazac kalkulacije'!$C$25</f>
        <v>__________________</v>
      </c>
      <c r="F129" s="841" t="str">
        <f>'Obrazac kalkulacije'!$F$25</f>
        <v>___________________</v>
      </c>
      <c r="G129" s="841"/>
      <c r="K129" s="3" t="str">
        <f>'Obrazac kalkulacije'!$C$25</f>
        <v>__________________</v>
      </c>
      <c r="N129" s="841" t="str">
        <f>'Obrazac kalkulacije'!$F$25</f>
        <v>___________________</v>
      </c>
      <c r="O129" s="841"/>
    </row>
    <row r="130" spans="1:15" ht="15" customHeight="1">
      <c r="F130" s="841"/>
      <c r="G130" s="841"/>
      <c r="N130" s="841"/>
      <c r="O130" s="841"/>
    </row>
    <row r="131" spans="1:15" ht="15" customHeight="1"/>
    <row r="132" spans="1:15" ht="15" customHeight="1">
      <c r="A132" s="144"/>
      <c r="B132" s="145" t="s">
        <v>27</v>
      </c>
      <c r="C132" s="836" t="s">
        <v>224</v>
      </c>
      <c r="D132" s="836"/>
      <c r="E132" s="836"/>
      <c r="F132" s="836"/>
      <c r="G132" s="836"/>
      <c r="I132" s="144"/>
      <c r="J132" s="145" t="s">
        <v>27</v>
      </c>
      <c r="K132" s="836" t="s">
        <v>224</v>
      </c>
      <c r="L132" s="836"/>
      <c r="M132" s="836"/>
      <c r="N132" s="836"/>
      <c r="O132" s="836"/>
    </row>
    <row r="133" spans="1:15" ht="150" customHeight="1">
      <c r="A133" s="40"/>
      <c r="B133" s="556" t="s">
        <v>239</v>
      </c>
      <c r="C133" s="852" t="s">
        <v>240</v>
      </c>
      <c r="D133" s="852"/>
      <c r="E133" s="852"/>
      <c r="F133" s="852"/>
      <c r="G133" s="852"/>
      <c r="I133" s="40"/>
      <c r="J133" s="41" t="s">
        <v>239</v>
      </c>
      <c r="K133" s="869" t="s">
        <v>240</v>
      </c>
      <c r="L133" s="869"/>
      <c r="M133" s="869"/>
      <c r="N133" s="869"/>
      <c r="O133" s="869"/>
    </row>
    <row r="134" spans="1:15" ht="15" customHeight="1" thickBot="1"/>
    <row r="135" spans="1:15" ht="30" customHeight="1" thickTop="1" thickBot="1">
      <c r="A135" s="10"/>
      <c r="B135" s="835" t="str">
        <f>'Obrazac kalkulacije'!$B$6:$C$6</f>
        <v>Opis</v>
      </c>
      <c r="C135" s="835"/>
      <c r="D135" s="10" t="str">
        <f>'Obrazac kalkulacije'!$D$6</f>
        <v>Jed.
mjere</v>
      </c>
      <c r="E135" s="10" t="str">
        <f>'Obrazac kalkulacije'!$E$6</f>
        <v>Normativ</v>
      </c>
      <c r="F135" s="10" t="str">
        <f>'Obrazac kalkulacije'!$F$6</f>
        <v>Jed.
cijena</v>
      </c>
      <c r="G135" s="10" t="str">
        <f>'Obrazac kalkulacije'!$G$6</f>
        <v>Iznos</v>
      </c>
      <c r="I135" s="10"/>
      <c r="J135" s="835" t="e">
        <f>'Obrazac kalkulacije'!$B$6:$C$6</f>
        <v>#VALUE!</v>
      </c>
      <c r="K135" s="835"/>
      <c r="L135" s="10" t="str">
        <f>'Obrazac kalkulacije'!$D$6</f>
        <v>Jed.
mjere</v>
      </c>
      <c r="M135" s="10" t="str">
        <f>'Obrazac kalkulacije'!$E$6</f>
        <v>Normativ</v>
      </c>
      <c r="N135" s="10" t="str">
        <f>'Obrazac kalkulacije'!$F$6</f>
        <v>Jed.
cijena</v>
      </c>
      <c r="O135" s="10" t="str">
        <f>'Obrazac kalkulacije'!$G$6</f>
        <v>Iznos</v>
      </c>
    </row>
    <row r="136" spans="1:15" ht="4.5" customHeight="1" thickTop="1">
      <c r="B136" s="42"/>
      <c r="C136" s="1"/>
      <c r="D136" s="11"/>
      <c r="E136" s="13"/>
      <c r="F136" s="258"/>
      <c r="G136" s="15"/>
      <c r="J136" s="42"/>
      <c r="K136" s="1"/>
      <c r="L136" s="11"/>
      <c r="M136" s="13"/>
      <c r="N136" s="258"/>
      <c r="O136" s="15"/>
    </row>
    <row r="137" spans="1:15" ht="25.15" customHeight="1">
      <c r="A137" s="16"/>
      <c r="B137" s="837" t="str">
        <f>'Obrazac kalkulacije'!$B$8</f>
        <v>Radna snaga:</v>
      </c>
      <c r="C137" s="837"/>
      <c r="D137" s="16"/>
      <c r="E137" s="16"/>
      <c r="F137" s="44"/>
      <c r="G137" s="18">
        <f>SUM(G138:G138)</f>
        <v>5.6660500000000003</v>
      </c>
      <c r="I137" s="16"/>
      <c r="J137" s="837" t="str">
        <f>'Obrazac kalkulacije'!$B$8</f>
        <v>Radna snaga:</v>
      </c>
      <c r="K137" s="837"/>
      <c r="L137" s="16"/>
      <c r="M137" s="16"/>
      <c r="N137" s="44"/>
      <c r="O137" s="18">
        <f>SUM(O138:O138)</f>
        <v>5.6660500000000003</v>
      </c>
    </row>
    <row r="138" spans="1:15" ht="25.15" customHeight="1">
      <c r="A138" s="32"/>
      <c r="B138" s="854" t="s">
        <v>53</v>
      </c>
      <c r="C138" s="854"/>
      <c r="D138" s="33" t="s">
        <v>51</v>
      </c>
      <c r="E138" s="34">
        <v>5.7500000000000002E-2</v>
      </c>
      <c r="F138" s="238">
        <f>SUMIF('Cjenik RS'!$C$11:$C$26,$B138,'Cjenik RS'!$D$11:$D$90)</f>
        <v>98.54</v>
      </c>
      <c r="G138" s="35">
        <f>E138*F138</f>
        <v>5.6660500000000003</v>
      </c>
      <c r="I138" s="32"/>
      <c r="J138" s="854" t="s">
        <v>53</v>
      </c>
      <c r="K138" s="854"/>
      <c r="L138" s="33" t="s">
        <v>51</v>
      </c>
      <c r="M138" s="34">
        <v>5.7500000000000002E-2</v>
      </c>
      <c r="N138" s="238">
        <f>SUMIF('Cjenik RS'!$C$11:$C$26,$B138,'Cjenik RS'!$D$11:$D$90)</f>
        <v>98.54</v>
      </c>
      <c r="O138" s="35">
        <f>M138*N138</f>
        <v>5.6660500000000003</v>
      </c>
    </row>
    <row r="139" spans="1:15" ht="25.15" customHeight="1">
      <c r="A139" s="16"/>
      <c r="B139" s="837" t="str">
        <f>'Obrazac kalkulacije'!$B$11</f>
        <v>Vozila, strojevi i oprema:</v>
      </c>
      <c r="C139" s="837"/>
      <c r="D139" s="16"/>
      <c r="E139" s="16"/>
      <c r="F139" s="238"/>
      <c r="G139" s="18">
        <f>SUM(G140:G143)</f>
        <v>11.701002429845072</v>
      </c>
      <c r="I139" s="16"/>
      <c r="J139" s="837" t="str">
        <f>'Obrazac kalkulacije'!$B$11</f>
        <v>Vozila, strojevi i oprema:</v>
      </c>
      <c r="K139" s="837"/>
      <c r="L139" s="16"/>
      <c r="M139" s="16"/>
      <c r="N139" s="238"/>
      <c r="O139" s="18">
        <f>SUM(O140:O143)</f>
        <v>12.908262500000001</v>
      </c>
    </row>
    <row r="140" spans="1:15" ht="25.15" customHeight="1">
      <c r="A140" s="51"/>
      <c r="B140" s="849" t="s">
        <v>97</v>
      </c>
      <c r="C140" s="849"/>
      <c r="D140" s="52" t="s">
        <v>51</v>
      </c>
      <c r="E140" s="86">
        <v>2.5000000000000001E-3</v>
      </c>
      <c r="F140" s="260">
        <f>SUMIF('Cjenik VSO'!$B$9:$B$85,$B140,'Cjenik VSO'!$C$9:$C$85)</f>
        <v>279.37</v>
      </c>
      <c r="G140" s="54">
        <f>E140*F140</f>
        <v>0.69842500000000007</v>
      </c>
      <c r="I140" s="51"/>
      <c r="J140" s="849" t="s">
        <v>97</v>
      </c>
      <c r="K140" s="849"/>
      <c r="L140" s="52" t="s">
        <v>51</v>
      </c>
      <c r="M140" s="86">
        <v>2.5000000000000001E-3</v>
      </c>
      <c r="N140" s="260">
        <f>SUMIF('Cjenik VSO'!$B$9:$B$85,$B140,'Cjenik VSO'!$C$9:$C$85)</f>
        <v>279.37</v>
      </c>
      <c r="O140" s="54">
        <f>M140*N140</f>
        <v>0.69842500000000007</v>
      </c>
    </row>
    <row r="141" spans="1:15" ht="25.15" customHeight="1">
      <c r="A141" s="56"/>
      <c r="B141" s="839" t="s">
        <v>69</v>
      </c>
      <c r="C141" s="839"/>
      <c r="D141" s="57" t="s">
        <v>51</v>
      </c>
      <c r="E141" s="92">
        <v>4.4028061970184149E-2</v>
      </c>
      <c r="F141" s="263">
        <f>SUMIF('Cjenik VSO'!$B$9:$B$85,$B141,'Cjenik VSO'!$C$9:$C$85)</f>
        <v>179.6</v>
      </c>
      <c r="G141" s="59">
        <f>E141*F141</f>
        <v>7.907439929845073</v>
      </c>
      <c r="I141" s="56"/>
      <c r="J141" s="839" t="s">
        <v>69</v>
      </c>
      <c r="K141" s="839"/>
      <c r="L141" s="57" t="s">
        <v>51</v>
      </c>
      <c r="M141" s="92">
        <v>5.0750000000000003E-2</v>
      </c>
      <c r="N141" s="263">
        <f>SUMIF('Cjenik VSO'!$B$9:$B$85,$B141,'Cjenik VSO'!$C$9:$C$85)</f>
        <v>179.6</v>
      </c>
      <c r="O141" s="59">
        <f>M141*N141</f>
        <v>9.1147000000000009</v>
      </c>
    </row>
    <row r="142" spans="1:15" ht="25.15" customHeight="1">
      <c r="A142" s="56"/>
      <c r="B142" s="839" t="s">
        <v>182</v>
      </c>
      <c r="C142" s="839"/>
      <c r="D142" s="57" t="s">
        <v>51</v>
      </c>
      <c r="E142" s="92">
        <v>1.225E-2</v>
      </c>
      <c r="F142" s="263">
        <f>SUMIF('Cjenik VSO'!$B$9:$B$85,$B142,'Cjenik VSO'!$C$9:$C$85)</f>
        <v>151.94999999999999</v>
      </c>
      <c r="G142" s="59">
        <f>E142*F142</f>
        <v>1.8613875</v>
      </c>
      <c r="I142" s="56"/>
      <c r="J142" s="839" t="s">
        <v>182</v>
      </c>
      <c r="K142" s="839"/>
      <c r="L142" s="57" t="s">
        <v>51</v>
      </c>
      <c r="M142" s="92">
        <v>1.225E-2</v>
      </c>
      <c r="N142" s="263">
        <f>SUMIF('Cjenik VSO'!$B$9:$B$85,$B142,'Cjenik VSO'!$C$9:$C$85)</f>
        <v>151.94999999999999</v>
      </c>
      <c r="O142" s="59">
        <f>M142*N142</f>
        <v>1.8613875</v>
      </c>
    </row>
    <row r="143" spans="1:15" ht="25.15" customHeight="1">
      <c r="A143" s="56"/>
      <c r="B143" s="839" t="s">
        <v>183</v>
      </c>
      <c r="C143" s="839"/>
      <c r="D143" s="57" t="s">
        <v>51</v>
      </c>
      <c r="E143" s="92">
        <v>3.7499999999999999E-2</v>
      </c>
      <c r="F143" s="263">
        <f>SUMIF('Cjenik VSO'!$B$9:$B$85,$B143,'Cjenik VSO'!$C$9:$C$85)</f>
        <v>32.9</v>
      </c>
      <c r="G143" s="59">
        <f>E143*F143</f>
        <v>1.2337499999999999</v>
      </c>
      <c r="I143" s="56"/>
      <c r="J143" s="839" t="s">
        <v>183</v>
      </c>
      <c r="K143" s="839"/>
      <c r="L143" s="57" t="s">
        <v>51</v>
      </c>
      <c r="M143" s="92">
        <v>3.7499999999999999E-2</v>
      </c>
      <c r="N143" s="263">
        <f>SUMIF('Cjenik VSO'!$B$9:$B$85,$B143,'Cjenik VSO'!$C$9:$C$85)</f>
        <v>32.9</v>
      </c>
      <c r="O143" s="59">
        <f>M143*N143</f>
        <v>1.2337499999999999</v>
      </c>
    </row>
    <row r="144" spans="1:15" ht="25.15" customHeight="1">
      <c r="A144" s="16"/>
      <c r="B144" s="837" t="str">
        <f>'Obrazac kalkulacije'!$B$15</f>
        <v>Materijali:</v>
      </c>
      <c r="C144" s="837"/>
      <c r="D144" s="16"/>
      <c r="E144" s="16"/>
      <c r="F144" s="238"/>
      <c r="G144" s="18">
        <f>SUM(G145:G145)</f>
        <v>0</v>
      </c>
      <c r="I144" s="16"/>
      <c r="J144" s="837" t="str">
        <f>'Obrazac kalkulacije'!$B$15</f>
        <v>Materijali:</v>
      </c>
      <c r="K144" s="837"/>
      <c r="L144" s="16"/>
      <c r="M144" s="16"/>
      <c r="N144" s="238"/>
      <c r="O144" s="18">
        <f>SUM(O145:O145)</f>
        <v>0</v>
      </c>
    </row>
    <row r="145" spans="1:15" ht="25.15" customHeight="1" thickBot="1">
      <c r="A145" s="43"/>
      <c r="B145" s="863">
        <f>'Cjenik M'!$B$90</f>
        <v>0</v>
      </c>
      <c r="C145" s="863"/>
      <c r="D145" s="52">
        <f>'Cjenik M'!$C$90</f>
        <v>0</v>
      </c>
      <c r="E145" s="53">
        <v>1.4999999999999999E-2</v>
      </c>
      <c r="F145" s="260">
        <f>'Cjenik M'!$D$90</f>
        <v>0</v>
      </c>
      <c r="G145" s="55">
        <f>E145*F145</f>
        <v>0</v>
      </c>
      <c r="I145" s="43"/>
      <c r="J145" s="863">
        <f>'Cjenik M'!$B$90</f>
        <v>0</v>
      </c>
      <c r="K145" s="863"/>
      <c r="L145" s="52">
        <f>'Cjenik M'!$C$90</f>
        <v>0</v>
      </c>
      <c r="M145" s="53">
        <v>1.4999999999999999E-2</v>
      </c>
      <c r="N145" s="260">
        <f>'Cjenik M'!$D$90</f>
        <v>0</v>
      </c>
      <c r="O145" s="55">
        <f>M145*N145</f>
        <v>0</v>
      </c>
    </row>
    <row r="146" spans="1:15" ht="25.15" customHeight="1" thickTop="1" thickBot="1">
      <c r="B146" s="47"/>
      <c r="C146" s="24"/>
      <c r="D146" s="25"/>
      <c r="E146" s="850" t="str">
        <f>'Obrazac kalkulacije'!$E$18</f>
        <v>Ukupno (kn):</v>
      </c>
      <c r="F146" s="850"/>
      <c r="G146" s="26">
        <f>ROUND(SUM(G137+G139+G144),2)</f>
        <v>17.37</v>
      </c>
      <c r="H146" s="269" t="e">
        <f>SUMIF(#REF!,B133,#REF!)</f>
        <v>#REF!</v>
      </c>
      <c r="J146" s="47"/>
      <c r="K146" s="24"/>
      <c r="L146" s="25"/>
      <c r="M146" s="850" t="str">
        <f>'Obrazac kalkulacije'!$E$18</f>
        <v>Ukupno (kn):</v>
      </c>
      <c r="N146" s="850"/>
      <c r="O146" s="26">
        <f>ROUND(SUM(O137+O139+O144),2)</f>
        <v>18.57</v>
      </c>
    </row>
    <row r="147" spans="1:15" ht="25.15" customHeight="1" thickTop="1" thickBot="1">
      <c r="E147" s="27" t="str">
        <f>'Obrazac kalkulacije'!$E$19</f>
        <v>PDV:</v>
      </c>
      <c r="F147" s="259">
        <f>'Obrazac kalkulacije'!$F$19</f>
        <v>0.25</v>
      </c>
      <c r="G147" s="29">
        <f>G146*F147</f>
        <v>4.3425000000000002</v>
      </c>
      <c r="H147" s="270" t="e">
        <f>H146-G146</f>
        <v>#REF!</v>
      </c>
      <c r="M147" s="27" t="str">
        <f>'Obrazac kalkulacije'!$E$19</f>
        <v>PDV:</v>
      </c>
      <c r="N147" s="259">
        <f>'Obrazac kalkulacije'!$F$19</f>
        <v>0.25</v>
      </c>
      <c r="O147" s="29">
        <f>O146*N147</f>
        <v>4.6425000000000001</v>
      </c>
    </row>
    <row r="148" spans="1:15" ht="25.15" customHeight="1" thickTop="1" thickBot="1">
      <c r="E148" s="840" t="str">
        <f>'Obrazac kalkulacije'!$E$20</f>
        <v>Sveukupno (kn):</v>
      </c>
      <c r="F148" s="840"/>
      <c r="G148" s="29">
        <f>ROUND(SUM(G146:G147),2)</f>
        <v>21.71</v>
      </c>
      <c r="H148" s="271" t="e">
        <f>G141+H147</f>
        <v>#REF!</v>
      </c>
      <c r="M148" s="840" t="str">
        <f>'Obrazac kalkulacije'!$E$20</f>
        <v>Sveukupno (kn):</v>
      </c>
      <c r="N148" s="840"/>
      <c r="O148" s="29">
        <f>ROUND(SUM(O146:O147),2)</f>
        <v>23.21</v>
      </c>
    </row>
    <row r="149" spans="1:15" ht="15" customHeight="1" thickTop="1"/>
    <row r="150" spans="1:15" ht="15" customHeight="1"/>
    <row r="151" spans="1:15" ht="15" customHeight="1"/>
    <row r="152" spans="1:15" ht="15" customHeight="1">
      <c r="C152" s="3" t="str">
        <f>'Obrazac kalkulacije'!$C$24</f>
        <v>IZVODITELJ:</v>
      </c>
      <c r="F152" s="841" t="str">
        <f>'Obrazac kalkulacije'!$F$24</f>
        <v>NARUČITELJ:</v>
      </c>
      <c r="G152" s="841"/>
      <c r="K152" s="3" t="str">
        <f>'Obrazac kalkulacije'!$C$24</f>
        <v>IZVODITELJ:</v>
      </c>
      <c r="N152" s="841" t="str">
        <f>'Obrazac kalkulacije'!$F$24</f>
        <v>NARUČITELJ:</v>
      </c>
      <c r="O152" s="841"/>
    </row>
    <row r="153" spans="1:15" ht="25.15" customHeight="1">
      <c r="C153" s="3" t="str">
        <f>'Obrazac kalkulacije'!$C$25</f>
        <v>__________________</v>
      </c>
      <c r="F153" s="841" t="str">
        <f>'Obrazac kalkulacije'!$F$25</f>
        <v>___________________</v>
      </c>
      <c r="G153" s="841"/>
      <c r="K153" s="3" t="str">
        <f>'Obrazac kalkulacije'!$C$25</f>
        <v>__________________</v>
      </c>
      <c r="N153" s="841" t="str">
        <f>'Obrazac kalkulacije'!$F$25</f>
        <v>___________________</v>
      </c>
      <c r="O153" s="841"/>
    </row>
    <row r="154" spans="1:15" ht="15" customHeight="1">
      <c r="F154" s="841"/>
      <c r="G154" s="841"/>
      <c r="N154" s="841"/>
      <c r="O154" s="841"/>
    </row>
    <row r="155" spans="1:15" ht="15" customHeight="1"/>
    <row r="156" spans="1:15" ht="15" customHeight="1">
      <c r="A156" s="144"/>
      <c r="B156" s="145" t="s">
        <v>27</v>
      </c>
      <c r="C156" s="836" t="s">
        <v>224</v>
      </c>
      <c r="D156" s="836"/>
      <c r="E156" s="836"/>
      <c r="F156" s="836"/>
      <c r="G156" s="836"/>
      <c r="I156" s="144"/>
      <c r="J156" s="145" t="s">
        <v>27</v>
      </c>
      <c r="K156" s="836" t="s">
        <v>224</v>
      </c>
      <c r="L156" s="836"/>
      <c r="M156" s="836"/>
      <c r="N156" s="836"/>
      <c r="O156" s="836"/>
    </row>
    <row r="157" spans="1:15" ht="150" customHeight="1">
      <c r="A157" s="40"/>
      <c r="B157" s="556" t="s">
        <v>241</v>
      </c>
      <c r="C157" s="852" t="s">
        <v>242</v>
      </c>
      <c r="D157" s="852"/>
      <c r="E157" s="852"/>
      <c r="F157" s="852"/>
      <c r="G157" s="852"/>
      <c r="I157" s="40"/>
      <c r="J157" s="41" t="s">
        <v>241</v>
      </c>
      <c r="K157" s="869" t="s">
        <v>243</v>
      </c>
      <c r="L157" s="869"/>
      <c r="M157" s="869"/>
      <c r="N157" s="869"/>
      <c r="O157" s="869"/>
    </row>
    <row r="158" spans="1:15" ht="15" customHeight="1" thickBot="1"/>
    <row r="159" spans="1:15" ht="30" customHeight="1" thickTop="1" thickBot="1">
      <c r="A159" s="10"/>
      <c r="B159" s="835" t="str">
        <f>'Obrazac kalkulacije'!$B$6:$C$6</f>
        <v>Opis</v>
      </c>
      <c r="C159" s="835"/>
      <c r="D159" s="10" t="str">
        <f>'Obrazac kalkulacije'!$D$6</f>
        <v>Jed.
mjere</v>
      </c>
      <c r="E159" s="10" t="str">
        <f>'Obrazac kalkulacije'!$E$6</f>
        <v>Normativ</v>
      </c>
      <c r="F159" s="10" t="str">
        <f>'Obrazac kalkulacije'!$F$6</f>
        <v>Jed.
cijena</v>
      </c>
      <c r="G159" s="10" t="str">
        <f>'Obrazac kalkulacije'!$G$6</f>
        <v>Iznos</v>
      </c>
      <c r="I159" s="10"/>
      <c r="J159" s="835" t="e">
        <f>'Obrazac kalkulacije'!$B$6:$C$6</f>
        <v>#VALUE!</v>
      </c>
      <c r="K159" s="835"/>
      <c r="L159" s="10" t="str">
        <f>'Obrazac kalkulacije'!$D$6</f>
        <v>Jed.
mjere</v>
      </c>
      <c r="M159" s="10" t="str">
        <f>'Obrazac kalkulacije'!$E$6</f>
        <v>Normativ</v>
      </c>
      <c r="N159" s="10" t="str">
        <f>'Obrazac kalkulacije'!$F$6</f>
        <v>Jed.
cijena</v>
      </c>
      <c r="O159" s="10" t="str">
        <f>'Obrazac kalkulacije'!$G$6</f>
        <v>Iznos</v>
      </c>
    </row>
    <row r="160" spans="1:15" ht="4.5" customHeight="1" thickTop="1">
      <c r="B160" s="42"/>
      <c r="C160" s="1"/>
      <c r="D160" s="11"/>
      <c r="E160" s="13"/>
      <c r="F160" s="258"/>
      <c r="G160" s="15"/>
      <c r="J160" s="42"/>
      <c r="K160" s="1"/>
      <c r="L160" s="11"/>
      <c r="M160" s="13"/>
      <c r="N160" s="258"/>
      <c r="O160" s="15"/>
    </row>
    <row r="161" spans="1:15" ht="25.15" customHeight="1">
      <c r="A161" s="16"/>
      <c r="B161" s="837" t="str">
        <f>'Obrazac kalkulacije'!$B$8</f>
        <v>Radna snaga:</v>
      </c>
      <c r="C161" s="837"/>
      <c r="D161" s="16"/>
      <c r="E161" s="16"/>
      <c r="F161" s="44"/>
      <c r="G161" s="18">
        <f>SUM(G162:G163)</f>
        <v>21.746694060000003</v>
      </c>
      <c r="I161" s="16"/>
      <c r="J161" s="837" t="str">
        <f>'Obrazac kalkulacije'!$B$8</f>
        <v>Radna snaga:</v>
      </c>
      <c r="K161" s="837"/>
      <c r="L161" s="16"/>
      <c r="M161" s="16"/>
      <c r="N161" s="44"/>
      <c r="O161" s="18">
        <f>SUM(O162:O163)</f>
        <v>21.746694060000003</v>
      </c>
    </row>
    <row r="162" spans="1:15" ht="25.15" customHeight="1">
      <c r="A162" s="72"/>
      <c r="B162" s="849" t="s">
        <v>53</v>
      </c>
      <c r="C162" s="849"/>
      <c r="D162" s="89" t="s">
        <v>51</v>
      </c>
      <c r="E162" s="86">
        <v>7.3563000000000003E-2</v>
      </c>
      <c r="F162" s="260">
        <f>SUMIF('Cjenik RS'!$C$11:$C$26,$B162,'Cjenik RS'!$D$11:$D$90)</f>
        <v>98.54</v>
      </c>
      <c r="G162" s="55">
        <f>+F162*E162</f>
        <v>7.2488980200000004</v>
      </c>
      <c r="I162" s="72"/>
      <c r="J162" s="849" t="s">
        <v>53</v>
      </c>
      <c r="K162" s="849"/>
      <c r="L162" s="89" t="s">
        <v>51</v>
      </c>
      <c r="M162" s="86">
        <v>7.3563000000000003E-2</v>
      </c>
      <c r="N162" s="260">
        <f>SUMIF('Cjenik RS'!$C$11:$C$26,$B162,'Cjenik RS'!$D$11:$D$90)</f>
        <v>98.54</v>
      </c>
      <c r="O162" s="55">
        <f>+N162*M162</f>
        <v>7.2488980200000004</v>
      </c>
    </row>
    <row r="163" spans="1:15" ht="25.15" customHeight="1">
      <c r="A163" s="90"/>
      <c r="B163" s="855" t="s">
        <v>53</v>
      </c>
      <c r="C163" s="855"/>
      <c r="D163" s="91" t="s">
        <v>51</v>
      </c>
      <c r="E163" s="87">
        <v>0.14712600000000001</v>
      </c>
      <c r="F163" s="261">
        <f>SUMIF('Cjenik RS'!$C$11:$C$26,$B163,'Cjenik RS'!$D$11:$D$90)</f>
        <v>98.54</v>
      </c>
      <c r="G163" s="65">
        <f>+F163*E163</f>
        <v>14.497796040000001</v>
      </c>
      <c r="I163" s="90"/>
      <c r="J163" s="855" t="s">
        <v>53</v>
      </c>
      <c r="K163" s="855"/>
      <c r="L163" s="91" t="s">
        <v>51</v>
      </c>
      <c r="M163" s="87">
        <v>0.14712600000000001</v>
      </c>
      <c r="N163" s="261">
        <f>SUMIF('Cjenik RS'!$C$11:$C$26,$B163,'Cjenik RS'!$D$11:$D$90)</f>
        <v>98.54</v>
      </c>
      <c r="O163" s="65">
        <f>+N163*M163</f>
        <v>14.497796040000001</v>
      </c>
    </row>
    <row r="164" spans="1:15" ht="25.15" customHeight="1">
      <c r="A164" s="16"/>
      <c r="B164" s="837" t="str">
        <f>'Obrazac kalkulacije'!$B$11</f>
        <v>Vozila, strojevi i oprema:</v>
      </c>
      <c r="C164" s="837"/>
      <c r="D164" s="16"/>
      <c r="E164" s="16"/>
      <c r="F164" s="238"/>
      <c r="G164" s="18">
        <f>SUM(G165:G165)</f>
        <v>3.3284536685179762</v>
      </c>
      <c r="I164" s="16"/>
      <c r="J164" s="837" t="str">
        <f>'Obrazac kalkulacije'!$B$11</f>
        <v>Vozila, strojevi i oprema:</v>
      </c>
      <c r="K164" s="837"/>
      <c r="L164" s="16"/>
      <c r="M164" s="16"/>
      <c r="N164" s="238"/>
      <c r="O164" s="18">
        <f>SUM(O165:O165)</f>
        <v>3.6228911999999998</v>
      </c>
    </row>
    <row r="165" spans="1:15" ht="25.15" customHeight="1">
      <c r="A165" s="16"/>
      <c r="B165" s="864" t="s">
        <v>69</v>
      </c>
      <c r="C165" s="864"/>
      <c r="D165" s="62" t="s">
        <v>51</v>
      </c>
      <c r="E165" s="63">
        <v>1.8532592809120136E-2</v>
      </c>
      <c r="F165" s="260">
        <f>SUMIF('Cjenik VSO'!$B$9:$B$85,$B165,'Cjenik VSO'!$C$9:$C$85)</f>
        <v>179.6</v>
      </c>
      <c r="G165" s="65">
        <f>E165*F165</f>
        <v>3.3284536685179762</v>
      </c>
      <c r="I165" s="16"/>
      <c r="J165" s="864" t="s">
        <v>69</v>
      </c>
      <c r="K165" s="864"/>
      <c r="L165" s="62" t="s">
        <v>51</v>
      </c>
      <c r="M165" s="63">
        <v>2.0171999999999999E-2</v>
      </c>
      <c r="N165" s="260">
        <f>SUMIF('Cjenik VSO'!$B$9:$B$85,$B165,'Cjenik VSO'!$C$9:$C$85)</f>
        <v>179.6</v>
      </c>
      <c r="O165" s="65">
        <f>M165*N165</f>
        <v>3.6228911999999998</v>
      </c>
    </row>
    <row r="166" spans="1:15" ht="25.15" customHeight="1">
      <c r="A166" s="88"/>
      <c r="B166" s="837" t="str">
        <f>'Obrazac kalkulacije'!$B$15</f>
        <v>Materijali:</v>
      </c>
      <c r="C166" s="837"/>
      <c r="D166" s="16"/>
      <c r="E166" s="16"/>
      <c r="F166" s="238"/>
      <c r="G166" s="18">
        <f>SUM(G167:G168)</f>
        <v>0</v>
      </c>
      <c r="I166" s="88"/>
      <c r="J166" s="837" t="str">
        <f>'Obrazac kalkulacije'!$B$15</f>
        <v>Materijali:</v>
      </c>
      <c r="K166" s="837"/>
      <c r="L166" s="16"/>
      <c r="M166" s="16"/>
      <c r="N166" s="238"/>
      <c r="O166" s="18">
        <f>SUM(O167:O168)</f>
        <v>0</v>
      </c>
    </row>
    <row r="167" spans="1:15" ht="25.15" customHeight="1">
      <c r="A167" s="51"/>
      <c r="B167" s="863">
        <f>'Cjenik M'!$B$69</f>
        <v>0</v>
      </c>
      <c r="C167" s="863"/>
      <c r="D167" s="52">
        <f>'Cjenik M'!$C$69</f>
        <v>0</v>
      </c>
      <c r="E167" s="53">
        <v>1.1000000000000001</v>
      </c>
      <c r="F167" s="260">
        <f>'Cjenik M'!$D$69</f>
        <v>0</v>
      </c>
      <c r="G167" s="55">
        <f>E167*F167</f>
        <v>0</v>
      </c>
      <c r="I167" s="51"/>
      <c r="J167" s="863">
        <f>'Cjenik M'!$B$69</f>
        <v>0</v>
      </c>
      <c r="K167" s="863"/>
      <c r="L167" s="52">
        <f>'Cjenik M'!$C$69</f>
        <v>0</v>
      </c>
      <c r="M167" s="53">
        <v>1.1000000000000001</v>
      </c>
      <c r="N167" s="260">
        <f>'Cjenik M'!$D$69</f>
        <v>0</v>
      </c>
      <c r="O167" s="55">
        <f>M167*N167</f>
        <v>0</v>
      </c>
    </row>
    <row r="168" spans="1:15" ht="25.15" customHeight="1" thickBot="1">
      <c r="A168" s="66"/>
      <c r="B168" s="859">
        <f>'Cjenik M'!$B$67</f>
        <v>0</v>
      </c>
      <c r="C168" s="859"/>
      <c r="D168" s="67">
        <f>'Cjenik M'!$C$67</f>
        <v>0</v>
      </c>
      <c r="E168" s="68">
        <v>1</v>
      </c>
      <c r="F168" s="262">
        <f>'Cjenik M'!$D$67</f>
        <v>0</v>
      </c>
      <c r="G168" s="70">
        <f>E168*F168</f>
        <v>0</v>
      </c>
      <c r="I168" s="66"/>
      <c r="J168" s="859">
        <f>'Cjenik M'!$B$67</f>
        <v>0</v>
      </c>
      <c r="K168" s="859"/>
      <c r="L168" s="67">
        <f>'Cjenik M'!$C$67</f>
        <v>0</v>
      </c>
      <c r="M168" s="68">
        <v>1</v>
      </c>
      <c r="N168" s="262">
        <f>'Cjenik M'!$D$67</f>
        <v>0</v>
      </c>
      <c r="O168" s="70">
        <f>M168*N168</f>
        <v>0</v>
      </c>
    </row>
    <row r="169" spans="1:15" ht="25.15" customHeight="1" thickTop="1" thickBot="1">
      <c r="B169" s="47"/>
      <c r="C169" s="24"/>
      <c r="D169" s="25"/>
      <c r="E169" s="850" t="str">
        <f>'Obrazac kalkulacije'!$E$18</f>
        <v>Ukupno (kn):</v>
      </c>
      <c r="F169" s="850"/>
      <c r="G169" s="26">
        <f>ROUND(SUM(G161+G164+G166),2)</f>
        <v>25.08</v>
      </c>
      <c r="H169" s="269" t="e">
        <f>SUMIF(#REF!,B157,#REF!)</f>
        <v>#REF!</v>
      </c>
      <c r="J169" s="47"/>
      <c r="K169" s="24"/>
      <c r="L169" s="25"/>
      <c r="M169" s="850" t="str">
        <f>'Obrazac kalkulacije'!$E$18</f>
        <v>Ukupno (kn):</v>
      </c>
      <c r="N169" s="850"/>
      <c r="O169" s="26">
        <f>ROUND(SUM(O161+O164+O166),2)</f>
        <v>25.37</v>
      </c>
    </row>
    <row r="170" spans="1:15" ht="25.15" customHeight="1" thickTop="1" thickBot="1">
      <c r="E170" s="27" t="str">
        <f>'Obrazac kalkulacije'!$E$19</f>
        <v>PDV:</v>
      </c>
      <c r="F170" s="259">
        <f>'Obrazac kalkulacije'!$F$19</f>
        <v>0.25</v>
      </c>
      <c r="G170" s="29">
        <f>G169*F170</f>
        <v>6.27</v>
      </c>
      <c r="H170" s="270" t="e">
        <f>H169-G169</f>
        <v>#REF!</v>
      </c>
      <c r="M170" s="27" t="str">
        <f>'Obrazac kalkulacije'!$E$19</f>
        <v>PDV:</v>
      </c>
      <c r="N170" s="259">
        <f>'Obrazac kalkulacije'!$F$19</f>
        <v>0.25</v>
      </c>
      <c r="O170" s="29">
        <f>O169*N170</f>
        <v>6.3425000000000002</v>
      </c>
    </row>
    <row r="171" spans="1:15" ht="25.15" customHeight="1" thickTop="1" thickBot="1">
      <c r="E171" s="840" t="str">
        <f>'Obrazac kalkulacije'!$E$20</f>
        <v>Sveukupno (kn):</v>
      </c>
      <c r="F171" s="840"/>
      <c r="G171" s="29">
        <f>ROUND(SUM(G169:G170),2)</f>
        <v>31.35</v>
      </c>
      <c r="H171" s="271" t="e">
        <f>G164+H170</f>
        <v>#REF!</v>
      </c>
      <c r="M171" s="840" t="str">
        <f>'Obrazac kalkulacije'!$E$20</f>
        <v>Sveukupno (kn):</v>
      </c>
      <c r="N171" s="840"/>
      <c r="O171" s="29">
        <f>ROUND(SUM(O169:O170),2)</f>
        <v>31.71</v>
      </c>
    </row>
    <row r="172" spans="1:15" ht="15" customHeight="1" thickTop="1"/>
    <row r="173" spans="1:15" ht="15" customHeight="1"/>
    <row r="174" spans="1:15" ht="15" customHeight="1"/>
    <row r="175" spans="1:15" ht="15" customHeight="1">
      <c r="C175" s="3" t="str">
        <f>'Obrazac kalkulacije'!$C$24</f>
        <v>IZVODITELJ:</v>
      </c>
      <c r="F175" s="841" t="str">
        <f>'Obrazac kalkulacije'!$F$24</f>
        <v>NARUČITELJ:</v>
      </c>
      <c r="G175" s="841"/>
      <c r="K175" s="3" t="str">
        <f>'Obrazac kalkulacije'!$C$24</f>
        <v>IZVODITELJ:</v>
      </c>
      <c r="N175" s="841" t="str">
        <f>'Obrazac kalkulacije'!$F$24</f>
        <v>NARUČITELJ:</v>
      </c>
      <c r="O175" s="841"/>
    </row>
    <row r="176" spans="1:15" ht="25.15" customHeight="1">
      <c r="C176" s="3" t="str">
        <f>'Obrazac kalkulacije'!$C$25</f>
        <v>__________________</v>
      </c>
      <c r="F176" s="841" t="str">
        <f>'Obrazac kalkulacije'!$F$25</f>
        <v>___________________</v>
      </c>
      <c r="G176" s="841"/>
      <c r="K176" s="3" t="str">
        <f>'Obrazac kalkulacije'!$C$25</f>
        <v>__________________</v>
      </c>
      <c r="N176" s="841" t="str">
        <f>'Obrazac kalkulacije'!$F$25</f>
        <v>___________________</v>
      </c>
      <c r="O176" s="841"/>
    </row>
    <row r="177" spans="1:15" ht="15" customHeight="1">
      <c r="F177" s="841"/>
      <c r="G177" s="841"/>
      <c r="N177" s="841"/>
      <c r="O177" s="841"/>
    </row>
    <row r="178" spans="1:15" ht="15" customHeight="1"/>
    <row r="179" spans="1:15" ht="15" customHeight="1">
      <c r="A179" s="144"/>
      <c r="B179" s="145" t="s">
        <v>27</v>
      </c>
      <c r="C179" s="836" t="s">
        <v>224</v>
      </c>
      <c r="D179" s="836"/>
      <c r="E179" s="836"/>
      <c r="F179" s="836"/>
      <c r="G179" s="836"/>
      <c r="I179" s="144"/>
      <c r="J179" s="145" t="s">
        <v>27</v>
      </c>
      <c r="K179" s="836" t="s">
        <v>224</v>
      </c>
      <c r="L179" s="836"/>
      <c r="M179" s="836"/>
      <c r="N179" s="836"/>
      <c r="O179" s="836"/>
    </row>
    <row r="180" spans="1:15" ht="150" customHeight="1">
      <c r="A180" s="40"/>
      <c r="B180" s="556" t="s">
        <v>244</v>
      </c>
      <c r="C180" s="852" t="s">
        <v>245</v>
      </c>
      <c r="D180" s="852"/>
      <c r="E180" s="852"/>
      <c r="F180" s="852"/>
      <c r="G180" s="852"/>
      <c r="I180" s="40"/>
      <c r="J180" s="41" t="s">
        <v>244</v>
      </c>
      <c r="K180" s="869" t="s">
        <v>246</v>
      </c>
      <c r="L180" s="869"/>
      <c r="M180" s="869"/>
      <c r="N180" s="869"/>
      <c r="O180" s="869"/>
    </row>
    <row r="181" spans="1:15" ht="15" customHeight="1" thickBot="1"/>
    <row r="182" spans="1:15" ht="30" customHeight="1" thickTop="1" thickBot="1">
      <c r="A182" s="10"/>
      <c r="B182" s="835" t="str">
        <f>'Obrazac kalkulacije'!$B$6:$C$6</f>
        <v>Opis</v>
      </c>
      <c r="C182" s="835"/>
      <c r="D182" s="10" t="str">
        <f>'Obrazac kalkulacije'!$D$6</f>
        <v>Jed.
mjere</v>
      </c>
      <c r="E182" s="10" t="str">
        <f>'Obrazac kalkulacije'!$E$6</f>
        <v>Normativ</v>
      </c>
      <c r="F182" s="10" t="str">
        <f>'Obrazac kalkulacije'!$F$6</f>
        <v>Jed.
cijena</v>
      </c>
      <c r="G182" s="10" t="str">
        <f>'Obrazac kalkulacije'!$G$6</f>
        <v>Iznos</v>
      </c>
      <c r="I182" s="10"/>
      <c r="J182" s="835" t="e">
        <f>'Obrazac kalkulacije'!$B$6:$C$6</f>
        <v>#VALUE!</v>
      </c>
      <c r="K182" s="835"/>
      <c r="L182" s="10" t="str">
        <f>'Obrazac kalkulacije'!$D$6</f>
        <v>Jed.
mjere</v>
      </c>
      <c r="M182" s="10" t="str">
        <f>'Obrazac kalkulacije'!$E$6</f>
        <v>Normativ</v>
      </c>
      <c r="N182" s="10" t="str">
        <f>'Obrazac kalkulacije'!$F$6</f>
        <v>Jed.
cijena</v>
      </c>
      <c r="O182" s="10" t="str">
        <f>'Obrazac kalkulacije'!$G$6</f>
        <v>Iznos</v>
      </c>
    </row>
    <row r="183" spans="1:15" ht="4.5" customHeight="1" thickTop="1">
      <c r="B183" s="42"/>
      <c r="C183" s="1"/>
      <c r="D183" s="11"/>
      <c r="E183" s="13"/>
      <c r="F183" s="258"/>
      <c r="G183" s="15"/>
      <c r="J183" s="42"/>
      <c r="K183" s="1"/>
      <c r="L183" s="11"/>
      <c r="M183" s="13"/>
      <c r="N183" s="258"/>
      <c r="O183" s="15"/>
    </row>
    <row r="184" spans="1:15" ht="25.15" customHeight="1">
      <c r="A184" s="16"/>
      <c r="B184" s="837" t="str">
        <f>'Obrazac kalkulacije'!$B$8</f>
        <v>Radna snaga:</v>
      </c>
      <c r="C184" s="837"/>
      <c r="D184" s="16"/>
      <c r="E184" s="16"/>
      <c r="F184" s="44"/>
      <c r="G184" s="18">
        <f>SUM(G185:G185)</f>
        <v>8.76099432</v>
      </c>
      <c r="I184" s="16"/>
      <c r="J184" s="837" t="str">
        <f>'Obrazac kalkulacije'!$B$8</f>
        <v>Radna snaga:</v>
      </c>
      <c r="K184" s="837"/>
      <c r="L184" s="16"/>
      <c r="M184" s="16"/>
      <c r="N184" s="44"/>
      <c r="O184" s="18">
        <f>SUM(O185:O185)</f>
        <v>8.76099432</v>
      </c>
    </row>
    <row r="185" spans="1:15" ht="25.15" customHeight="1">
      <c r="A185" s="32"/>
      <c r="B185" s="854" t="s">
        <v>53</v>
      </c>
      <c r="C185" s="854"/>
      <c r="D185" s="33" t="s">
        <v>51</v>
      </c>
      <c r="E185" s="34">
        <v>8.8908000000000001E-2</v>
      </c>
      <c r="F185" s="238">
        <f>SUMIF('Cjenik RS'!$C$11:$C$26,$B185,'Cjenik RS'!$D$11:$D$90)</f>
        <v>98.54</v>
      </c>
      <c r="G185" s="35">
        <f>E185*F185</f>
        <v>8.76099432</v>
      </c>
      <c r="I185" s="32"/>
      <c r="J185" s="854" t="s">
        <v>53</v>
      </c>
      <c r="K185" s="854"/>
      <c r="L185" s="33" t="s">
        <v>51</v>
      </c>
      <c r="M185" s="34">
        <v>8.8908000000000001E-2</v>
      </c>
      <c r="N185" s="238">
        <f>SUMIF('Cjenik RS'!$C$11:$C$26,$B185,'Cjenik RS'!$D$11:$D$90)</f>
        <v>98.54</v>
      </c>
      <c r="O185" s="35">
        <f>M185*N185</f>
        <v>8.76099432</v>
      </c>
    </row>
    <row r="186" spans="1:15" ht="25.15" customHeight="1">
      <c r="A186" s="16"/>
      <c r="B186" s="837" t="str">
        <f>'Obrazac kalkulacije'!$B$11</f>
        <v>Vozila, strojevi i oprema:</v>
      </c>
      <c r="C186" s="837"/>
      <c r="D186" s="16"/>
      <c r="E186" s="16"/>
      <c r="F186" s="238"/>
      <c r="G186" s="18">
        <f>SUM(G187:G187)</f>
        <v>1.204333235895938</v>
      </c>
      <c r="I186" s="16"/>
      <c r="J186" s="837" t="str">
        <f>'Obrazac kalkulacije'!$B$11</f>
        <v>Vozila, strojevi i oprema:</v>
      </c>
      <c r="K186" s="837"/>
      <c r="L186" s="16"/>
      <c r="M186" s="16"/>
      <c r="N186" s="238"/>
      <c r="O186" s="18">
        <f>SUM(O187:O187)</f>
        <v>1.3197008000000001</v>
      </c>
    </row>
    <row r="187" spans="1:15" ht="25.15" customHeight="1">
      <c r="A187" s="16"/>
      <c r="B187" s="864" t="s">
        <v>69</v>
      </c>
      <c r="C187" s="864"/>
      <c r="D187" s="62" t="s">
        <v>51</v>
      </c>
      <c r="E187" s="63">
        <v>6.7056416252557795E-3</v>
      </c>
      <c r="F187" s="260">
        <f>SUMIF('Cjenik VSO'!$B$9:$B$85,$B187,'Cjenik VSO'!$C$9:$C$85)</f>
        <v>179.6</v>
      </c>
      <c r="G187" s="65">
        <f>E187*F187</f>
        <v>1.204333235895938</v>
      </c>
      <c r="I187" s="16"/>
      <c r="J187" s="864" t="s">
        <v>69</v>
      </c>
      <c r="K187" s="864"/>
      <c r="L187" s="62" t="s">
        <v>51</v>
      </c>
      <c r="M187" s="63">
        <v>7.3480000000000004E-3</v>
      </c>
      <c r="N187" s="260">
        <f>SUMIF('Cjenik VSO'!$B$9:$B$85,$B187,'Cjenik VSO'!$C$9:$C$85)</f>
        <v>179.6</v>
      </c>
      <c r="O187" s="65">
        <f>M187*N187</f>
        <v>1.3197008000000001</v>
      </c>
    </row>
    <row r="188" spans="1:15" ht="25.15" customHeight="1">
      <c r="A188" s="16"/>
      <c r="B188" s="837" t="str">
        <f>'Obrazac kalkulacije'!$B$15</f>
        <v>Materijali:</v>
      </c>
      <c r="C188" s="837"/>
      <c r="D188" s="16"/>
      <c r="E188" s="16"/>
      <c r="F188" s="238"/>
      <c r="G188" s="18">
        <f>SUM(G189:G191)</f>
        <v>0</v>
      </c>
      <c r="I188" s="16"/>
      <c r="J188" s="837" t="str">
        <f>'Obrazac kalkulacije'!$B$15</f>
        <v>Materijali:</v>
      </c>
      <c r="K188" s="837"/>
      <c r="L188" s="16"/>
      <c r="M188" s="16"/>
      <c r="N188" s="238"/>
      <c r="O188" s="18">
        <f>SUM(O189:O191)</f>
        <v>0</v>
      </c>
    </row>
    <row r="189" spans="1:15" ht="25.15" customHeight="1">
      <c r="A189" s="51"/>
      <c r="B189" s="863">
        <f>'Cjenik M'!$B$34</f>
        <v>0</v>
      </c>
      <c r="C189" s="863"/>
      <c r="D189" s="52">
        <f>'Cjenik M'!$C$34</f>
        <v>0</v>
      </c>
      <c r="E189" s="53">
        <v>2.7E-2</v>
      </c>
      <c r="F189" s="260">
        <f>'Cjenik M'!$D$34</f>
        <v>0</v>
      </c>
      <c r="G189" s="55">
        <f>E189*F189</f>
        <v>0</v>
      </c>
      <c r="I189" s="51"/>
      <c r="J189" s="863">
        <f>'Cjenik M'!$B$34</f>
        <v>0</v>
      </c>
      <c r="K189" s="863"/>
      <c r="L189" s="52">
        <f>'Cjenik M'!$C$34</f>
        <v>0</v>
      </c>
      <c r="M189" s="53">
        <v>2.7E-2</v>
      </c>
      <c r="N189" s="260">
        <f>'Cjenik M'!$D$34</f>
        <v>0</v>
      </c>
      <c r="O189" s="55">
        <f>M189*N189</f>
        <v>0</v>
      </c>
    </row>
    <row r="190" spans="1:15" ht="25.15" customHeight="1">
      <c r="A190" s="56"/>
      <c r="B190" s="834">
        <f>'Cjenik M'!$B$52</f>
        <v>0</v>
      </c>
      <c r="C190" s="834"/>
      <c r="D190" s="57">
        <f>'Cjenik M'!$C$52</f>
        <v>0</v>
      </c>
      <c r="E190" s="58">
        <v>0.65</v>
      </c>
      <c r="F190" s="263">
        <f>'Cjenik M'!$D$52</f>
        <v>0</v>
      </c>
      <c r="G190" s="60">
        <f>E190*F190</f>
        <v>0</v>
      </c>
      <c r="I190" s="56"/>
      <c r="J190" s="834">
        <f>'Cjenik M'!$B$52</f>
        <v>0</v>
      </c>
      <c r="K190" s="834"/>
      <c r="L190" s="57">
        <f>'Cjenik M'!$C$52</f>
        <v>0</v>
      </c>
      <c r="M190" s="58">
        <v>0.65</v>
      </c>
      <c r="N190" s="263">
        <f>'Cjenik M'!$D$52</f>
        <v>0</v>
      </c>
      <c r="O190" s="60">
        <f>M190*N190</f>
        <v>0</v>
      </c>
    </row>
    <row r="191" spans="1:15" ht="25.15" customHeight="1" thickBot="1">
      <c r="A191" s="66"/>
      <c r="B191" s="859">
        <f>'Cjenik M'!$B$71</f>
        <v>0</v>
      </c>
      <c r="C191" s="859"/>
      <c r="D191" s="67">
        <f>'Cjenik M'!$C$71</f>
        <v>0</v>
      </c>
      <c r="E191" s="68">
        <v>1.1000000000000001</v>
      </c>
      <c r="F191" s="262">
        <f>'Cjenik M'!$D$71</f>
        <v>0</v>
      </c>
      <c r="G191" s="70">
        <f>E191*F191</f>
        <v>0</v>
      </c>
      <c r="I191" s="66"/>
      <c r="J191" s="859">
        <f>'Cjenik M'!$B$71</f>
        <v>0</v>
      </c>
      <c r="K191" s="859"/>
      <c r="L191" s="67">
        <f>'Cjenik M'!$C$71</f>
        <v>0</v>
      </c>
      <c r="M191" s="68">
        <v>1.1000000000000001</v>
      </c>
      <c r="N191" s="262">
        <f>'Cjenik M'!$D$71</f>
        <v>0</v>
      </c>
      <c r="O191" s="70">
        <f>M191*N191</f>
        <v>0</v>
      </c>
    </row>
    <row r="192" spans="1:15" ht="25.15" customHeight="1" thickTop="1" thickBot="1">
      <c r="B192" s="47"/>
      <c r="C192" s="24"/>
      <c r="D192" s="25"/>
      <c r="E192" s="850" t="str">
        <f>'Obrazac kalkulacije'!$E$18</f>
        <v>Ukupno (kn):</v>
      </c>
      <c r="F192" s="850"/>
      <c r="G192" s="26">
        <f>ROUND(SUM(G184+G186+G188),2)</f>
        <v>9.9700000000000006</v>
      </c>
      <c r="H192" s="269" t="e">
        <f>SUMIF(#REF!,B180,#REF!)</f>
        <v>#REF!</v>
      </c>
      <c r="J192" s="47"/>
      <c r="K192" s="24"/>
      <c r="L192" s="25"/>
      <c r="M192" s="850" t="str">
        <f>'Obrazac kalkulacije'!$E$18</f>
        <v>Ukupno (kn):</v>
      </c>
      <c r="N192" s="850"/>
      <c r="O192" s="26">
        <f>ROUND(SUM(O184+O186+O188),2)</f>
        <v>10.08</v>
      </c>
    </row>
    <row r="193" spans="1:15" ht="25.15" customHeight="1" thickTop="1" thickBot="1">
      <c r="E193" s="27" t="str">
        <f>'Obrazac kalkulacije'!$E$19</f>
        <v>PDV:</v>
      </c>
      <c r="F193" s="259">
        <f>'Obrazac kalkulacije'!$F$19</f>
        <v>0.25</v>
      </c>
      <c r="G193" s="29">
        <f>G192*F193</f>
        <v>2.4925000000000002</v>
      </c>
      <c r="H193" s="270" t="e">
        <f>H192-G192</f>
        <v>#REF!</v>
      </c>
      <c r="M193" s="27" t="str">
        <f>'Obrazac kalkulacije'!$E$19</f>
        <v>PDV:</v>
      </c>
      <c r="N193" s="259">
        <f>'Obrazac kalkulacije'!$F$19</f>
        <v>0.25</v>
      </c>
      <c r="O193" s="29">
        <f>O192*N193</f>
        <v>2.52</v>
      </c>
    </row>
    <row r="194" spans="1:15" ht="25.15" customHeight="1" thickTop="1" thickBot="1">
      <c r="E194" s="840" t="str">
        <f>'Obrazac kalkulacije'!$E$20</f>
        <v>Sveukupno (kn):</v>
      </c>
      <c r="F194" s="840"/>
      <c r="G194" s="29">
        <f>ROUND(SUM(G192:G193),2)</f>
        <v>12.46</v>
      </c>
      <c r="H194" s="271" t="e">
        <f>G187+H193</f>
        <v>#REF!</v>
      </c>
      <c r="M194" s="840" t="str">
        <f>'Obrazac kalkulacije'!$E$20</f>
        <v>Sveukupno (kn):</v>
      </c>
      <c r="N194" s="840"/>
      <c r="O194" s="29">
        <f>ROUND(SUM(O192:O193),2)</f>
        <v>12.6</v>
      </c>
    </row>
    <row r="195" spans="1:15" ht="15" customHeight="1" thickTop="1"/>
    <row r="196" spans="1:15" ht="15" customHeight="1"/>
    <row r="197" spans="1:15" ht="15" customHeight="1"/>
    <row r="198" spans="1:15" ht="15" customHeight="1">
      <c r="C198" s="3" t="str">
        <f>'Obrazac kalkulacije'!$C$24</f>
        <v>IZVODITELJ:</v>
      </c>
      <c r="F198" s="841" t="str">
        <f>'Obrazac kalkulacije'!$F$24</f>
        <v>NARUČITELJ:</v>
      </c>
      <c r="G198" s="841"/>
      <c r="K198" s="3" t="str">
        <f>'Obrazac kalkulacije'!$C$24</f>
        <v>IZVODITELJ:</v>
      </c>
      <c r="N198" s="841" t="str">
        <f>'Obrazac kalkulacije'!$F$24</f>
        <v>NARUČITELJ:</v>
      </c>
      <c r="O198" s="841"/>
    </row>
    <row r="199" spans="1:15" ht="25.15" customHeight="1">
      <c r="C199" s="3" t="str">
        <f>'Obrazac kalkulacije'!$C$25</f>
        <v>__________________</v>
      </c>
      <c r="F199" s="841" t="str">
        <f>'Obrazac kalkulacije'!$F$25</f>
        <v>___________________</v>
      </c>
      <c r="G199" s="841"/>
      <c r="K199" s="3" t="str">
        <f>'Obrazac kalkulacije'!$C$25</f>
        <v>__________________</v>
      </c>
      <c r="N199" s="841" t="str">
        <f>'Obrazac kalkulacije'!$F$25</f>
        <v>___________________</v>
      </c>
      <c r="O199" s="841"/>
    </row>
    <row r="200" spans="1:15" ht="15" customHeight="1">
      <c r="F200" s="841"/>
      <c r="G200" s="841"/>
      <c r="N200" s="841"/>
      <c r="O200" s="841"/>
    </row>
    <row r="201" spans="1:15" ht="15" customHeight="1"/>
    <row r="202" spans="1:15" ht="15" customHeight="1">
      <c r="A202" s="144"/>
      <c r="B202" s="145" t="s">
        <v>27</v>
      </c>
      <c r="C202" s="836" t="s">
        <v>224</v>
      </c>
      <c r="D202" s="836"/>
      <c r="E202" s="836"/>
      <c r="F202" s="836"/>
      <c r="G202" s="836"/>
      <c r="I202" s="144"/>
      <c r="J202" s="145" t="s">
        <v>27</v>
      </c>
      <c r="K202" s="836" t="s">
        <v>224</v>
      </c>
      <c r="L202" s="836"/>
      <c r="M202" s="836"/>
      <c r="N202" s="836"/>
      <c r="O202" s="836"/>
    </row>
    <row r="203" spans="1:15" ht="150" customHeight="1">
      <c r="A203" s="40"/>
      <c r="B203" s="556" t="s">
        <v>247</v>
      </c>
      <c r="C203" s="852" t="s">
        <v>248</v>
      </c>
      <c r="D203" s="852"/>
      <c r="E203" s="852"/>
      <c r="F203" s="852"/>
      <c r="G203" s="852"/>
      <c r="I203" s="40"/>
      <c r="J203" s="41" t="s">
        <v>247</v>
      </c>
      <c r="K203" s="869" t="s">
        <v>249</v>
      </c>
      <c r="L203" s="869"/>
      <c r="M203" s="869"/>
      <c r="N203" s="869"/>
      <c r="O203" s="869"/>
    </row>
    <row r="204" spans="1:15" ht="15" customHeight="1" thickBot="1"/>
    <row r="205" spans="1:15" ht="30" customHeight="1" thickTop="1" thickBot="1">
      <c r="A205" s="10"/>
      <c r="B205" s="835" t="str">
        <f>'Obrazac kalkulacije'!$B$6:$C$6</f>
        <v>Opis</v>
      </c>
      <c r="C205" s="835"/>
      <c r="D205" s="10" t="str">
        <f>'Obrazac kalkulacije'!$D$6</f>
        <v>Jed.
mjere</v>
      </c>
      <c r="E205" s="10" t="str">
        <f>'Obrazac kalkulacije'!$E$6</f>
        <v>Normativ</v>
      </c>
      <c r="F205" s="10" t="str">
        <f>'Obrazac kalkulacije'!$F$6</f>
        <v>Jed.
cijena</v>
      </c>
      <c r="G205" s="10" t="str">
        <f>'Obrazac kalkulacije'!$G$6</f>
        <v>Iznos</v>
      </c>
      <c r="I205" s="10"/>
      <c r="J205" s="835" t="e">
        <f>'Obrazac kalkulacije'!$B$6:$C$6</f>
        <v>#VALUE!</v>
      </c>
      <c r="K205" s="835"/>
      <c r="L205" s="10" t="str">
        <f>'Obrazac kalkulacije'!$D$6</f>
        <v>Jed.
mjere</v>
      </c>
      <c r="M205" s="10" t="str">
        <f>'Obrazac kalkulacije'!$E$6</f>
        <v>Normativ</v>
      </c>
      <c r="N205" s="10" t="str">
        <f>'Obrazac kalkulacije'!$F$6</f>
        <v>Jed.
cijena</v>
      </c>
      <c r="O205" s="10" t="str">
        <f>'Obrazac kalkulacije'!$G$6</f>
        <v>Iznos</v>
      </c>
    </row>
    <row r="206" spans="1:15" ht="4.5" customHeight="1" thickTop="1">
      <c r="B206" s="42"/>
      <c r="C206" s="1"/>
      <c r="D206" s="11"/>
      <c r="E206" s="13"/>
      <c r="F206" s="258"/>
      <c r="G206" s="15"/>
      <c r="J206" s="42"/>
      <c r="K206" s="1"/>
      <c r="L206" s="11"/>
      <c r="M206" s="13"/>
      <c r="N206" s="258"/>
      <c r="O206" s="15"/>
    </row>
    <row r="207" spans="1:15" ht="25.15" customHeight="1">
      <c r="A207" s="16"/>
      <c r="B207" s="837" t="str">
        <f>'Obrazac kalkulacije'!$B$8</f>
        <v>Radna snaga:</v>
      </c>
      <c r="C207" s="837"/>
      <c r="D207" s="16"/>
      <c r="E207" s="16"/>
      <c r="F207" s="44"/>
      <c r="G207" s="18">
        <f>SUM(G208:G208)</f>
        <v>6.2133411600000006</v>
      </c>
      <c r="I207" s="16"/>
      <c r="J207" s="837" t="str">
        <f>'Obrazac kalkulacije'!$B$8</f>
        <v>Radna snaga:</v>
      </c>
      <c r="K207" s="837"/>
      <c r="L207" s="16"/>
      <c r="M207" s="16"/>
      <c r="N207" s="44"/>
      <c r="O207" s="18">
        <f>SUM(O208:O208)</f>
        <v>6.2133411600000006</v>
      </c>
    </row>
    <row r="208" spans="1:15" ht="25.15" customHeight="1">
      <c r="A208" s="32"/>
      <c r="B208" s="854" t="s">
        <v>53</v>
      </c>
      <c r="C208" s="854"/>
      <c r="D208" s="33" t="s">
        <v>51</v>
      </c>
      <c r="E208" s="34">
        <v>6.3053999999999999E-2</v>
      </c>
      <c r="F208" s="238">
        <f>SUMIF('Cjenik RS'!$C$11:$C$26,$B208,'Cjenik RS'!$D$11:$D$90)</f>
        <v>98.54</v>
      </c>
      <c r="G208" s="35">
        <f>E208*F208</f>
        <v>6.2133411600000006</v>
      </c>
      <c r="I208" s="32"/>
      <c r="J208" s="854" t="s">
        <v>53</v>
      </c>
      <c r="K208" s="854"/>
      <c r="L208" s="33" t="s">
        <v>51</v>
      </c>
      <c r="M208" s="34">
        <v>6.3053999999999999E-2</v>
      </c>
      <c r="N208" s="238">
        <f>SUMIF('Cjenik RS'!$C$11:$C$26,$B208,'Cjenik RS'!$D$11:$D$90)</f>
        <v>98.54</v>
      </c>
      <c r="O208" s="35">
        <f>M208*N208</f>
        <v>6.2133411600000006</v>
      </c>
    </row>
    <row r="209" spans="1:15" ht="25.15" customHeight="1">
      <c r="A209" s="16"/>
      <c r="B209" s="837" t="str">
        <f>'Obrazac kalkulacije'!$B$11</f>
        <v>Vozila, strojevi i oprema:</v>
      </c>
      <c r="C209" s="837"/>
      <c r="D209" s="16"/>
      <c r="E209" s="16"/>
      <c r="F209" s="238"/>
      <c r="G209" s="18">
        <f>SUM(G210:G213)</f>
        <v>19.734193919999999</v>
      </c>
      <c r="I209" s="16"/>
      <c r="J209" s="837" t="str">
        <f>'Obrazac kalkulacije'!$B$11</f>
        <v>Vozila, strojevi i oprema:</v>
      </c>
      <c r="K209" s="837"/>
      <c r="L209" s="16"/>
      <c r="M209" s="16"/>
      <c r="N209" s="238"/>
      <c r="O209" s="18">
        <f>SUM(O210:O213)</f>
        <v>19.734193919999999</v>
      </c>
    </row>
    <row r="210" spans="1:15" ht="25.15" customHeight="1">
      <c r="A210" s="51"/>
      <c r="B210" s="849" t="s">
        <v>73</v>
      </c>
      <c r="C210" s="849"/>
      <c r="D210" s="52" t="s">
        <v>51</v>
      </c>
      <c r="E210" s="86">
        <v>2.9550000000000002E-3</v>
      </c>
      <c r="F210" s="260">
        <f>SUMIF('Cjenik VSO'!$B$9:$B$85,$B210,'Cjenik VSO'!$C$9:$C$85)</f>
        <v>291.72000000000003</v>
      </c>
      <c r="G210" s="54">
        <f>E210*F210</f>
        <v>0.86203260000000015</v>
      </c>
      <c r="I210" s="51"/>
      <c r="J210" s="849" t="s">
        <v>73</v>
      </c>
      <c r="K210" s="849"/>
      <c r="L210" s="52" t="s">
        <v>51</v>
      </c>
      <c r="M210" s="86">
        <v>2.9550000000000002E-3</v>
      </c>
      <c r="N210" s="260">
        <f>SUMIF('Cjenik VSO'!$B$9:$B$85,$B210,'Cjenik VSO'!$C$9:$C$85)</f>
        <v>291.72000000000003</v>
      </c>
      <c r="O210" s="54">
        <f>M210*N210</f>
        <v>0.86203260000000015</v>
      </c>
    </row>
    <row r="211" spans="1:15" ht="25.15" customHeight="1">
      <c r="A211" s="56"/>
      <c r="B211" s="839" t="s">
        <v>172</v>
      </c>
      <c r="C211" s="839"/>
      <c r="D211" s="57" t="s">
        <v>51</v>
      </c>
      <c r="E211" s="92">
        <v>2.8570999999999999E-2</v>
      </c>
      <c r="F211" s="263">
        <f>SUMIF('Cjenik VSO'!$B$9:$B$85,$B211,'Cjenik VSO'!$C$9:$C$85)</f>
        <v>447.37</v>
      </c>
      <c r="G211" s="59">
        <f>E211*F211</f>
        <v>12.781808269999999</v>
      </c>
      <c r="I211" s="56"/>
      <c r="J211" s="839" t="s">
        <v>172</v>
      </c>
      <c r="K211" s="839"/>
      <c r="L211" s="57" t="s">
        <v>51</v>
      </c>
      <c r="M211" s="92">
        <v>2.8570999999999999E-2</v>
      </c>
      <c r="N211" s="263">
        <f>SUMIF('Cjenik VSO'!$B$9:$B$85,$B211,'Cjenik VSO'!$C$9:$C$85)</f>
        <v>447.37</v>
      </c>
      <c r="O211" s="59">
        <f>M211*N211</f>
        <v>12.781808269999999</v>
      </c>
    </row>
    <row r="212" spans="1:15" ht="25.15" customHeight="1">
      <c r="A212" s="56"/>
      <c r="B212" s="839" t="s">
        <v>79</v>
      </c>
      <c r="C212" s="839"/>
      <c r="D212" s="57" t="s">
        <v>51</v>
      </c>
      <c r="E212" s="92">
        <v>2.9499999999999998E-2</v>
      </c>
      <c r="F212" s="263">
        <f>SUMIF('Cjenik VSO'!$B$9:$B$85,$B212,'Cjenik VSO'!$C$9:$C$85)</f>
        <v>199.57</v>
      </c>
      <c r="G212" s="59">
        <f>E212*F212</f>
        <v>5.8873149999999992</v>
      </c>
      <c r="I212" s="56"/>
      <c r="J212" s="839" t="s">
        <v>79</v>
      </c>
      <c r="K212" s="839"/>
      <c r="L212" s="57" t="s">
        <v>51</v>
      </c>
      <c r="M212" s="92">
        <v>2.9499999999999998E-2</v>
      </c>
      <c r="N212" s="263">
        <f>SUMIF('Cjenik VSO'!$B$9:$B$85,$B212,'Cjenik VSO'!$C$9:$C$85)</f>
        <v>199.57</v>
      </c>
      <c r="O212" s="59">
        <f>M212*N212</f>
        <v>5.8873149999999992</v>
      </c>
    </row>
    <row r="213" spans="1:15" ht="25.15" customHeight="1">
      <c r="A213" s="61"/>
      <c r="B213" s="855" t="s">
        <v>80</v>
      </c>
      <c r="C213" s="855"/>
      <c r="D213" s="62" t="s">
        <v>51</v>
      </c>
      <c r="E213" s="87">
        <v>2.9550000000000002E-3</v>
      </c>
      <c r="F213" s="261">
        <f>SUMIF('Cjenik VSO'!$B$9:$B$85,$B213,'Cjenik VSO'!$C$9:$C$85)</f>
        <v>68.709999999999994</v>
      </c>
      <c r="G213" s="64">
        <f>E213*F213</f>
        <v>0.20303805</v>
      </c>
      <c r="I213" s="61"/>
      <c r="J213" s="855" t="s">
        <v>80</v>
      </c>
      <c r="K213" s="855"/>
      <c r="L213" s="62" t="s">
        <v>51</v>
      </c>
      <c r="M213" s="87">
        <v>2.9550000000000002E-3</v>
      </c>
      <c r="N213" s="261">
        <f>SUMIF('Cjenik VSO'!$B$9:$B$85,$B213,'Cjenik VSO'!$C$9:$C$85)</f>
        <v>68.709999999999994</v>
      </c>
      <c r="O213" s="64">
        <f>M213*N213</f>
        <v>0.20303805</v>
      </c>
    </row>
    <row r="214" spans="1:15" ht="25.15" customHeight="1">
      <c r="A214" s="16"/>
      <c r="B214" s="837" t="str">
        <f>'Obrazac kalkulacije'!$B$15</f>
        <v>Materijali:</v>
      </c>
      <c r="C214" s="837"/>
      <c r="D214" s="16"/>
      <c r="E214" s="16"/>
      <c r="F214" s="238"/>
      <c r="G214" s="18">
        <f>SUM(G215:G215)</f>
        <v>0</v>
      </c>
      <c r="I214" s="16"/>
      <c r="J214" s="837" t="str">
        <f>'Obrazac kalkulacije'!$B$15</f>
        <v>Materijali:</v>
      </c>
      <c r="K214" s="837"/>
      <c r="L214" s="16"/>
      <c r="M214" s="16"/>
      <c r="N214" s="238"/>
      <c r="O214" s="18">
        <f>SUM(O215:O215)</f>
        <v>0</v>
      </c>
    </row>
    <row r="215" spans="1:15" ht="25.15" customHeight="1" thickBot="1">
      <c r="A215" s="43"/>
      <c r="B215" s="863">
        <f>'Cjenik M'!$B$28</f>
        <v>0</v>
      </c>
      <c r="C215" s="863"/>
      <c r="D215" s="52">
        <f>'Cjenik M'!$C$28</f>
        <v>0</v>
      </c>
      <c r="E215" s="53">
        <v>1</v>
      </c>
      <c r="F215" s="260">
        <f>'Cjenik M'!$D$28</f>
        <v>0</v>
      </c>
      <c r="G215" s="55">
        <f>E215*F215</f>
        <v>0</v>
      </c>
      <c r="I215" s="43"/>
      <c r="J215" s="863">
        <f>'Cjenik M'!$B$28</f>
        <v>0</v>
      </c>
      <c r="K215" s="863"/>
      <c r="L215" s="52">
        <f>'Cjenik M'!$C$28</f>
        <v>0</v>
      </c>
      <c r="M215" s="53">
        <v>1</v>
      </c>
      <c r="N215" s="260">
        <f>'Cjenik M'!$D$28</f>
        <v>0</v>
      </c>
      <c r="O215" s="55">
        <f>M215*N215</f>
        <v>0</v>
      </c>
    </row>
    <row r="216" spans="1:15" ht="25.15" customHeight="1" thickTop="1" thickBot="1">
      <c r="B216" s="47"/>
      <c r="C216" s="24"/>
      <c r="D216" s="25"/>
      <c r="E216" s="850" t="str">
        <f>'Obrazac kalkulacije'!$E$18</f>
        <v>Ukupno (kn):</v>
      </c>
      <c r="F216" s="850"/>
      <c r="G216" s="26">
        <f>ROUND(SUM(G207+G209+G214),2)</f>
        <v>25.95</v>
      </c>
      <c r="H216" s="269" t="e">
        <f>SUMIF(#REF!,B203,#REF!)</f>
        <v>#REF!</v>
      </c>
      <c r="J216" s="47"/>
      <c r="K216" s="24"/>
      <c r="L216" s="25"/>
      <c r="M216" s="850" t="str">
        <f>'Obrazac kalkulacije'!$E$18</f>
        <v>Ukupno (kn):</v>
      </c>
      <c r="N216" s="850"/>
      <c r="O216" s="26">
        <f>ROUND(SUM(O207+O209+O214),2)</f>
        <v>25.95</v>
      </c>
    </row>
    <row r="217" spans="1:15" ht="25.15" customHeight="1" thickTop="1" thickBot="1">
      <c r="E217" s="27" t="str">
        <f>'Obrazac kalkulacije'!$E$19</f>
        <v>PDV:</v>
      </c>
      <c r="F217" s="259">
        <f>'Obrazac kalkulacije'!$F$19</f>
        <v>0.25</v>
      </c>
      <c r="G217" s="29">
        <f>G216*F217</f>
        <v>6.4874999999999998</v>
      </c>
      <c r="H217" s="270" t="e">
        <f>H216-G216</f>
        <v>#REF!</v>
      </c>
      <c r="M217" s="27" t="str">
        <f>'Obrazac kalkulacije'!$E$19</f>
        <v>PDV:</v>
      </c>
      <c r="N217" s="259">
        <f>'Obrazac kalkulacije'!$F$19</f>
        <v>0.25</v>
      </c>
      <c r="O217" s="29">
        <f>O216*N217</f>
        <v>6.4874999999999998</v>
      </c>
    </row>
    <row r="218" spans="1:15" ht="25.15" customHeight="1" thickTop="1" thickBot="1">
      <c r="E218" s="840" t="str">
        <f>'Obrazac kalkulacije'!$E$20</f>
        <v>Sveukupno (kn):</v>
      </c>
      <c r="F218" s="840"/>
      <c r="G218" s="29">
        <f>ROUND(SUM(G216:G217),2)</f>
        <v>32.44</v>
      </c>
      <c r="H218" s="271" t="e">
        <f>G211+H217</f>
        <v>#REF!</v>
      </c>
      <c r="M218" s="840" t="str">
        <f>'Obrazac kalkulacije'!$E$20</f>
        <v>Sveukupno (kn):</v>
      </c>
      <c r="N218" s="840"/>
      <c r="O218" s="29">
        <f>ROUND(SUM(O216:O217),2)</f>
        <v>32.44</v>
      </c>
    </row>
    <row r="219" spans="1:15" ht="15" customHeight="1" thickTop="1"/>
    <row r="220" spans="1:15" ht="15" customHeight="1"/>
    <row r="221" spans="1:15" ht="15" customHeight="1"/>
    <row r="222" spans="1:15" ht="15" customHeight="1">
      <c r="C222" s="3" t="str">
        <f>'Obrazac kalkulacije'!$C$24</f>
        <v>IZVODITELJ:</v>
      </c>
      <c r="F222" s="841" t="str">
        <f>'Obrazac kalkulacije'!$F$24</f>
        <v>NARUČITELJ:</v>
      </c>
      <c r="G222" s="841"/>
      <c r="K222" s="3" t="str">
        <f>'Obrazac kalkulacije'!$C$24</f>
        <v>IZVODITELJ:</v>
      </c>
      <c r="N222" s="841" t="str">
        <f>'Obrazac kalkulacije'!$F$24</f>
        <v>NARUČITELJ:</v>
      </c>
      <c r="O222" s="841"/>
    </row>
    <row r="223" spans="1:15">
      <c r="C223" s="3" t="str">
        <f>'Obrazac kalkulacije'!$C$25</f>
        <v>__________________</v>
      </c>
      <c r="F223" s="841" t="str">
        <f>'Obrazac kalkulacije'!$F$25</f>
        <v>___________________</v>
      </c>
      <c r="G223" s="841"/>
      <c r="K223" s="3" t="str">
        <f>'Obrazac kalkulacije'!$C$25</f>
        <v>__________________</v>
      </c>
      <c r="N223" s="841" t="str">
        <f>'Obrazac kalkulacije'!$F$25</f>
        <v>___________________</v>
      </c>
      <c r="O223" s="841"/>
    </row>
    <row r="224" spans="1:15" ht="15" customHeight="1">
      <c r="F224" s="841"/>
      <c r="G224" s="841"/>
      <c r="N224" s="841"/>
      <c r="O224" s="841"/>
    </row>
    <row r="225" spans="1:15" ht="15" customHeight="1"/>
    <row r="226" spans="1:15" ht="15" customHeight="1">
      <c r="A226" s="144"/>
      <c r="B226" s="145" t="s">
        <v>27</v>
      </c>
      <c r="C226" s="836" t="s">
        <v>224</v>
      </c>
      <c r="D226" s="836"/>
      <c r="E226" s="836"/>
      <c r="F226" s="836"/>
      <c r="G226" s="836"/>
      <c r="I226" s="144"/>
      <c r="J226" s="145" t="s">
        <v>27</v>
      </c>
      <c r="K226" s="836" t="s">
        <v>224</v>
      </c>
      <c r="L226" s="836"/>
      <c r="M226" s="836"/>
      <c r="N226" s="836"/>
      <c r="O226" s="836"/>
    </row>
    <row r="227" spans="1:15" ht="150" customHeight="1">
      <c r="A227" s="40"/>
      <c r="B227" s="556" t="s">
        <v>250</v>
      </c>
      <c r="C227" s="852" t="s">
        <v>251</v>
      </c>
      <c r="D227" s="852"/>
      <c r="E227" s="852"/>
      <c r="F227" s="852"/>
      <c r="G227" s="852"/>
      <c r="I227" s="40"/>
      <c r="J227" s="41" t="s">
        <v>250</v>
      </c>
      <c r="K227" s="869" t="s">
        <v>252</v>
      </c>
      <c r="L227" s="869"/>
      <c r="M227" s="869"/>
      <c r="N227" s="869"/>
      <c r="O227" s="869"/>
    </row>
    <row r="228" spans="1:15" ht="15" customHeight="1" thickBot="1"/>
    <row r="229" spans="1:15" ht="30" customHeight="1" thickTop="1" thickBot="1">
      <c r="A229" s="10"/>
      <c r="B229" s="835" t="str">
        <f>'Obrazac kalkulacije'!$B$6:$C$6</f>
        <v>Opis</v>
      </c>
      <c r="C229" s="835"/>
      <c r="D229" s="10" t="str">
        <f>'Obrazac kalkulacije'!$D$6</f>
        <v>Jed.
mjere</v>
      </c>
      <c r="E229" s="10" t="str">
        <f>'Obrazac kalkulacije'!$E$6</f>
        <v>Normativ</v>
      </c>
      <c r="F229" s="10" t="str">
        <f>'Obrazac kalkulacije'!$F$6</f>
        <v>Jed.
cijena</v>
      </c>
      <c r="G229" s="10" t="str">
        <f>'Obrazac kalkulacije'!$G$6</f>
        <v>Iznos</v>
      </c>
      <c r="I229" s="10"/>
      <c r="J229" s="835" t="e">
        <f>'Obrazac kalkulacije'!$B$6:$C$6</f>
        <v>#VALUE!</v>
      </c>
      <c r="K229" s="835"/>
      <c r="L229" s="10" t="str">
        <f>'Obrazac kalkulacije'!$D$6</f>
        <v>Jed.
mjere</v>
      </c>
      <c r="M229" s="10" t="str">
        <f>'Obrazac kalkulacije'!$E$6</f>
        <v>Normativ</v>
      </c>
      <c r="N229" s="10" t="str">
        <f>'Obrazac kalkulacije'!$F$6</f>
        <v>Jed.
cijena</v>
      </c>
      <c r="O229" s="10" t="str">
        <f>'Obrazac kalkulacije'!$G$6</f>
        <v>Iznos</v>
      </c>
    </row>
    <row r="230" spans="1:15" ht="4.5" customHeight="1" thickTop="1">
      <c r="B230" s="42"/>
      <c r="C230" s="1"/>
      <c r="D230" s="11"/>
      <c r="E230" s="13"/>
      <c r="F230" s="258"/>
      <c r="G230" s="15"/>
      <c r="J230" s="42"/>
      <c r="K230" s="1"/>
      <c r="L230" s="11"/>
      <c r="M230" s="13"/>
      <c r="N230" s="258"/>
      <c r="O230" s="15"/>
    </row>
    <row r="231" spans="1:15" ht="25.15" customHeight="1">
      <c r="A231" s="16"/>
      <c r="B231" s="837" t="str">
        <f>'Obrazac kalkulacije'!$B$8</f>
        <v>Radna snaga:</v>
      </c>
      <c r="C231" s="837"/>
      <c r="D231" s="16"/>
      <c r="E231" s="16"/>
      <c r="F231" s="44"/>
      <c r="G231" s="18">
        <f>SUM(G232:G232)</f>
        <v>5.4366488799999999</v>
      </c>
      <c r="I231" s="16"/>
      <c r="J231" s="837" t="str">
        <f>'Obrazac kalkulacije'!$B$8</f>
        <v>Radna snaga:</v>
      </c>
      <c r="K231" s="837"/>
      <c r="L231" s="16"/>
      <c r="M231" s="16"/>
      <c r="N231" s="44"/>
      <c r="O231" s="18">
        <f>SUM(O232:O232)</f>
        <v>5.4366488799999999</v>
      </c>
    </row>
    <row r="232" spans="1:15" ht="25.15" customHeight="1">
      <c r="A232" s="32"/>
      <c r="B232" s="854" t="s">
        <v>53</v>
      </c>
      <c r="C232" s="854"/>
      <c r="D232" s="33" t="s">
        <v>51</v>
      </c>
      <c r="E232" s="34">
        <v>5.5171999999999999E-2</v>
      </c>
      <c r="F232" s="238">
        <f>SUMIF('Cjenik RS'!$C$11:$C$26,$B232,'Cjenik RS'!$D$11:$D$90)</f>
        <v>98.54</v>
      </c>
      <c r="G232" s="35">
        <f>E232*F232</f>
        <v>5.4366488799999999</v>
      </c>
      <c r="I232" s="32"/>
      <c r="J232" s="854" t="s">
        <v>53</v>
      </c>
      <c r="K232" s="854"/>
      <c r="L232" s="33" t="s">
        <v>51</v>
      </c>
      <c r="M232" s="34">
        <v>5.5171999999999999E-2</v>
      </c>
      <c r="N232" s="238">
        <f>SUMIF('Cjenik RS'!$C$11:$C$26,$B232,'Cjenik RS'!$D$11:$D$90)</f>
        <v>98.54</v>
      </c>
      <c r="O232" s="35">
        <f>M232*N232</f>
        <v>5.4366488799999999</v>
      </c>
    </row>
    <row r="233" spans="1:15" ht="25.15" customHeight="1">
      <c r="A233" s="16"/>
      <c r="B233" s="837" t="str">
        <f>'Obrazac kalkulacije'!$B$11</f>
        <v>Vozila, strojevi i oprema:</v>
      </c>
      <c r="C233" s="837"/>
      <c r="D233" s="16"/>
      <c r="E233" s="16"/>
      <c r="F233" s="238"/>
      <c r="G233" s="18">
        <f>SUM(G234:G237)</f>
        <v>18.107096070000001</v>
      </c>
      <c r="I233" s="16"/>
      <c r="J233" s="837" t="str">
        <f>'Obrazac kalkulacije'!$B$11</f>
        <v>Vozila, strojevi i oprema:</v>
      </c>
      <c r="K233" s="837"/>
      <c r="L233" s="16"/>
      <c r="M233" s="16"/>
      <c r="N233" s="238"/>
      <c r="O233" s="18">
        <f>SUM(O234:O237)</f>
        <v>18.107096070000001</v>
      </c>
    </row>
    <row r="234" spans="1:15" ht="25.15" customHeight="1">
      <c r="A234" s="51"/>
      <c r="B234" s="849" t="s">
        <v>73</v>
      </c>
      <c r="C234" s="849"/>
      <c r="D234" s="52" t="s">
        <v>51</v>
      </c>
      <c r="E234" s="86">
        <v>2.5860000000000002E-3</v>
      </c>
      <c r="F234" s="260">
        <f>SUMIF('Cjenik VSO'!$B$9:$B$85,$B234,'Cjenik VSO'!$C$9:$C$85)</f>
        <v>291.72000000000003</v>
      </c>
      <c r="G234" s="54">
        <f>E234*F234</f>
        <v>0.7543879200000001</v>
      </c>
      <c r="I234" s="51"/>
      <c r="J234" s="849" t="s">
        <v>73</v>
      </c>
      <c r="K234" s="849"/>
      <c r="L234" s="52" t="s">
        <v>51</v>
      </c>
      <c r="M234" s="86">
        <v>2.5860000000000002E-3</v>
      </c>
      <c r="N234" s="260">
        <f>SUMIF('Cjenik VSO'!$B$9:$B$85,$B234,'Cjenik VSO'!$C$9:$C$85)</f>
        <v>291.72000000000003</v>
      </c>
      <c r="O234" s="54">
        <f>M234*N234</f>
        <v>0.7543879200000001</v>
      </c>
    </row>
    <row r="235" spans="1:15" ht="25.15" customHeight="1">
      <c r="A235" s="56"/>
      <c r="B235" s="839" t="s">
        <v>172</v>
      </c>
      <c r="C235" s="839"/>
      <c r="D235" s="57" t="s">
        <v>51</v>
      </c>
      <c r="E235" s="92">
        <v>2.2856999999999999E-2</v>
      </c>
      <c r="F235" s="263">
        <f>SUMIF('Cjenik VSO'!$B$9:$B$85,$B235,'Cjenik VSO'!$C$9:$C$85)</f>
        <v>447.37</v>
      </c>
      <c r="G235" s="59">
        <f>E235*F235</f>
        <v>10.22553609</v>
      </c>
      <c r="I235" s="56"/>
      <c r="J235" s="839" t="s">
        <v>172</v>
      </c>
      <c r="K235" s="839"/>
      <c r="L235" s="57" t="s">
        <v>51</v>
      </c>
      <c r="M235" s="92">
        <v>2.2856999999999999E-2</v>
      </c>
      <c r="N235" s="263">
        <f>SUMIF('Cjenik VSO'!$B$9:$B$85,$B235,'Cjenik VSO'!$C$9:$C$85)</f>
        <v>447.37</v>
      </c>
      <c r="O235" s="59">
        <f>M235*N235</f>
        <v>10.22553609</v>
      </c>
    </row>
    <row r="236" spans="1:15" ht="25.15" customHeight="1">
      <c r="A236" s="56"/>
      <c r="B236" s="839" t="s">
        <v>88</v>
      </c>
      <c r="C236" s="839"/>
      <c r="D236" s="57" t="s">
        <v>51</v>
      </c>
      <c r="E236" s="92">
        <v>2.58E-2</v>
      </c>
      <c r="F236" s="263">
        <f>SUMIF('Cjenik VSO'!$B$9:$B$85,$B236,'Cjenik VSO'!$C$9:$C$85)</f>
        <v>269.36</v>
      </c>
      <c r="G236" s="59">
        <f>E236*F236</f>
        <v>6.9494880000000006</v>
      </c>
      <c r="I236" s="56"/>
      <c r="J236" s="839" t="s">
        <v>88</v>
      </c>
      <c r="K236" s="839"/>
      <c r="L236" s="57" t="s">
        <v>51</v>
      </c>
      <c r="M236" s="92">
        <v>2.58E-2</v>
      </c>
      <c r="N236" s="263">
        <f>SUMIF('Cjenik VSO'!$B$9:$B$85,$B236,'Cjenik VSO'!$C$9:$C$85)</f>
        <v>269.36</v>
      </c>
      <c r="O236" s="59">
        <f>M236*N236</f>
        <v>6.9494880000000006</v>
      </c>
    </row>
    <row r="237" spans="1:15" ht="25.15" customHeight="1">
      <c r="A237" s="61"/>
      <c r="B237" s="855" t="s">
        <v>80</v>
      </c>
      <c r="C237" s="855"/>
      <c r="D237" s="62" t="s">
        <v>51</v>
      </c>
      <c r="E237" s="87">
        <v>2.5860000000000002E-3</v>
      </c>
      <c r="F237" s="261">
        <f>SUMIF('Cjenik VSO'!$B$9:$B$85,$B237,'Cjenik VSO'!$C$9:$C$85)</f>
        <v>68.709999999999994</v>
      </c>
      <c r="G237" s="64">
        <f>E237*F237</f>
        <v>0.17768406</v>
      </c>
      <c r="I237" s="61"/>
      <c r="J237" s="855" t="s">
        <v>80</v>
      </c>
      <c r="K237" s="855"/>
      <c r="L237" s="62" t="s">
        <v>51</v>
      </c>
      <c r="M237" s="87">
        <v>2.5860000000000002E-3</v>
      </c>
      <c r="N237" s="261">
        <f>SUMIF('Cjenik VSO'!$B$9:$B$85,$B237,'Cjenik VSO'!$C$9:$C$85)</f>
        <v>68.709999999999994</v>
      </c>
      <c r="O237" s="64">
        <f>M237*N237</f>
        <v>0.17768406</v>
      </c>
    </row>
    <row r="238" spans="1:15" ht="25.15" customHeight="1">
      <c r="A238" s="16"/>
      <c r="B238" s="837" t="str">
        <f>'Obrazac kalkulacije'!$B$15</f>
        <v>Materijali:</v>
      </c>
      <c r="C238" s="837"/>
      <c r="D238" s="16"/>
      <c r="E238" s="16"/>
      <c r="F238" s="238"/>
      <c r="G238" s="18" t="e">
        <f>SUM(G239:G239)</f>
        <v>#VALUE!</v>
      </c>
      <c r="I238" s="16"/>
      <c r="J238" s="837" t="str">
        <f>'Obrazac kalkulacije'!$B$15</f>
        <v>Materijali:</v>
      </c>
      <c r="K238" s="837"/>
      <c r="L238" s="16"/>
      <c r="M238" s="16"/>
      <c r="N238" s="238"/>
      <c r="O238" s="18">
        <f>SUM(O239:O239)</f>
        <v>0</v>
      </c>
    </row>
    <row r="239" spans="1:15" ht="25.15" customHeight="1" thickBot="1">
      <c r="A239" s="43"/>
      <c r="B239" s="863" t="str">
        <f>'Cjenik M'!$B$27</f>
        <v>____________</v>
      </c>
      <c r="C239" s="863"/>
      <c r="D239" s="52">
        <f>'Cjenik M'!$C$27</f>
        <v>0</v>
      </c>
      <c r="E239" s="53">
        <v>1.25</v>
      </c>
      <c r="F239" s="260" t="str">
        <f>'Cjenik M'!D27</f>
        <v>___________</v>
      </c>
      <c r="G239" s="55" t="e">
        <f>E239*F239</f>
        <v>#VALUE!</v>
      </c>
      <c r="I239" s="43"/>
      <c r="J239" s="863" t="str">
        <f>'Cjenik M'!$B$27</f>
        <v>____________</v>
      </c>
      <c r="K239" s="863"/>
      <c r="L239" s="52">
        <f>'Cjenik M'!$C$27</f>
        <v>0</v>
      </c>
      <c r="M239" s="53">
        <v>1.25</v>
      </c>
      <c r="N239" s="260">
        <f>'Cjenik M'!L27</f>
        <v>0</v>
      </c>
      <c r="O239" s="55">
        <f>M239*N239</f>
        <v>0</v>
      </c>
    </row>
    <row r="240" spans="1:15" ht="25.15" customHeight="1" thickTop="1" thickBot="1">
      <c r="B240" s="47"/>
      <c r="C240" s="24"/>
      <c r="D240" s="25"/>
      <c r="E240" s="850" t="str">
        <f>'Obrazac kalkulacije'!$E$18</f>
        <v>Ukupno (kn):</v>
      </c>
      <c r="F240" s="850"/>
      <c r="G240" s="26" t="e">
        <f>ROUND(SUM(G231+G233+G238),2)</f>
        <v>#VALUE!</v>
      </c>
      <c r="H240" s="269" t="e">
        <f>SUMIF(#REF!,B227,#REF!)</f>
        <v>#REF!</v>
      </c>
      <c r="J240" s="47"/>
      <c r="K240" s="24"/>
      <c r="L240" s="25"/>
      <c r="M240" s="850" t="str">
        <f>'Obrazac kalkulacije'!$E$18</f>
        <v>Ukupno (kn):</v>
      </c>
      <c r="N240" s="850"/>
      <c r="O240" s="26">
        <f>ROUND(SUM(O231+O233+O238),2)</f>
        <v>23.54</v>
      </c>
    </row>
    <row r="241" spans="1:15" ht="25.15" customHeight="1" thickTop="1" thickBot="1">
      <c r="E241" s="27" t="str">
        <f>'Obrazac kalkulacije'!$E$19</f>
        <v>PDV:</v>
      </c>
      <c r="F241" s="259">
        <f>'Obrazac kalkulacije'!$F$19</f>
        <v>0.25</v>
      </c>
      <c r="G241" s="29" t="e">
        <f>G240*F241</f>
        <v>#VALUE!</v>
      </c>
      <c r="H241" s="270" t="e">
        <f>H240-G240</f>
        <v>#REF!</v>
      </c>
      <c r="M241" s="27" t="str">
        <f>'Obrazac kalkulacije'!$E$19</f>
        <v>PDV:</v>
      </c>
      <c r="N241" s="259">
        <f>'Obrazac kalkulacije'!$F$19</f>
        <v>0.25</v>
      </c>
      <c r="O241" s="29">
        <f>O240*N241</f>
        <v>5.8849999999999998</v>
      </c>
    </row>
    <row r="242" spans="1:15" ht="25.15" customHeight="1" thickTop="1" thickBot="1">
      <c r="E242" s="840" t="str">
        <f>'Obrazac kalkulacije'!$E$20</f>
        <v>Sveukupno (kn):</v>
      </c>
      <c r="F242" s="840"/>
      <c r="G242" s="29" t="e">
        <f>ROUND(SUM(G240:G241),2)</f>
        <v>#VALUE!</v>
      </c>
      <c r="H242" s="271" t="e">
        <f>G235+H241</f>
        <v>#REF!</v>
      </c>
      <c r="M242" s="840" t="str">
        <f>'Obrazac kalkulacije'!$E$20</f>
        <v>Sveukupno (kn):</v>
      </c>
      <c r="N242" s="840"/>
      <c r="O242" s="29">
        <f>ROUND(SUM(O240:O241),2)</f>
        <v>29.43</v>
      </c>
    </row>
    <row r="243" spans="1:15" ht="15" customHeight="1" thickTop="1"/>
    <row r="244" spans="1:15" ht="15" customHeight="1"/>
    <row r="245" spans="1:15" ht="15" customHeight="1"/>
    <row r="246" spans="1:15" ht="15" customHeight="1">
      <c r="C246" s="3" t="str">
        <f>'Obrazac kalkulacije'!$C$24</f>
        <v>IZVODITELJ:</v>
      </c>
      <c r="F246" s="841" t="str">
        <f>'Obrazac kalkulacije'!$F$24</f>
        <v>NARUČITELJ:</v>
      </c>
      <c r="G246" s="841"/>
      <c r="K246" s="3" t="str">
        <f>'Obrazac kalkulacije'!$C$24</f>
        <v>IZVODITELJ:</v>
      </c>
      <c r="N246" s="841" t="str">
        <f>'Obrazac kalkulacije'!$F$24</f>
        <v>NARUČITELJ:</v>
      </c>
      <c r="O246" s="841"/>
    </row>
    <row r="247" spans="1:15" ht="25.15" customHeight="1">
      <c r="C247" s="3" t="str">
        <f>'Obrazac kalkulacije'!$C$25</f>
        <v>__________________</v>
      </c>
      <c r="F247" s="841" t="str">
        <f>'Obrazac kalkulacije'!$F$25</f>
        <v>___________________</v>
      </c>
      <c r="G247" s="841"/>
      <c r="K247" s="3" t="str">
        <f>'Obrazac kalkulacije'!$C$25</f>
        <v>__________________</v>
      </c>
      <c r="N247" s="841" t="str">
        <f>'Obrazac kalkulacije'!$F$25</f>
        <v>___________________</v>
      </c>
      <c r="O247" s="841"/>
    </row>
    <row r="248" spans="1:15" ht="15" customHeight="1">
      <c r="F248" s="841"/>
      <c r="G248" s="841"/>
      <c r="N248" s="841"/>
      <c r="O248" s="841"/>
    </row>
    <row r="249" spans="1:15" ht="15" customHeight="1"/>
    <row r="250" spans="1:15" ht="15" customHeight="1">
      <c r="A250" s="144"/>
      <c r="B250" s="145" t="s">
        <v>27</v>
      </c>
      <c r="C250" s="836" t="s">
        <v>224</v>
      </c>
      <c r="D250" s="836"/>
      <c r="E250" s="836"/>
      <c r="F250" s="836"/>
      <c r="G250" s="836"/>
      <c r="I250" s="144"/>
      <c r="J250" s="145" t="s">
        <v>27</v>
      </c>
      <c r="K250" s="836" t="s">
        <v>224</v>
      </c>
      <c r="L250" s="836"/>
      <c r="M250" s="836"/>
      <c r="N250" s="836"/>
      <c r="O250" s="836"/>
    </row>
    <row r="251" spans="1:15" ht="150" customHeight="1">
      <c r="A251" s="40"/>
      <c r="B251" s="556" t="s">
        <v>253</v>
      </c>
      <c r="C251" s="852" t="s">
        <v>254</v>
      </c>
      <c r="D251" s="852"/>
      <c r="E251" s="852"/>
      <c r="F251" s="852"/>
      <c r="G251" s="852"/>
      <c r="I251" s="40"/>
      <c r="J251" s="41" t="s">
        <v>253</v>
      </c>
      <c r="K251" s="869" t="s">
        <v>254</v>
      </c>
      <c r="L251" s="869"/>
      <c r="M251" s="869"/>
      <c r="N251" s="869"/>
      <c r="O251" s="869"/>
    </row>
    <row r="252" spans="1:15" ht="15" customHeight="1" thickBot="1"/>
    <row r="253" spans="1:15" ht="30" customHeight="1" thickTop="1" thickBot="1">
      <c r="A253" s="10"/>
      <c r="B253" s="835" t="str">
        <f>'Obrazac kalkulacije'!$B$6:$C$6</f>
        <v>Opis</v>
      </c>
      <c r="C253" s="835"/>
      <c r="D253" s="10" t="str">
        <f>'Obrazac kalkulacije'!$D$6</f>
        <v>Jed.
mjere</v>
      </c>
      <c r="E253" s="10" t="str">
        <f>'Obrazac kalkulacije'!$E$6</f>
        <v>Normativ</v>
      </c>
      <c r="F253" s="10" t="str">
        <f>'Obrazac kalkulacije'!$F$6</f>
        <v>Jed.
cijena</v>
      </c>
      <c r="G253" s="10" t="str">
        <f>'Obrazac kalkulacije'!$G$6</f>
        <v>Iznos</v>
      </c>
      <c r="I253" s="10"/>
      <c r="J253" s="835" t="e">
        <f>'Obrazac kalkulacije'!$B$6:$C$6</f>
        <v>#VALUE!</v>
      </c>
      <c r="K253" s="835"/>
      <c r="L253" s="10" t="str">
        <f>'Obrazac kalkulacije'!$D$6</f>
        <v>Jed.
mjere</v>
      </c>
      <c r="M253" s="10" t="str">
        <f>'Obrazac kalkulacije'!$E$6</f>
        <v>Normativ</v>
      </c>
      <c r="N253" s="10" t="str">
        <f>'Obrazac kalkulacije'!$F$6</f>
        <v>Jed.
cijena</v>
      </c>
      <c r="O253" s="10" t="str">
        <f>'Obrazac kalkulacije'!$G$6</f>
        <v>Iznos</v>
      </c>
    </row>
    <row r="254" spans="1:15" ht="4.5" customHeight="1" thickTop="1">
      <c r="B254" s="42"/>
      <c r="C254" s="1"/>
      <c r="D254" s="11"/>
      <c r="E254" s="13"/>
      <c r="F254" s="258"/>
      <c r="G254" s="15"/>
      <c r="J254" s="42"/>
      <c r="K254" s="1"/>
      <c r="L254" s="11"/>
      <c r="M254" s="13"/>
      <c r="N254" s="258"/>
      <c r="O254" s="15"/>
    </row>
    <row r="255" spans="1:15" ht="25.15" customHeight="1">
      <c r="A255" s="16"/>
      <c r="B255" s="837" t="str">
        <f>'Obrazac kalkulacije'!$B$8</f>
        <v>Radna snaga:</v>
      </c>
      <c r="C255" s="837"/>
      <c r="D255" s="16"/>
      <c r="E255" s="16"/>
      <c r="F255" s="44"/>
      <c r="G255" s="18">
        <f>SUM(G256:G256)</f>
        <v>67.109188899999992</v>
      </c>
      <c r="I255" s="16"/>
      <c r="J255" s="837" t="str">
        <f>'Obrazac kalkulacije'!$B$8</f>
        <v>Radna snaga:</v>
      </c>
      <c r="K255" s="837"/>
      <c r="L255" s="16"/>
      <c r="M255" s="16"/>
      <c r="N255" s="44"/>
      <c r="O255" s="18">
        <f>SUM(O256:O256)</f>
        <v>67.109188899999992</v>
      </c>
    </row>
    <row r="256" spans="1:15" ht="25.15" customHeight="1">
      <c r="A256" s="32"/>
      <c r="B256" s="854" t="s">
        <v>53</v>
      </c>
      <c r="C256" s="854"/>
      <c r="D256" s="33" t="s">
        <v>51</v>
      </c>
      <c r="E256" s="34">
        <v>0.68103499999999995</v>
      </c>
      <c r="F256" s="238">
        <f>SUMIF('Cjenik RS'!$C$11:$C$26,$B256,'Cjenik RS'!$D$11:$D$90)</f>
        <v>98.54</v>
      </c>
      <c r="G256" s="35">
        <f>E256*F256</f>
        <v>67.109188899999992</v>
      </c>
      <c r="I256" s="32"/>
      <c r="J256" s="854" t="s">
        <v>53</v>
      </c>
      <c r="K256" s="854"/>
      <c r="L256" s="33" t="s">
        <v>51</v>
      </c>
      <c r="M256" s="34">
        <v>0.68103499999999995</v>
      </c>
      <c r="N256" s="238">
        <f>SUMIF('Cjenik RS'!$C$11:$C$26,$B256,'Cjenik RS'!$D$11:$D$90)</f>
        <v>98.54</v>
      </c>
      <c r="O256" s="35">
        <f>M256*N256</f>
        <v>67.109188899999992</v>
      </c>
    </row>
    <row r="257" spans="1:15" ht="25.15" customHeight="1">
      <c r="A257" s="16"/>
      <c r="B257" s="837" t="str">
        <f>'Obrazac kalkulacije'!$B$11</f>
        <v>Vozila, strojevi i oprema:</v>
      </c>
      <c r="C257" s="837"/>
      <c r="D257" s="16"/>
      <c r="E257" s="16"/>
      <c r="F257" s="238"/>
      <c r="G257" s="18">
        <f>SUM(G258:G262)</f>
        <v>55.320756780000004</v>
      </c>
      <c r="I257" s="16"/>
      <c r="J257" s="837" t="str">
        <f>'Obrazac kalkulacije'!$B$11</f>
        <v>Vozila, strojevi i oprema:</v>
      </c>
      <c r="K257" s="837"/>
      <c r="L257" s="16"/>
      <c r="M257" s="16"/>
      <c r="N257" s="238"/>
      <c r="O257" s="18">
        <f>SUM(O258:O262)</f>
        <v>55.320756780000004</v>
      </c>
    </row>
    <row r="258" spans="1:15" ht="25.15" customHeight="1">
      <c r="A258" s="51"/>
      <c r="B258" s="849" t="s">
        <v>97</v>
      </c>
      <c r="C258" s="849"/>
      <c r="D258" s="52" t="s">
        <v>51</v>
      </c>
      <c r="E258" s="86">
        <v>2.9655000000000001E-2</v>
      </c>
      <c r="F258" s="260">
        <f>SUMIF('Cjenik VSO'!$B$9:$B$85,$B258,'Cjenik VSO'!$C$9:$C$85)</f>
        <v>279.37</v>
      </c>
      <c r="G258" s="54">
        <f>E258*F258</f>
        <v>8.2847173500000011</v>
      </c>
      <c r="I258" s="51"/>
      <c r="J258" s="849" t="s">
        <v>97</v>
      </c>
      <c r="K258" s="849"/>
      <c r="L258" s="52" t="s">
        <v>51</v>
      </c>
      <c r="M258" s="86">
        <v>2.9655000000000001E-2</v>
      </c>
      <c r="N258" s="260">
        <f>SUMIF('Cjenik VSO'!$B$9:$B$85,$B258,'Cjenik VSO'!$C$9:$C$85)</f>
        <v>279.37</v>
      </c>
      <c r="O258" s="54">
        <f>M258*N258</f>
        <v>8.2847173500000011</v>
      </c>
    </row>
    <row r="259" spans="1:15" ht="25.15" customHeight="1">
      <c r="A259" s="56"/>
      <c r="B259" s="839" t="s">
        <v>74</v>
      </c>
      <c r="C259" s="839"/>
      <c r="D259" s="57" t="s">
        <v>51</v>
      </c>
      <c r="E259" s="92">
        <v>6.3533999999999993E-2</v>
      </c>
      <c r="F259" s="263">
        <f>SUMIF('Cjenik VSO'!$B$9:$B$85,$B259,'Cjenik VSO'!$C$9:$C$85)</f>
        <v>355.64</v>
      </c>
      <c r="G259" s="59">
        <f>E259*F259</f>
        <v>22.595231759999997</v>
      </c>
      <c r="I259" s="56"/>
      <c r="J259" s="839" t="s">
        <v>74</v>
      </c>
      <c r="K259" s="839"/>
      <c r="L259" s="57" t="s">
        <v>51</v>
      </c>
      <c r="M259" s="92">
        <v>6.3533999999999993E-2</v>
      </c>
      <c r="N259" s="263">
        <f>SUMIF('Cjenik VSO'!$B$9:$B$85,$B259,'Cjenik VSO'!$C$9:$C$85)</f>
        <v>355.64</v>
      </c>
      <c r="O259" s="59">
        <f>M259*N259</f>
        <v>22.595231759999997</v>
      </c>
    </row>
    <row r="260" spans="1:15" ht="25.15" customHeight="1">
      <c r="A260" s="56"/>
      <c r="B260" s="839" t="s">
        <v>182</v>
      </c>
      <c r="C260" s="839"/>
      <c r="D260" s="57" t="s">
        <v>51</v>
      </c>
      <c r="E260" s="92">
        <v>0.14655000000000001</v>
      </c>
      <c r="F260" s="263">
        <f>SUMIF('Cjenik VSO'!$B$9:$B$85,$B260,'Cjenik VSO'!$C$9:$C$85)</f>
        <v>151.94999999999999</v>
      </c>
      <c r="G260" s="59">
        <f>E260*F260</f>
        <v>22.268272500000002</v>
      </c>
      <c r="I260" s="56"/>
      <c r="J260" s="839" t="s">
        <v>182</v>
      </c>
      <c r="K260" s="839"/>
      <c r="L260" s="57" t="s">
        <v>51</v>
      </c>
      <c r="M260" s="92">
        <v>0.14655000000000001</v>
      </c>
      <c r="N260" s="263">
        <f>SUMIF('Cjenik VSO'!$B$9:$B$85,$B260,'Cjenik VSO'!$C$9:$C$85)</f>
        <v>151.94999999999999</v>
      </c>
      <c r="O260" s="59">
        <f>M260*N260</f>
        <v>22.268272500000002</v>
      </c>
    </row>
    <row r="261" spans="1:15" ht="25.15" customHeight="1">
      <c r="A261" s="56"/>
      <c r="B261" s="839" t="s">
        <v>183</v>
      </c>
      <c r="C261" s="839"/>
      <c r="D261" s="57" t="s">
        <v>51</v>
      </c>
      <c r="E261" s="92">
        <v>1.5517E-2</v>
      </c>
      <c r="F261" s="263">
        <f>SUMIF('Cjenik VSO'!$B$9:$B$85,$B261,'Cjenik VSO'!$C$9:$C$85)</f>
        <v>32.9</v>
      </c>
      <c r="G261" s="59">
        <f>E261*F261</f>
        <v>0.51050929999999994</v>
      </c>
      <c r="I261" s="56"/>
      <c r="J261" s="839" t="s">
        <v>183</v>
      </c>
      <c r="K261" s="839"/>
      <c r="L261" s="57" t="s">
        <v>51</v>
      </c>
      <c r="M261" s="92">
        <v>1.5517E-2</v>
      </c>
      <c r="N261" s="263">
        <f>SUMIF('Cjenik VSO'!$B$9:$B$85,$B261,'Cjenik VSO'!$C$9:$C$85)</f>
        <v>32.9</v>
      </c>
      <c r="O261" s="59">
        <f>M261*N261</f>
        <v>0.51050929999999994</v>
      </c>
    </row>
    <row r="262" spans="1:15" ht="25.15" customHeight="1">
      <c r="A262" s="56"/>
      <c r="B262" s="839" t="s">
        <v>81</v>
      </c>
      <c r="C262" s="839"/>
      <c r="D262" s="57" t="s">
        <v>51</v>
      </c>
      <c r="E262" s="92">
        <v>1.5517E-2</v>
      </c>
      <c r="F262" s="263">
        <f>SUMIF('Cjenik VSO'!$B$9:$B$85,$B262,'Cjenik VSO'!$C$9:$C$85)</f>
        <v>107.11</v>
      </c>
      <c r="G262" s="59">
        <f>E262*F262</f>
        <v>1.6620258699999999</v>
      </c>
      <c r="I262" s="56"/>
      <c r="J262" s="839" t="s">
        <v>81</v>
      </c>
      <c r="K262" s="839"/>
      <c r="L262" s="57" t="s">
        <v>51</v>
      </c>
      <c r="M262" s="92">
        <v>1.5517E-2</v>
      </c>
      <c r="N262" s="263">
        <f>SUMIF('Cjenik VSO'!$B$9:$B$85,$B262,'Cjenik VSO'!$C$9:$C$85)</f>
        <v>107.11</v>
      </c>
      <c r="O262" s="59">
        <f>M262*N262</f>
        <v>1.6620258699999999</v>
      </c>
    </row>
    <row r="263" spans="1:15" ht="25.15" customHeight="1">
      <c r="A263" s="16"/>
      <c r="B263" s="837" t="str">
        <f>'Obrazac kalkulacije'!$B$15</f>
        <v>Materijali:</v>
      </c>
      <c r="C263" s="837"/>
      <c r="D263" s="16"/>
      <c r="E263" s="16"/>
      <c r="F263" s="238"/>
      <c r="G263" s="18">
        <f>SUM(G264:G264)</f>
        <v>0</v>
      </c>
      <c r="I263" s="16"/>
      <c r="J263" s="837" t="str">
        <f>'Obrazac kalkulacije'!$B$15</f>
        <v>Materijali:</v>
      </c>
      <c r="K263" s="837"/>
      <c r="L263" s="16"/>
      <c r="M263" s="16"/>
      <c r="N263" s="238"/>
      <c r="O263" s="18">
        <f>SUM(O264:O264)</f>
        <v>0</v>
      </c>
    </row>
    <row r="264" spans="1:15" ht="25.15" customHeight="1" thickBot="1">
      <c r="A264" s="43"/>
      <c r="B264" s="863">
        <f>'Cjenik M'!$B$90</f>
        <v>0</v>
      </c>
      <c r="C264" s="863"/>
      <c r="D264" s="52">
        <f>'Cjenik M'!$C$90</f>
        <v>0</v>
      </c>
      <c r="E264" s="53">
        <v>0.15</v>
      </c>
      <c r="F264" s="260">
        <f>'Cjenik M'!$D$90</f>
        <v>0</v>
      </c>
      <c r="G264" s="55">
        <f>E264*F264</f>
        <v>0</v>
      </c>
      <c r="I264" s="43"/>
      <c r="J264" s="863">
        <f>'Cjenik M'!$B$90</f>
        <v>0</v>
      </c>
      <c r="K264" s="863"/>
      <c r="L264" s="52">
        <f>'Cjenik M'!$C$90</f>
        <v>0</v>
      </c>
      <c r="M264" s="53">
        <v>0.15</v>
      </c>
      <c r="N264" s="260">
        <f>'Cjenik M'!$D$90</f>
        <v>0</v>
      </c>
      <c r="O264" s="55">
        <f>M264*N264</f>
        <v>0</v>
      </c>
    </row>
    <row r="265" spans="1:15" ht="25.15" customHeight="1" thickTop="1" thickBot="1">
      <c r="B265" s="47"/>
      <c r="C265" s="24"/>
      <c r="D265" s="25"/>
      <c r="E265" s="850" t="str">
        <f>'Obrazac kalkulacije'!$E$18</f>
        <v>Ukupno (kn):</v>
      </c>
      <c r="F265" s="850"/>
      <c r="G265" s="26">
        <f>ROUND(SUM(G255+G257+G263),2)</f>
        <v>122.43</v>
      </c>
      <c r="H265" s="269" t="e">
        <f>SUMIF(#REF!,B251,#REF!)</f>
        <v>#REF!</v>
      </c>
      <c r="J265" s="47"/>
      <c r="K265" s="24"/>
      <c r="L265" s="25"/>
      <c r="M265" s="850" t="str">
        <f>'Obrazac kalkulacije'!$E$18</f>
        <v>Ukupno (kn):</v>
      </c>
      <c r="N265" s="850"/>
      <c r="O265" s="26">
        <f>ROUND(SUM(O255+O257+O263),2)</f>
        <v>122.43</v>
      </c>
    </row>
    <row r="266" spans="1:15" ht="25.15" customHeight="1" thickTop="1" thickBot="1">
      <c r="E266" s="27" t="str">
        <f>'Obrazac kalkulacije'!$E$19</f>
        <v>PDV:</v>
      </c>
      <c r="F266" s="259">
        <f>'Obrazac kalkulacije'!$F$19</f>
        <v>0.25</v>
      </c>
      <c r="G266" s="29">
        <f>G265*F266</f>
        <v>30.607500000000002</v>
      </c>
      <c r="H266" s="270" t="e">
        <f>H265-G265</f>
        <v>#REF!</v>
      </c>
      <c r="M266" s="27" t="str">
        <f>'Obrazac kalkulacije'!$E$19</f>
        <v>PDV:</v>
      </c>
      <c r="N266" s="259">
        <f>'Obrazac kalkulacije'!$F$19</f>
        <v>0.25</v>
      </c>
      <c r="O266" s="29">
        <f>O265*N266</f>
        <v>30.607500000000002</v>
      </c>
    </row>
    <row r="267" spans="1:15" ht="25.15" customHeight="1" thickTop="1" thickBot="1">
      <c r="E267" s="840" t="str">
        <f>'Obrazac kalkulacije'!$E$20</f>
        <v>Sveukupno (kn):</v>
      </c>
      <c r="F267" s="840"/>
      <c r="G267" s="29">
        <f>ROUND(SUM(G265:G266),2)</f>
        <v>153.04</v>
      </c>
      <c r="H267" s="271" t="e">
        <f>G260+H266</f>
        <v>#REF!</v>
      </c>
      <c r="M267" s="840" t="str">
        <f>'Obrazac kalkulacije'!$E$20</f>
        <v>Sveukupno (kn):</v>
      </c>
      <c r="N267" s="840"/>
      <c r="O267" s="29">
        <f>ROUND(SUM(O265:O266),2)</f>
        <v>153.04</v>
      </c>
    </row>
    <row r="268" spans="1:15" ht="15" customHeight="1" thickTop="1"/>
    <row r="269" spans="1:15" ht="15" customHeight="1"/>
    <row r="270" spans="1:15" ht="15" customHeight="1"/>
    <row r="271" spans="1:15" ht="15" customHeight="1">
      <c r="C271" s="3" t="str">
        <f>'Obrazac kalkulacije'!$C$24</f>
        <v>IZVODITELJ:</v>
      </c>
      <c r="F271" s="841" t="str">
        <f>'Obrazac kalkulacije'!$F$24</f>
        <v>NARUČITELJ:</v>
      </c>
      <c r="G271" s="841"/>
      <c r="K271" s="3" t="str">
        <f>'Obrazac kalkulacije'!$C$24</f>
        <v>IZVODITELJ:</v>
      </c>
      <c r="N271" s="841" t="str">
        <f>'Obrazac kalkulacije'!$F$24</f>
        <v>NARUČITELJ:</v>
      </c>
      <c r="O271" s="841"/>
    </row>
    <row r="272" spans="1:15" ht="25.15" customHeight="1">
      <c r="C272" s="3" t="str">
        <f>'Obrazac kalkulacije'!$C$25</f>
        <v>__________________</v>
      </c>
      <c r="F272" s="841" t="str">
        <f>'Obrazac kalkulacije'!$F$25</f>
        <v>___________________</v>
      </c>
      <c r="G272" s="841"/>
      <c r="K272" s="3" t="str">
        <f>'Obrazac kalkulacije'!$C$25</f>
        <v>__________________</v>
      </c>
      <c r="N272" s="841" t="str">
        <f>'Obrazac kalkulacije'!$F$25</f>
        <v>___________________</v>
      </c>
      <c r="O272" s="841"/>
    </row>
    <row r="273" spans="1:15" ht="15" customHeight="1">
      <c r="F273" s="841"/>
      <c r="G273" s="841"/>
      <c r="N273" s="841"/>
      <c r="O273" s="841"/>
    </row>
    <row r="274" spans="1:15" ht="15" customHeight="1"/>
    <row r="275" spans="1:15" ht="15" customHeight="1">
      <c r="A275" s="144"/>
      <c r="B275" s="145" t="s">
        <v>27</v>
      </c>
      <c r="C275" s="836" t="s">
        <v>224</v>
      </c>
      <c r="D275" s="836"/>
      <c r="E275" s="836"/>
      <c r="F275" s="836"/>
      <c r="G275" s="836"/>
      <c r="I275" s="144"/>
      <c r="J275" s="145" t="s">
        <v>27</v>
      </c>
      <c r="K275" s="836" t="s">
        <v>224</v>
      </c>
      <c r="L275" s="836"/>
      <c r="M275" s="836"/>
      <c r="N275" s="836"/>
      <c r="O275" s="836"/>
    </row>
    <row r="276" spans="1:15" ht="150" customHeight="1">
      <c r="A276" s="40"/>
      <c r="B276" s="556" t="s">
        <v>255</v>
      </c>
      <c r="C276" s="852" t="s">
        <v>256</v>
      </c>
      <c r="D276" s="852"/>
      <c r="E276" s="852"/>
      <c r="F276" s="852"/>
      <c r="G276" s="852"/>
      <c r="I276" s="40"/>
      <c r="J276" s="41" t="s">
        <v>255</v>
      </c>
      <c r="K276" s="869" t="s">
        <v>257</v>
      </c>
      <c r="L276" s="869"/>
      <c r="M276" s="869"/>
      <c r="N276" s="869"/>
      <c r="O276" s="869"/>
    </row>
    <row r="277" spans="1:15" ht="15" customHeight="1" thickBot="1"/>
    <row r="278" spans="1:15" ht="30" customHeight="1" thickTop="1" thickBot="1">
      <c r="A278" s="10"/>
      <c r="B278" s="835" t="str">
        <f>'Obrazac kalkulacije'!$B$6:$C$6</f>
        <v>Opis</v>
      </c>
      <c r="C278" s="835"/>
      <c r="D278" s="10" t="str">
        <f>'Obrazac kalkulacije'!$D$6</f>
        <v>Jed.
mjere</v>
      </c>
      <c r="E278" s="10" t="str">
        <f>'Obrazac kalkulacije'!$E$6</f>
        <v>Normativ</v>
      </c>
      <c r="F278" s="10" t="str">
        <f>'Obrazac kalkulacije'!$F$6</f>
        <v>Jed.
cijena</v>
      </c>
      <c r="G278" s="10" t="str">
        <f>'Obrazac kalkulacije'!$G$6</f>
        <v>Iznos</v>
      </c>
      <c r="I278" s="10"/>
      <c r="J278" s="835" t="e">
        <f>'Obrazac kalkulacije'!$B$6:$C$6</f>
        <v>#VALUE!</v>
      </c>
      <c r="K278" s="835"/>
      <c r="L278" s="10" t="str">
        <f>'Obrazac kalkulacije'!$D$6</f>
        <v>Jed.
mjere</v>
      </c>
      <c r="M278" s="10" t="str">
        <f>'Obrazac kalkulacije'!$E$6</f>
        <v>Normativ</v>
      </c>
      <c r="N278" s="10" t="str">
        <f>'Obrazac kalkulacije'!$F$6</f>
        <v>Jed.
cijena</v>
      </c>
      <c r="O278" s="10" t="str">
        <f>'Obrazac kalkulacije'!$G$6</f>
        <v>Iznos</v>
      </c>
    </row>
    <row r="279" spans="1:15" ht="4.5" customHeight="1" thickTop="1">
      <c r="B279" s="42"/>
      <c r="C279" s="1"/>
      <c r="D279" s="11"/>
      <c r="E279" s="13"/>
      <c r="F279" s="258"/>
      <c r="G279" s="15"/>
      <c r="J279" s="42"/>
      <c r="K279" s="1"/>
      <c r="L279" s="11"/>
      <c r="M279" s="13"/>
      <c r="N279" s="258"/>
      <c r="O279" s="15"/>
    </row>
    <row r="280" spans="1:15" ht="25.15" customHeight="1">
      <c r="A280" s="16"/>
      <c r="B280" s="837" t="str">
        <f>'Obrazac kalkulacije'!$B$8</f>
        <v>Radna snaga:</v>
      </c>
      <c r="C280" s="837"/>
      <c r="D280" s="16"/>
      <c r="E280" s="16"/>
      <c r="F280" s="44"/>
      <c r="G280" s="18">
        <f>SUM(G281:G281)</f>
        <v>5.6660500000000003</v>
      </c>
      <c r="I280" s="16"/>
      <c r="J280" s="837" t="str">
        <f>'Obrazac kalkulacije'!$B$8</f>
        <v>Radna snaga:</v>
      </c>
      <c r="K280" s="837"/>
      <c r="L280" s="16"/>
      <c r="M280" s="16"/>
      <c r="N280" s="44"/>
      <c r="O280" s="18">
        <f>SUM(O281:O281)</f>
        <v>67.109188899999992</v>
      </c>
    </row>
    <row r="281" spans="1:15" ht="25.15" customHeight="1">
      <c r="A281" s="32"/>
      <c r="B281" s="854" t="s">
        <v>53</v>
      </c>
      <c r="C281" s="854"/>
      <c r="D281" s="33" t="s">
        <v>51</v>
      </c>
      <c r="E281" s="34">
        <v>5.7500000000000002E-2</v>
      </c>
      <c r="F281" s="238">
        <f>SUMIF('Cjenik RS'!$C$11:$C$26,$B281,'Cjenik RS'!$D$11:$D$90)</f>
        <v>98.54</v>
      </c>
      <c r="G281" s="35">
        <f>E281*F281</f>
        <v>5.6660500000000003</v>
      </c>
      <c r="I281" s="32"/>
      <c r="J281" s="854" t="s">
        <v>53</v>
      </c>
      <c r="K281" s="854"/>
      <c r="L281" s="33" t="s">
        <v>51</v>
      </c>
      <c r="M281" s="34">
        <v>0.68103499999999995</v>
      </c>
      <c r="N281" s="238">
        <f>SUMIF('Cjenik RS'!$C$11:$C$26,$B281,'Cjenik RS'!$D$11:$D$90)</f>
        <v>98.54</v>
      </c>
      <c r="O281" s="35">
        <f>M281*N281</f>
        <v>67.109188899999992</v>
      </c>
    </row>
    <row r="282" spans="1:15" ht="25.15" customHeight="1">
      <c r="A282" s="16"/>
      <c r="B282" s="837" t="str">
        <f>'Obrazac kalkulacije'!$B$11</f>
        <v>Vozila, strojevi i oprema:</v>
      </c>
      <c r="C282" s="837"/>
      <c r="D282" s="16"/>
      <c r="E282" s="16"/>
      <c r="F282" s="238"/>
      <c r="G282" s="18">
        <f>SUM(G283:G287)</f>
        <v>11.701002429845072</v>
      </c>
      <c r="I282" s="16"/>
      <c r="J282" s="837" t="str">
        <f>'Obrazac kalkulacije'!$B$11</f>
        <v>Vozila, strojevi i oprema:</v>
      </c>
      <c r="K282" s="837"/>
      <c r="L282" s="16"/>
      <c r="M282" s="16"/>
      <c r="N282" s="238"/>
      <c r="O282" s="18">
        <f>SUM(O283:O287)</f>
        <v>42.474205550000001</v>
      </c>
    </row>
    <row r="283" spans="1:15" ht="25.15" customHeight="1">
      <c r="A283" s="51"/>
      <c r="B283" s="849" t="s">
        <v>97</v>
      </c>
      <c r="C283" s="849"/>
      <c r="D283" s="52" t="s">
        <v>51</v>
      </c>
      <c r="E283" s="86">
        <v>2.5000000000000001E-3</v>
      </c>
      <c r="F283" s="260">
        <f>SUMIF('Cjenik VSO'!$B$9:$B$85,$B283,'Cjenik VSO'!$C$9:$C$85)</f>
        <v>279.37</v>
      </c>
      <c r="G283" s="54">
        <f>E283*F283</f>
        <v>0.69842500000000007</v>
      </c>
      <c r="I283" s="51"/>
      <c r="J283" s="849" t="s">
        <v>97</v>
      </c>
      <c r="K283" s="849"/>
      <c r="L283" s="52" t="s">
        <v>51</v>
      </c>
      <c r="M283" s="86">
        <v>2.9655000000000001E-2</v>
      </c>
      <c r="N283" s="260">
        <f>SUMIF('Cjenik VSO'!$B$9:$B$85,$B283,'Cjenik VSO'!$C$9:$C$85)</f>
        <v>279.37</v>
      </c>
      <c r="O283" s="54">
        <f>M283*N283</f>
        <v>8.2847173500000011</v>
      </c>
    </row>
    <row r="284" spans="1:15" ht="25.15" customHeight="1">
      <c r="A284" s="56"/>
      <c r="B284" s="839" t="s">
        <v>69</v>
      </c>
      <c r="C284" s="839"/>
      <c r="D284" s="57" t="s">
        <v>51</v>
      </c>
      <c r="E284" s="92">
        <v>4.4028061970184149E-2</v>
      </c>
      <c r="F284" s="263">
        <f>SUMIF('Cjenik VSO'!$B$9:$B$85,$B284,'Cjenik VSO'!$C$9:$C$85)</f>
        <v>179.6</v>
      </c>
      <c r="G284" s="59">
        <f>E284*F284</f>
        <v>7.907439929845073</v>
      </c>
      <c r="I284" s="56"/>
      <c r="J284" s="839" t="s">
        <v>74</v>
      </c>
      <c r="K284" s="839"/>
      <c r="L284" s="57" t="s">
        <v>51</v>
      </c>
      <c r="M284" s="92">
        <v>6.3533999999999993E-2</v>
      </c>
      <c r="N284" s="263">
        <f>SUMIF('Cjenik VSO'!$B$9:$B$85,$B284,'Cjenik VSO'!$C$9:$C$85)</f>
        <v>179.6</v>
      </c>
      <c r="O284" s="59">
        <f>M284*N284</f>
        <v>11.410706399999999</v>
      </c>
    </row>
    <row r="285" spans="1:15" ht="25.15" customHeight="1">
      <c r="A285" s="56"/>
      <c r="B285" s="839" t="s">
        <v>182</v>
      </c>
      <c r="C285" s="839"/>
      <c r="D285" s="57" t="s">
        <v>51</v>
      </c>
      <c r="E285" s="92">
        <v>1.225E-2</v>
      </c>
      <c r="F285" s="263">
        <f>SUMIF('Cjenik VSO'!$B$9:$B$85,$B285,'Cjenik VSO'!$C$9:$C$85)</f>
        <v>151.94999999999999</v>
      </c>
      <c r="G285" s="59">
        <f>E285*F285</f>
        <v>1.8613875</v>
      </c>
      <c r="I285" s="56"/>
      <c r="J285" s="839" t="s">
        <v>182</v>
      </c>
      <c r="K285" s="839"/>
      <c r="L285" s="57" t="s">
        <v>51</v>
      </c>
      <c r="M285" s="92">
        <v>0.14655000000000001</v>
      </c>
      <c r="N285" s="263">
        <f>SUMIF('Cjenik VSO'!$B$9:$B$85,$B285,'Cjenik VSO'!$C$9:$C$85)</f>
        <v>151.94999999999999</v>
      </c>
      <c r="O285" s="59">
        <f>M285*N285</f>
        <v>22.268272500000002</v>
      </c>
    </row>
    <row r="286" spans="1:15" ht="25.15" customHeight="1">
      <c r="A286" s="56"/>
      <c r="B286" s="839" t="s">
        <v>183</v>
      </c>
      <c r="C286" s="839"/>
      <c r="D286" s="57" t="s">
        <v>51</v>
      </c>
      <c r="E286" s="92">
        <v>3.7499999999999999E-2</v>
      </c>
      <c r="F286" s="263">
        <f>SUMIF('Cjenik VSO'!$B$9:$B$85,$B286,'Cjenik VSO'!$C$9:$C$85)</f>
        <v>32.9</v>
      </c>
      <c r="G286" s="59">
        <f>E286*F286</f>
        <v>1.2337499999999999</v>
      </c>
      <c r="I286" s="56"/>
      <c r="J286" s="839" t="s">
        <v>183</v>
      </c>
      <c r="K286" s="839"/>
      <c r="L286" s="57" t="s">
        <v>51</v>
      </c>
      <c r="M286" s="92">
        <v>1.5517E-2</v>
      </c>
      <c r="N286" s="263">
        <f>SUMIF('Cjenik VSO'!$B$9:$B$85,$B286,'Cjenik VSO'!$C$9:$C$85)</f>
        <v>32.9</v>
      </c>
      <c r="O286" s="59">
        <f>M286*N286</f>
        <v>0.51050929999999994</v>
      </c>
    </row>
    <row r="287" spans="1:15" ht="25.15" customHeight="1">
      <c r="A287" s="56"/>
      <c r="B287" s="839"/>
      <c r="C287" s="839"/>
      <c r="D287" s="57" t="s">
        <v>51</v>
      </c>
      <c r="E287" s="92"/>
      <c r="F287" s="263">
        <f>SUMIF('Cjenik VSO'!$B$9:$B$85,$B287,'Cjenik VSO'!$C$9:$C$85)</f>
        <v>0</v>
      </c>
      <c r="G287" s="59">
        <f>E287*F287</f>
        <v>0</v>
      </c>
      <c r="I287" s="56"/>
      <c r="J287" s="839" t="s">
        <v>81</v>
      </c>
      <c r="K287" s="839"/>
      <c r="L287" s="57" t="s">
        <v>51</v>
      </c>
      <c r="M287" s="92">
        <v>1.5517E-2</v>
      </c>
      <c r="N287" s="263">
        <f>SUMIF('Cjenik VSO'!$B$9:$B$85,$B287,'Cjenik VSO'!$C$9:$C$85)</f>
        <v>0</v>
      </c>
      <c r="O287" s="59">
        <f>M287*N287</f>
        <v>0</v>
      </c>
    </row>
    <row r="288" spans="1:15" ht="25.15" customHeight="1">
      <c r="A288" s="16"/>
      <c r="B288" s="837" t="str">
        <f>'Obrazac kalkulacije'!$B$15</f>
        <v>Materijali:</v>
      </c>
      <c r="C288" s="837"/>
      <c r="D288" s="16"/>
      <c r="E288" s="16"/>
      <c r="F288" s="238"/>
      <c r="G288" s="18">
        <f>SUM(G289:G289)</f>
        <v>0</v>
      </c>
      <c r="H288" s="621" t="s">
        <v>258</v>
      </c>
      <c r="I288" s="16"/>
      <c r="J288" s="837" t="str">
        <f>'Obrazac kalkulacije'!$B$15</f>
        <v>Materijali:</v>
      </c>
      <c r="K288" s="837"/>
      <c r="L288" s="16"/>
      <c r="M288" s="16"/>
      <c r="N288" s="238"/>
      <c r="O288" s="18">
        <f>SUM(O289:O289)</f>
        <v>0</v>
      </c>
    </row>
    <row r="289" spans="1:15" ht="25.15" customHeight="1" thickBot="1">
      <c r="A289" s="43"/>
      <c r="B289" s="863" t="s">
        <v>259</v>
      </c>
      <c r="C289" s="863"/>
      <c r="D289" s="52">
        <f>'Cjenik M'!$C$90</f>
        <v>0</v>
      </c>
      <c r="E289" s="53">
        <v>0.1</v>
      </c>
      <c r="F289" s="260">
        <f>'Cjenik M'!$D$90</f>
        <v>0</v>
      </c>
      <c r="G289" s="55">
        <f>E289*F289</f>
        <v>0</v>
      </c>
      <c r="H289" s="621" t="s">
        <v>260</v>
      </c>
      <c r="I289" s="43"/>
      <c r="J289" s="863">
        <f>'Cjenik M'!$B$90</f>
        <v>0</v>
      </c>
      <c r="K289" s="863"/>
      <c r="L289" s="52">
        <f>'Cjenik M'!$C$90</f>
        <v>0</v>
      </c>
      <c r="M289" s="53">
        <v>0.15</v>
      </c>
      <c r="N289" s="260">
        <f>'Cjenik M'!$D$90</f>
        <v>0</v>
      </c>
      <c r="O289" s="55">
        <f>M289*N289</f>
        <v>0</v>
      </c>
    </row>
    <row r="290" spans="1:15" ht="25.15" customHeight="1" thickTop="1" thickBot="1">
      <c r="B290" s="47"/>
      <c r="C290" s="24"/>
      <c r="D290" s="25"/>
      <c r="E290" s="850" t="str">
        <f>'Obrazac kalkulacije'!$E$18</f>
        <v>Ukupno (kn):</v>
      </c>
      <c r="F290" s="850"/>
      <c r="G290" s="26">
        <f>ROUND(SUM(G280+G282+G288),2)</f>
        <v>17.37</v>
      </c>
      <c r="H290" s="269" t="e">
        <f>SUMIF(#REF!,B276,#REF!)</f>
        <v>#REF!</v>
      </c>
      <c r="J290" s="47"/>
      <c r="K290" s="24"/>
      <c r="L290" s="25"/>
      <c r="M290" s="850" t="str">
        <f>'Obrazac kalkulacije'!$E$18</f>
        <v>Ukupno (kn):</v>
      </c>
      <c r="N290" s="850"/>
      <c r="O290" s="26">
        <f>ROUND(SUM(O280+O282+O288),2)</f>
        <v>109.58</v>
      </c>
    </row>
    <row r="291" spans="1:15" ht="25.15" customHeight="1" thickTop="1" thickBot="1">
      <c r="E291" s="27" t="str">
        <f>'Obrazac kalkulacije'!$E$19</f>
        <v>PDV:</v>
      </c>
      <c r="F291" s="259">
        <f>'Obrazac kalkulacije'!$F$19</f>
        <v>0.25</v>
      </c>
      <c r="G291" s="29">
        <f>G290*F291</f>
        <v>4.3425000000000002</v>
      </c>
      <c r="H291" s="270" t="e">
        <f>H290-G290</f>
        <v>#REF!</v>
      </c>
      <c r="M291" s="27" t="str">
        <f>'Obrazac kalkulacije'!$E$19</f>
        <v>PDV:</v>
      </c>
      <c r="N291" s="259">
        <f>'Obrazac kalkulacije'!$F$19</f>
        <v>0.25</v>
      </c>
      <c r="O291" s="29">
        <f>O290*N291</f>
        <v>27.395</v>
      </c>
    </row>
    <row r="292" spans="1:15" ht="25.15" customHeight="1" thickTop="1" thickBot="1">
      <c r="E292" s="840" t="str">
        <f>'Obrazac kalkulacije'!$E$20</f>
        <v>Sveukupno (kn):</v>
      </c>
      <c r="F292" s="840"/>
      <c r="G292" s="29">
        <f>ROUND(SUM(G290:G291),2)</f>
        <v>21.71</v>
      </c>
      <c r="H292" s="271" t="e">
        <f>G285+H291</f>
        <v>#REF!</v>
      </c>
      <c r="M292" s="840" t="str">
        <f>'Obrazac kalkulacije'!$E$20</f>
        <v>Sveukupno (kn):</v>
      </c>
      <c r="N292" s="840"/>
      <c r="O292" s="29">
        <f>ROUND(SUM(O290:O291),2)</f>
        <v>136.97999999999999</v>
      </c>
    </row>
    <row r="293" spans="1:15" ht="15" customHeight="1" thickTop="1"/>
    <row r="294" spans="1:15" ht="15" customHeight="1"/>
    <row r="295" spans="1:15" ht="15" customHeight="1"/>
    <row r="296" spans="1:15" ht="15" customHeight="1">
      <c r="C296" s="3" t="str">
        <f>'Obrazac kalkulacije'!$C$24</f>
        <v>IZVODITELJ:</v>
      </c>
      <c r="F296" s="841" t="str">
        <f>'Obrazac kalkulacije'!$F$24</f>
        <v>NARUČITELJ:</v>
      </c>
      <c r="G296" s="841"/>
      <c r="K296" s="3" t="str">
        <f>'Obrazac kalkulacije'!$C$24</f>
        <v>IZVODITELJ:</v>
      </c>
      <c r="N296" s="841" t="str">
        <f>'Obrazac kalkulacije'!$F$24</f>
        <v>NARUČITELJ:</v>
      </c>
      <c r="O296" s="841"/>
    </row>
    <row r="297" spans="1:15" ht="25.15" customHeight="1">
      <c r="C297" s="3" t="str">
        <f>'Obrazac kalkulacije'!$C$25</f>
        <v>__________________</v>
      </c>
      <c r="F297" s="841" t="str">
        <f>'Obrazac kalkulacije'!$F$25</f>
        <v>___________________</v>
      </c>
      <c r="G297" s="841"/>
      <c r="K297" s="3" t="str">
        <f>'Obrazac kalkulacije'!$C$25</f>
        <v>__________________</v>
      </c>
      <c r="N297" s="841" t="str">
        <f>'Obrazac kalkulacije'!$F$25</f>
        <v>___________________</v>
      </c>
      <c r="O297" s="841"/>
    </row>
    <row r="298" spans="1:15" ht="15" customHeight="1">
      <c r="F298" s="841"/>
      <c r="G298" s="841"/>
      <c r="N298" s="841"/>
      <c r="O298" s="841"/>
    </row>
  </sheetData>
  <sheetProtection selectLockedCells="1"/>
  <mergeCells count="414">
    <mergeCell ref="K276:O276"/>
    <mergeCell ref="J278:K278"/>
    <mergeCell ref="M265:N265"/>
    <mergeCell ref="J280:K280"/>
    <mergeCell ref="N271:O271"/>
    <mergeCell ref="N272:O272"/>
    <mergeCell ref="N273:O273"/>
    <mergeCell ref="K275:O275"/>
    <mergeCell ref="J257:K257"/>
    <mergeCell ref="J258:K258"/>
    <mergeCell ref="J256:K256"/>
    <mergeCell ref="J259:K259"/>
    <mergeCell ref="M267:N267"/>
    <mergeCell ref="J260:K260"/>
    <mergeCell ref="J261:K261"/>
    <mergeCell ref="J262:K262"/>
    <mergeCell ref="J263:K263"/>
    <mergeCell ref="J264:K264"/>
    <mergeCell ref="J234:K234"/>
    <mergeCell ref="K251:O251"/>
    <mergeCell ref="J253:K253"/>
    <mergeCell ref="J255:K255"/>
    <mergeCell ref="N248:O248"/>
    <mergeCell ref="K250:O250"/>
    <mergeCell ref="M242:N242"/>
    <mergeCell ref="N246:O246"/>
    <mergeCell ref="N247:O247"/>
    <mergeCell ref="M240:N240"/>
    <mergeCell ref="J233:K233"/>
    <mergeCell ref="K226:O226"/>
    <mergeCell ref="K227:O227"/>
    <mergeCell ref="J229:K229"/>
    <mergeCell ref="J231:K231"/>
    <mergeCell ref="J232:K232"/>
    <mergeCell ref="M218:N218"/>
    <mergeCell ref="N222:O222"/>
    <mergeCell ref="J239:K239"/>
    <mergeCell ref="N223:O223"/>
    <mergeCell ref="N224:O224"/>
    <mergeCell ref="J235:K235"/>
    <mergeCell ref="J236:K236"/>
    <mergeCell ref="J237:K237"/>
    <mergeCell ref="J238:K238"/>
    <mergeCell ref="J215:K215"/>
    <mergeCell ref="M216:N216"/>
    <mergeCell ref="J209:K209"/>
    <mergeCell ref="J210:K210"/>
    <mergeCell ref="J211:K211"/>
    <mergeCell ref="J212:K212"/>
    <mergeCell ref="J213:K213"/>
    <mergeCell ref="J214:K214"/>
    <mergeCell ref="J208:K208"/>
    <mergeCell ref="J163:K163"/>
    <mergeCell ref="J164:K164"/>
    <mergeCell ref="J165:K165"/>
    <mergeCell ref="J166:K166"/>
    <mergeCell ref="J167:K167"/>
    <mergeCell ref="J168:K168"/>
    <mergeCell ref="J191:K191"/>
    <mergeCell ref="N175:O175"/>
    <mergeCell ref="N176:O176"/>
    <mergeCell ref="K180:O180"/>
    <mergeCell ref="J182:K182"/>
    <mergeCell ref="J186:K186"/>
    <mergeCell ref="J187:K187"/>
    <mergeCell ref="J188:K188"/>
    <mergeCell ref="J189:K189"/>
    <mergeCell ref="K203:O203"/>
    <mergeCell ref="J205:K205"/>
    <mergeCell ref="J207:K207"/>
    <mergeCell ref="M169:N169"/>
    <mergeCell ref="M171:N171"/>
    <mergeCell ref="N198:O198"/>
    <mergeCell ref="N199:O199"/>
    <mergeCell ref="N177:O177"/>
    <mergeCell ref="K179:O179"/>
    <mergeCell ref="J190:K190"/>
    <mergeCell ref="J184:K184"/>
    <mergeCell ref="J185:K185"/>
    <mergeCell ref="N200:O200"/>
    <mergeCell ref="K202:O202"/>
    <mergeCell ref="M192:N192"/>
    <mergeCell ref="M194:N194"/>
    <mergeCell ref="K157:O157"/>
    <mergeCell ref="J159:K159"/>
    <mergeCell ref="J161:K161"/>
    <mergeCell ref="J162:K162"/>
    <mergeCell ref="J145:K145"/>
    <mergeCell ref="M146:N146"/>
    <mergeCell ref="N154:O154"/>
    <mergeCell ref="M148:N148"/>
    <mergeCell ref="N152:O152"/>
    <mergeCell ref="N153:O153"/>
    <mergeCell ref="K156:O156"/>
    <mergeCell ref="J135:K135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N62:O62"/>
    <mergeCell ref="N63:O63"/>
    <mergeCell ref="J91:K91"/>
    <mergeCell ref="J48:K48"/>
    <mergeCell ref="J49:K49"/>
    <mergeCell ref="J50:K50"/>
    <mergeCell ref="M124:N124"/>
    <mergeCell ref="J96:K96"/>
    <mergeCell ref="J97:K97"/>
    <mergeCell ref="N107:O107"/>
    <mergeCell ref="J98:K98"/>
    <mergeCell ref="J119:K119"/>
    <mergeCell ref="J120:K120"/>
    <mergeCell ref="M122:N122"/>
    <mergeCell ref="J77:K77"/>
    <mergeCell ref="J31:K31"/>
    <mergeCell ref="J29:K29"/>
    <mergeCell ref="K43:O43"/>
    <mergeCell ref="N41:O41"/>
    <mergeCell ref="N39:O39"/>
    <mergeCell ref="M57:N57"/>
    <mergeCell ref="N61:O61"/>
    <mergeCell ref="M55:N55"/>
    <mergeCell ref="N40:O40"/>
    <mergeCell ref="M35:N35"/>
    <mergeCell ref="J54:K54"/>
    <mergeCell ref="J52:K52"/>
    <mergeCell ref="J53:K53"/>
    <mergeCell ref="K132:O132"/>
    <mergeCell ref="J112:K112"/>
    <mergeCell ref="N85:O85"/>
    <mergeCell ref="N86:O86"/>
    <mergeCell ref="K66:O66"/>
    <mergeCell ref="J68:K68"/>
    <mergeCell ref="J70:K70"/>
    <mergeCell ref="J93:K93"/>
    <mergeCell ref="M78:N78"/>
    <mergeCell ref="M80:N80"/>
    <mergeCell ref="K110:O110"/>
    <mergeCell ref="N106:O106"/>
    <mergeCell ref="J114:K114"/>
    <mergeCell ref="J115:K115"/>
    <mergeCell ref="J116:K116"/>
    <mergeCell ref="J117:K117"/>
    <mergeCell ref="J118:K118"/>
    <mergeCell ref="J121:K121"/>
    <mergeCell ref="N84:O84"/>
    <mergeCell ref="J71:K71"/>
    <mergeCell ref="J94:K94"/>
    <mergeCell ref="N130:O130"/>
    <mergeCell ref="N128:O128"/>
    <mergeCell ref="N129:O129"/>
    <mergeCell ref="M11:N11"/>
    <mergeCell ref="N19:O19"/>
    <mergeCell ref="J8:K8"/>
    <mergeCell ref="J9:K9"/>
    <mergeCell ref="J10:K10"/>
    <mergeCell ref="K2:O2"/>
    <mergeCell ref="K3:O3"/>
    <mergeCell ref="J5:K5"/>
    <mergeCell ref="J7:K7"/>
    <mergeCell ref="M13:N13"/>
    <mergeCell ref="N17:O17"/>
    <mergeCell ref="N18:O18"/>
    <mergeCell ref="K21:O21"/>
    <mergeCell ref="M33:N33"/>
    <mergeCell ref="J28:K28"/>
    <mergeCell ref="K65:O65"/>
    <mergeCell ref="K88:O88"/>
    <mergeCell ref="K89:O89"/>
    <mergeCell ref="J95:K95"/>
    <mergeCell ref="N105:O105"/>
    <mergeCell ref="K109:O109"/>
    <mergeCell ref="M99:N99"/>
    <mergeCell ref="M101:N101"/>
    <mergeCell ref="J51:K51"/>
    <mergeCell ref="J72:K72"/>
    <mergeCell ref="J73:K73"/>
    <mergeCell ref="J75:K75"/>
    <mergeCell ref="J76:K76"/>
    <mergeCell ref="J46:K46"/>
    <mergeCell ref="K44:O44"/>
    <mergeCell ref="K22:O22"/>
    <mergeCell ref="J26:K26"/>
    <mergeCell ref="J32:K32"/>
    <mergeCell ref="J27:K27"/>
    <mergeCell ref="J24:K24"/>
    <mergeCell ref="J30:K30"/>
    <mergeCell ref="E194:F194"/>
    <mergeCell ref="B191:C191"/>
    <mergeCell ref="B208:C208"/>
    <mergeCell ref="F271:G271"/>
    <mergeCell ref="B215:C215"/>
    <mergeCell ref="B211:C211"/>
    <mergeCell ref="B210:C210"/>
    <mergeCell ref="B232:C232"/>
    <mergeCell ref="B234:C234"/>
    <mergeCell ref="B235:C235"/>
    <mergeCell ref="E265:F265"/>
    <mergeCell ref="B213:C213"/>
    <mergeCell ref="F223:G223"/>
    <mergeCell ref="B209:C209"/>
    <mergeCell ref="F248:G248"/>
    <mergeCell ref="B239:C239"/>
    <mergeCell ref="C203:G203"/>
    <mergeCell ref="B205:C205"/>
    <mergeCell ref="F199:G199"/>
    <mergeCell ref="F198:G198"/>
    <mergeCell ref="K133:O133"/>
    <mergeCell ref="F177:G177"/>
    <mergeCell ref="C202:G202"/>
    <mergeCell ref="B207:C207"/>
    <mergeCell ref="E216:F216"/>
    <mergeCell ref="B233:C233"/>
    <mergeCell ref="B212:C212"/>
    <mergeCell ref="B259:C259"/>
    <mergeCell ref="B257:C257"/>
    <mergeCell ref="C227:G227"/>
    <mergeCell ref="B229:C229"/>
    <mergeCell ref="E218:F218"/>
    <mergeCell ref="B214:C214"/>
    <mergeCell ref="B253:C253"/>
    <mergeCell ref="E146:F146"/>
    <mergeCell ref="B161:C161"/>
    <mergeCell ref="B164:C164"/>
    <mergeCell ref="B139:C139"/>
    <mergeCell ref="B165:C165"/>
    <mergeCell ref="E169:F169"/>
    <mergeCell ref="C157:G157"/>
    <mergeCell ref="B168:C168"/>
    <mergeCell ref="B162:C162"/>
    <mergeCell ref="B166:C166"/>
    <mergeCell ref="F19:G19"/>
    <mergeCell ref="B280:C280"/>
    <mergeCell ref="C276:G276"/>
    <mergeCell ref="B189:C189"/>
    <mergeCell ref="B190:C190"/>
    <mergeCell ref="E192:F192"/>
    <mergeCell ref="B260:C260"/>
    <mergeCell ref="B255:C255"/>
    <mergeCell ref="C251:G251"/>
    <mergeCell ref="C180:G180"/>
    <mergeCell ref="C275:G275"/>
    <mergeCell ref="F273:G273"/>
    <mergeCell ref="E267:F267"/>
    <mergeCell ref="B256:C256"/>
    <mergeCell ref="F272:G272"/>
    <mergeCell ref="B262:C262"/>
    <mergeCell ref="F222:G222"/>
    <mergeCell ref="C226:G226"/>
    <mergeCell ref="B237:C237"/>
    <mergeCell ref="B236:C236"/>
    <mergeCell ref="B231:C231"/>
    <mergeCell ref="B263:C263"/>
    <mergeCell ref="B258:C258"/>
    <mergeCell ref="F200:G200"/>
    <mergeCell ref="C21:G21"/>
    <mergeCell ref="B24:C24"/>
    <mergeCell ref="B26:C26"/>
    <mergeCell ref="B46:C46"/>
    <mergeCell ref="C2:G2"/>
    <mergeCell ref="C3:G3"/>
    <mergeCell ref="E11:F11"/>
    <mergeCell ref="F17:G17"/>
    <mergeCell ref="B9:C9"/>
    <mergeCell ref="B5:C5"/>
    <mergeCell ref="B7:C7"/>
    <mergeCell ref="B8:C8"/>
    <mergeCell ref="B10:C10"/>
    <mergeCell ref="B31:C31"/>
    <mergeCell ref="B32:C32"/>
    <mergeCell ref="B29:C29"/>
    <mergeCell ref="C22:G22"/>
    <mergeCell ref="F40:G40"/>
    <mergeCell ref="E13:F13"/>
    <mergeCell ref="F18:G18"/>
    <mergeCell ref="C44:G44"/>
    <mergeCell ref="F41:G41"/>
    <mergeCell ref="B27:C27"/>
    <mergeCell ref="F39:G39"/>
    <mergeCell ref="E78:F78"/>
    <mergeCell ref="B71:C71"/>
    <mergeCell ref="C66:G66"/>
    <mergeCell ref="C89:G89"/>
    <mergeCell ref="B97:C97"/>
    <mergeCell ref="F105:G105"/>
    <mergeCell ref="B116:C116"/>
    <mergeCell ref="C43:G43"/>
    <mergeCell ref="B28:C28"/>
    <mergeCell ref="E35:F35"/>
    <mergeCell ref="B49:C49"/>
    <mergeCell ref="B30:C30"/>
    <mergeCell ref="B48:C48"/>
    <mergeCell ref="E33:F33"/>
    <mergeCell ref="B52:C52"/>
    <mergeCell ref="B50:C50"/>
    <mergeCell ref="B51:C51"/>
    <mergeCell ref="F86:G86"/>
    <mergeCell ref="F85:G85"/>
    <mergeCell ref="F84:G84"/>
    <mergeCell ref="B53:C53"/>
    <mergeCell ref="B54:C54"/>
    <mergeCell ref="B68:C68"/>
    <mergeCell ref="B73:C73"/>
    <mergeCell ref="B121:C121"/>
    <mergeCell ref="B186:C186"/>
    <mergeCell ref="B182:C182"/>
    <mergeCell ref="B93:C93"/>
    <mergeCell ref="B91:C91"/>
    <mergeCell ref="B94:C94"/>
    <mergeCell ref="B112:C112"/>
    <mergeCell ref="C88:G88"/>
    <mergeCell ref="B95:C95"/>
    <mergeCell ref="B138:C138"/>
    <mergeCell ref="F128:G128"/>
    <mergeCell ref="F130:G130"/>
    <mergeCell ref="E99:F99"/>
    <mergeCell ref="F107:G107"/>
    <mergeCell ref="B115:C115"/>
    <mergeCell ref="B98:C98"/>
    <mergeCell ref="B118:C118"/>
    <mergeCell ref="B141:C141"/>
    <mergeCell ref="E101:F101"/>
    <mergeCell ref="B137:C137"/>
    <mergeCell ref="F129:G129"/>
    <mergeCell ref="B117:C117"/>
    <mergeCell ref="E122:F122"/>
    <mergeCell ref="E124:F124"/>
    <mergeCell ref="B72:C72"/>
    <mergeCell ref="B74:C74"/>
    <mergeCell ref="B77:C77"/>
    <mergeCell ref="B76:C76"/>
    <mergeCell ref="J74:K74"/>
    <mergeCell ref="F63:G63"/>
    <mergeCell ref="E55:F55"/>
    <mergeCell ref="F62:G62"/>
    <mergeCell ref="F61:G61"/>
    <mergeCell ref="E57:F57"/>
    <mergeCell ref="C65:G65"/>
    <mergeCell ref="B70:C70"/>
    <mergeCell ref="B75:C75"/>
    <mergeCell ref="E80:F80"/>
    <mergeCell ref="F175:G175"/>
    <mergeCell ref="F176:G176"/>
    <mergeCell ref="B163:C163"/>
    <mergeCell ref="F153:G153"/>
    <mergeCell ref="F154:G154"/>
    <mergeCell ref="B187:C187"/>
    <mergeCell ref="B119:C119"/>
    <mergeCell ref="C156:G156"/>
    <mergeCell ref="B144:C144"/>
    <mergeCell ref="B140:C140"/>
    <mergeCell ref="B120:C120"/>
    <mergeCell ref="F152:G152"/>
    <mergeCell ref="B145:C145"/>
    <mergeCell ref="B135:C135"/>
    <mergeCell ref="C133:G133"/>
    <mergeCell ref="B114:C114"/>
    <mergeCell ref="B142:C142"/>
    <mergeCell ref="B96:C96"/>
    <mergeCell ref="C109:G109"/>
    <mergeCell ref="C110:G110"/>
    <mergeCell ref="F106:G106"/>
    <mergeCell ref="C179:G179"/>
    <mergeCell ref="C132:G132"/>
    <mergeCell ref="E148:F148"/>
    <mergeCell ref="B143:C143"/>
    <mergeCell ref="B159:C159"/>
    <mergeCell ref="B286:C286"/>
    <mergeCell ref="J286:K286"/>
    <mergeCell ref="J281:K281"/>
    <mergeCell ref="B184:C184"/>
    <mergeCell ref="B281:C281"/>
    <mergeCell ref="B261:C261"/>
    <mergeCell ref="B264:C264"/>
    <mergeCell ref="B278:C278"/>
    <mergeCell ref="B167:C167"/>
    <mergeCell ref="B185:C185"/>
    <mergeCell ref="E171:F171"/>
    <mergeCell ref="B238:C238"/>
    <mergeCell ref="F224:G224"/>
    <mergeCell ref="C250:G250"/>
    <mergeCell ref="F246:G246"/>
    <mergeCell ref="F247:G247"/>
    <mergeCell ref="E242:F242"/>
    <mergeCell ref="E240:F240"/>
    <mergeCell ref="B282:C282"/>
    <mergeCell ref="J282:K282"/>
    <mergeCell ref="B188:C188"/>
    <mergeCell ref="E290:F290"/>
    <mergeCell ref="M290:N290"/>
    <mergeCell ref="B283:C283"/>
    <mergeCell ref="J283:K283"/>
    <mergeCell ref="B289:C289"/>
    <mergeCell ref="J289:K289"/>
    <mergeCell ref="B287:C287"/>
    <mergeCell ref="J287:K287"/>
    <mergeCell ref="F298:G298"/>
    <mergeCell ref="N298:O298"/>
    <mergeCell ref="E292:F292"/>
    <mergeCell ref="M292:N292"/>
    <mergeCell ref="F296:G296"/>
    <mergeCell ref="B284:C284"/>
    <mergeCell ref="N296:O296"/>
    <mergeCell ref="F297:G297"/>
    <mergeCell ref="N297:O297"/>
    <mergeCell ref="J285:K285"/>
    <mergeCell ref="J284:K284"/>
    <mergeCell ref="B288:C288"/>
    <mergeCell ref="J288:K288"/>
    <mergeCell ref="B285:C285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94" orientation="portrait" horizontalDpi="4294967293" r:id="rId1"/>
  <headerFooter alignWithMargins="0">
    <oddHeader>&amp;L&amp;8HRVATSKE CESTE d.o.o.&amp;C&amp;8STANDARD REDOVNOG ODRŽAVANJA CESTA 2009.&amp;R&amp;8&amp;D</oddHeader>
    <oddFooter>&amp;L&amp;8&amp;F&amp;C&amp;8&amp;A&amp;R&amp;8&amp;P / &amp;N</oddFooter>
  </headerFooter>
  <rowBreaks count="12" manualBreakCount="12">
    <brk id="19" max="16383" man="1"/>
    <brk id="41" max="6" man="1"/>
    <brk id="63" max="6" man="1"/>
    <brk id="86" max="6" man="1"/>
    <brk id="107" max="6" man="1"/>
    <brk id="130" max="6" man="1"/>
    <brk id="154" max="6" man="1"/>
    <brk id="177" max="6" man="1"/>
    <brk id="200" max="6" man="1"/>
    <brk id="224" max="6" man="1"/>
    <brk id="248" max="6" man="1"/>
    <brk id="273" max="6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'Cjenik RS'!$C$11:$C$26</xm:f>
          </x14:formula1>
          <xm:sqref>B49:C49 J49:K49 B71:C72 J71:K72 B94:C94 J94:K94 B115:C115 J115:K115 B138:C138 J138:K138 B162:C163 J162:K163 B185:C185 J185:K186 B208:C208 J208:K208 B232:C232 J232:K232 B256:C256 J256:K256 B281:C281 J281:K281 B8:C8 J8:K8 B27:C27 J27:K27</xm:sqref>
        </x14:dataValidation>
        <x14:dataValidation type="list" allowBlank="1" showInputMessage="1" showErrorMessage="1" xr:uid="{00000000-0002-0000-0500-000001000000}">
          <x14:formula1>
            <xm:f>'Cjenik VSO (pomoćna)'!$B$9:$B$13</xm:f>
          </x14:formula1>
          <xm:sqref>B283:C287 J283:K287 B258:C262 J258:K262 B117:C119 J117:K119 J96:K96 B96:C96 B74:C74 J74:K74 K82:L82 B51:C52 J51:K52 B29:C30 B10:C10 J10:K10 J29:K30</xm:sqref>
        </x14:dataValidation>
        <x14:dataValidation type="list" allowBlank="1" showInputMessage="1" showErrorMessage="1" xr:uid="{00000000-0002-0000-0500-000002000000}">
          <x14:formula1>
            <xm:f>'Cjenik M'!$B$11:$B$119</xm:f>
          </x14:formula1>
          <xm:sqref>B32:C34 J289:K291 B54:C56 J54:K56 B76:C79 J76:K79 B98:C100 J98:K100 B121:C123 J121:K123 B145:C147 J145:K147 B167:C170 J167:K170 B189:C193 J189:K191 B215:C217 J215:K217 B239:C241 J239:K241 B264:C266 J264:K266 B289:C291 J32:K34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O817"/>
  <sheetViews>
    <sheetView showZeros="0" view="pageBreakPreview" topLeftCell="A717" zoomScale="115" zoomScaleNormal="70" zoomScaleSheetLayoutView="115" workbookViewId="0">
      <selection activeCell="C796" sqref="C796:G796"/>
    </sheetView>
  </sheetViews>
  <sheetFormatPr defaultRowHeight="12.75"/>
  <cols>
    <col min="1" max="1" width="3.7109375" style="1" customWidth="1"/>
    <col min="2" max="2" width="10.7109375" style="37" customWidth="1"/>
    <col min="3" max="3" width="25.7109375" style="2" customWidth="1"/>
    <col min="4" max="4" width="6.7109375" style="3" customWidth="1"/>
    <col min="5" max="5" width="11.7109375" style="4" customWidth="1"/>
    <col min="6" max="6" width="11.7109375" style="30" customWidth="1"/>
    <col min="7" max="7" width="11.7109375" style="5" customWidth="1"/>
    <col min="8" max="8" width="9.140625" style="2"/>
    <col min="9" max="9" width="3.7109375" style="1" customWidth="1"/>
    <col min="10" max="10" width="10.7109375" style="37" customWidth="1"/>
    <col min="11" max="11" width="25.7109375" style="2" customWidth="1"/>
    <col min="12" max="12" width="6.7109375" style="3" customWidth="1"/>
    <col min="13" max="13" width="11.7109375" style="4" customWidth="1"/>
    <col min="14" max="14" width="11.7109375" style="30" customWidth="1"/>
    <col min="15" max="15" width="11.7109375" style="5" customWidth="1"/>
    <col min="16" max="16384" width="9.140625" style="2"/>
  </cols>
  <sheetData>
    <row r="1" spans="1:15" ht="15" customHeight="1"/>
    <row r="2" spans="1:15" s="6" customFormat="1" ht="15" customHeight="1">
      <c r="A2" s="144"/>
      <c r="B2" s="145" t="s">
        <v>31</v>
      </c>
      <c r="C2" s="836" t="s">
        <v>261</v>
      </c>
      <c r="D2" s="836"/>
      <c r="E2" s="836"/>
      <c r="F2" s="836"/>
      <c r="G2" s="836"/>
      <c r="I2" s="144"/>
      <c r="J2" s="145" t="s">
        <v>31</v>
      </c>
      <c r="K2" s="836" t="s">
        <v>261</v>
      </c>
      <c r="L2" s="836"/>
      <c r="M2" s="836"/>
      <c r="N2" s="836"/>
      <c r="O2" s="836"/>
    </row>
    <row r="3" spans="1:15" s="6" customFormat="1" ht="15" customHeight="1">
      <c r="A3" s="38"/>
      <c r="B3" s="39" t="s">
        <v>33</v>
      </c>
      <c r="C3" s="860" t="s">
        <v>262</v>
      </c>
      <c r="D3" s="860"/>
      <c r="E3" s="860"/>
      <c r="F3" s="860"/>
      <c r="G3" s="860"/>
      <c r="I3" s="38"/>
      <c r="J3" s="39" t="s">
        <v>33</v>
      </c>
      <c r="K3" s="860" t="s">
        <v>262</v>
      </c>
      <c r="L3" s="860"/>
      <c r="M3" s="860"/>
      <c r="N3" s="860"/>
      <c r="O3" s="860"/>
    </row>
    <row r="4" spans="1:15" ht="150" customHeight="1">
      <c r="A4" s="40"/>
      <c r="B4" s="556" t="s">
        <v>35</v>
      </c>
      <c r="C4" s="852" t="s">
        <v>263</v>
      </c>
      <c r="D4" s="852"/>
      <c r="E4" s="852"/>
      <c r="F4" s="852"/>
      <c r="G4" s="852"/>
      <c r="I4" s="40"/>
      <c r="J4" s="41" t="s">
        <v>35</v>
      </c>
      <c r="K4" s="869" t="s">
        <v>264</v>
      </c>
      <c r="L4" s="869"/>
      <c r="M4" s="869"/>
      <c r="N4" s="869"/>
      <c r="O4" s="869"/>
    </row>
    <row r="5" spans="1:15" ht="15" customHeight="1" thickBot="1"/>
    <row r="6" spans="1:15" s="11" customFormat="1" ht="30" customHeight="1" thickTop="1" thickBot="1">
      <c r="A6" s="10"/>
      <c r="B6" s="835" t="str">
        <f>'Obrazac kalkulacije'!$B$6:$C$6</f>
        <v>Opis</v>
      </c>
      <c r="C6" s="835"/>
      <c r="D6" s="10" t="str">
        <f>'Obrazac kalkulacije'!$D$6</f>
        <v>Jed.
mjere</v>
      </c>
      <c r="E6" s="10" t="str">
        <f>'Obrazac kalkulacije'!$E$6</f>
        <v>Normativ</v>
      </c>
      <c r="F6" s="10" t="str">
        <f>'Obrazac kalkulacije'!$F$6</f>
        <v>Jed.
cijena</v>
      </c>
      <c r="G6" s="10" t="str">
        <f>'Obrazac kalkulacije'!$G$6</f>
        <v>Iznos</v>
      </c>
      <c r="I6" s="10"/>
      <c r="J6" s="835" t="e">
        <f>'Obrazac kalkulacije'!$B$6:$C$6</f>
        <v>#VALUE!</v>
      </c>
      <c r="K6" s="835"/>
      <c r="L6" s="10" t="str">
        <f>'Obrazac kalkulacije'!$D$6</f>
        <v>Jed.
mjere</v>
      </c>
      <c r="M6" s="10" t="str">
        <f>'Obrazac kalkulacije'!$E$6</f>
        <v>Normativ</v>
      </c>
      <c r="N6" s="10" t="str">
        <f>'Obrazac kalkulacije'!$F$6</f>
        <v>Jed.
cijena</v>
      </c>
      <c r="O6" s="10" t="str">
        <f>'Obrazac kalkulacije'!$G$6</f>
        <v>Iznos</v>
      </c>
    </row>
    <row r="7" spans="1:15" s="12" customFormat="1" ht="4.5" customHeight="1" thickTop="1">
      <c r="A7" s="1"/>
      <c r="B7" s="42"/>
      <c r="C7" s="1"/>
      <c r="D7" s="11"/>
      <c r="E7" s="13"/>
      <c r="F7" s="258"/>
      <c r="G7" s="15"/>
      <c r="I7" s="1"/>
      <c r="J7" s="42"/>
      <c r="K7" s="1"/>
      <c r="L7" s="11"/>
      <c r="M7" s="13"/>
      <c r="N7" s="258"/>
      <c r="O7" s="15"/>
    </row>
    <row r="8" spans="1:15" s="12" customFormat="1" ht="25.15" customHeight="1">
      <c r="A8" s="16"/>
      <c r="B8" s="837" t="str">
        <f>'Obrazac kalkulacije'!$B$8</f>
        <v>Radna snaga:</v>
      </c>
      <c r="C8" s="837"/>
      <c r="D8" s="16"/>
      <c r="E8" s="16"/>
      <c r="F8" s="44"/>
      <c r="G8" s="18">
        <f>SUM(G9:G9)</f>
        <v>19.9557</v>
      </c>
      <c r="I8" s="16"/>
      <c r="J8" s="837" t="str">
        <f>'Obrazac kalkulacije'!$B$8</f>
        <v>Radna snaga:</v>
      </c>
      <c r="K8" s="837"/>
      <c r="L8" s="16"/>
      <c r="M8" s="16"/>
      <c r="N8" s="44"/>
      <c r="O8" s="18">
        <f>SUM(O9:O9)</f>
        <v>18.7226</v>
      </c>
    </row>
    <row r="9" spans="1:15" s="12" customFormat="1" ht="25.15" customHeight="1">
      <c r="A9" s="19"/>
      <c r="B9" s="854" t="s">
        <v>57</v>
      </c>
      <c r="C9" s="854"/>
      <c r="D9" s="33" t="s">
        <v>51</v>
      </c>
      <c r="E9" s="34">
        <v>0.19</v>
      </c>
      <c r="F9" s="238">
        <f>SUMIF('Cjenik RS'!$C$11:$C$26,$B9,'Cjenik RS'!$D$11:$D$90)</f>
        <v>105.03</v>
      </c>
      <c r="G9" s="35">
        <f>+F9*E9</f>
        <v>19.9557</v>
      </c>
      <c r="H9" s="12">
        <f>8/E9</f>
        <v>42.10526315789474</v>
      </c>
      <c r="I9" s="19"/>
      <c r="J9" s="854" t="s">
        <v>53</v>
      </c>
      <c r="K9" s="854"/>
      <c r="L9" s="33" t="s">
        <v>51</v>
      </c>
      <c r="M9" s="34">
        <v>0.19</v>
      </c>
      <c r="N9" s="238">
        <f>SUMIF('Cjenik RS'!$C$11:$C$26,$J$9,'Cjenik RS'!$D$11:$D$90)</f>
        <v>98.54</v>
      </c>
      <c r="O9" s="35">
        <f>+N9*M9</f>
        <v>18.7226</v>
      </c>
    </row>
    <row r="10" spans="1:15" ht="25.15" customHeight="1" thickTop="1" thickBot="1">
      <c r="B10" s="47"/>
      <c r="C10" s="24"/>
      <c r="D10" s="25"/>
      <c r="E10" s="850" t="str">
        <f>'Obrazac kalkulacije'!$E$18</f>
        <v>Ukupno (kn):</v>
      </c>
      <c r="F10" s="850"/>
      <c r="G10" s="26">
        <f>ROUND(SUM(G8),2)</f>
        <v>19.96</v>
      </c>
      <c r="H10" s="269" t="e">
        <f>SUMIF(#REF!,$B4,#REF!)</f>
        <v>#REF!</v>
      </c>
      <c r="J10" s="47"/>
      <c r="K10" s="24"/>
      <c r="L10" s="25"/>
      <c r="M10" s="850" t="str">
        <f>'Obrazac kalkulacije'!$E$18</f>
        <v>Ukupno (kn):</v>
      </c>
      <c r="N10" s="850"/>
      <c r="O10" s="26">
        <f>ROUND(SUM(O8),2)</f>
        <v>18.72</v>
      </c>
    </row>
    <row r="11" spans="1:15" ht="25.15" customHeight="1" thickTop="1" thickBot="1">
      <c r="E11" s="27" t="str">
        <f>'Obrazac kalkulacije'!$E$19</f>
        <v>PDV:</v>
      </c>
      <c r="F11" s="259">
        <f>'Obrazac kalkulacije'!$F$19</f>
        <v>0.25</v>
      </c>
      <c r="G11" s="29">
        <f>G10*F11</f>
        <v>4.99</v>
      </c>
      <c r="H11" s="270" t="e">
        <f>H10-G10</f>
        <v>#REF!</v>
      </c>
      <c r="M11" s="27" t="str">
        <f>'Obrazac kalkulacije'!$E$19</f>
        <v>PDV:</v>
      </c>
      <c r="N11" s="259">
        <f>'Obrazac kalkulacije'!$F$19</f>
        <v>0.25</v>
      </c>
      <c r="O11" s="29">
        <f>O10*N11</f>
        <v>4.68</v>
      </c>
    </row>
    <row r="12" spans="1:15" ht="25.15" customHeight="1" thickTop="1" thickBot="1">
      <c r="E12" s="840" t="str">
        <f>'Obrazac kalkulacije'!$E$20</f>
        <v>Sveukupno (kn):</v>
      </c>
      <c r="F12" s="840"/>
      <c r="G12" s="29">
        <f>ROUND(SUM(G10:G11),2)</f>
        <v>24.95</v>
      </c>
      <c r="H12" s="271" t="e">
        <f>G5+H11</f>
        <v>#REF!</v>
      </c>
      <c r="M12" s="840" t="str">
        <f>'Obrazac kalkulacije'!$E$20</f>
        <v>Sveukupno (kn):</v>
      </c>
      <c r="N12" s="840"/>
      <c r="O12" s="29">
        <f>ROUND(SUM(O10:O11),2)</f>
        <v>23.4</v>
      </c>
    </row>
    <row r="13" spans="1:15" ht="15" customHeight="1" thickTop="1"/>
    <row r="14" spans="1:15" ht="15" customHeight="1"/>
    <row r="15" spans="1:15" ht="15" customHeight="1"/>
    <row r="16" spans="1:15" ht="15" customHeight="1">
      <c r="C16" s="3" t="str">
        <f>'Obrazac kalkulacije'!$C$24</f>
        <v>IZVODITELJ:</v>
      </c>
      <c r="F16" s="841" t="str">
        <f>'Obrazac kalkulacije'!$F$24</f>
        <v>NARUČITELJ:</v>
      </c>
      <c r="G16" s="841"/>
      <c r="K16" s="3" t="str">
        <f>'Obrazac kalkulacije'!$C$24</f>
        <v>IZVODITELJ:</v>
      </c>
      <c r="N16" s="841" t="str">
        <f>'Obrazac kalkulacije'!$F$24</f>
        <v>NARUČITELJ:</v>
      </c>
      <c r="O16" s="841"/>
    </row>
    <row r="17" spans="1:15" ht="25.15" customHeight="1">
      <c r="C17" s="3" t="str">
        <f>'Obrazac kalkulacije'!$C$25</f>
        <v>__________________</v>
      </c>
      <c r="F17" s="841" t="str">
        <f>'Obrazac kalkulacije'!$F$25</f>
        <v>___________________</v>
      </c>
      <c r="G17" s="841"/>
      <c r="K17" s="3" t="str">
        <f>'Obrazac kalkulacije'!$C$25</f>
        <v>__________________</v>
      </c>
      <c r="N17" s="841" t="str">
        <f>'Obrazac kalkulacije'!$F$25</f>
        <v>___________________</v>
      </c>
      <c r="O17" s="841"/>
    </row>
    <row r="18" spans="1:15">
      <c r="F18" s="841"/>
      <c r="G18" s="841"/>
      <c r="N18" s="841"/>
      <c r="O18" s="841"/>
    </row>
    <row r="19" spans="1:15" ht="15" customHeight="1"/>
    <row r="20" spans="1:15" ht="15" customHeight="1">
      <c r="A20" s="144"/>
      <c r="B20" s="145" t="s">
        <v>31</v>
      </c>
      <c r="C20" s="836" t="s">
        <v>261</v>
      </c>
      <c r="D20" s="836"/>
      <c r="E20" s="836"/>
      <c r="F20" s="836"/>
      <c r="G20" s="836"/>
      <c r="I20" s="144"/>
      <c r="J20" s="145" t="s">
        <v>31</v>
      </c>
      <c r="K20" s="836" t="s">
        <v>261</v>
      </c>
      <c r="L20" s="836"/>
      <c r="M20" s="836"/>
      <c r="N20" s="836"/>
      <c r="O20" s="836"/>
    </row>
    <row r="21" spans="1:15" ht="15" customHeight="1">
      <c r="A21" s="38"/>
      <c r="B21" s="39" t="s">
        <v>33</v>
      </c>
      <c r="C21" s="860" t="s">
        <v>262</v>
      </c>
      <c r="D21" s="860"/>
      <c r="E21" s="860"/>
      <c r="F21" s="860"/>
      <c r="G21" s="860"/>
      <c r="I21" s="38"/>
      <c r="J21" s="39" t="s">
        <v>33</v>
      </c>
      <c r="K21" s="860" t="s">
        <v>262</v>
      </c>
      <c r="L21" s="860"/>
      <c r="M21" s="860"/>
      <c r="N21" s="860"/>
      <c r="O21" s="860"/>
    </row>
    <row r="22" spans="1:15" ht="150" customHeight="1">
      <c r="A22" s="40"/>
      <c r="B22" s="556" t="s">
        <v>37</v>
      </c>
      <c r="C22" s="852" t="s">
        <v>265</v>
      </c>
      <c r="D22" s="852"/>
      <c r="E22" s="852"/>
      <c r="F22" s="852"/>
      <c r="G22" s="852"/>
      <c r="I22" s="40"/>
      <c r="J22" s="41" t="s">
        <v>37</v>
      </c>
      <c r="K22" s="869" t="s">
        <v>265</v>
      </c>
      <c r="L22" s="869"/>
      <c r="M22" s="869"/>
      <c r="N22" s="869"/>
      <c r="O22" s="869"/>
    </row>
    <row r="23" spans="1:15" ht="15" customHeight="1" thickBot="1"/>
    <row r="24" spans="1:15" ht="30" customHeight="1" thickTop="1" thickBot="1">
      <c r="A24" s="10"/>
      <c r="B24" s="835" t="str">
        <f>'Obrazac kalkulacije'!$B$6:$C$6</f>
        <v>Opis</v>
      </c>
      <c r="C24" s="835"/>
      <c r="D24" s="10" t="str">
        <f>'Obrazac kalkulacije'!$D$6</f>
        <v>Jed.
mjere</v>
      </c>
      <c r="E24" s="10" t="str">
        <f>'Obrazac kalkulacije'!$E$6</f>
        <v>Normativ</v>
      </c>
      <c r="F24" s="10" t="str">
        <f>'Obrazac kalkulacije'!$F$6</f>
        <v>Jed.
cijena</v>
      </c>
      <c r="G24" s="10" t="str">
        <f>'Obrazac kalkulacije'!$G$6</f>
        <v>Iznos</v>
      </c>
      <c r="I24" s="10"/>
      <c r="J24" s="835" t="e">
        <f>'Obrazac kalkulacije'!$B$6:$C$6</f>
        <v>#VALUE!</v>
      </c>
      <c r="K24" s="835"/>
      <c r="L24" s="10" t="str">
        <f>'Obrazac kalkulacije'!$D$6</f>
        <v>Jed.
mjere</v>
      </c>
      <c r="M24" s="10" t="str">
        <f>'Obrazac kalkulacije'!$E$6</f>
        <v>Normativ</v>
      </c>
      <c r="N24" s="10" t="str">
        <f>'Obrazac kalkulacije'!$F$6</f>
        <v>Jed.
cijena</v>
      </c>
      <c r="O24" s="10" t="str">
        <f>'Obrazac kalkulacije'!$G$6</f>
        <v>Iznos</v>
      </c>
    </row>
    <row r="25" spans="1:15" ht="4.5" customHeight="1" thickTop="1">
      <c r="B25" s="42"/>
      <c r="C25" s="1"/>
      <c r="D25" s="11"/>
      <c r="E25" s="13"/>
      <c r="F25" s="258"/>
      <c r="G25" s="15"/>
      <c r="J25" s="42"/>
      <c r="K25" s="1"/>
      <c r="L25" s="11"/>
      <c r="M25" s="13"/>
      <c r="N25" s="258"/>
      <c r="O25" s="15"/>
    </row>
    <row r="26" spans="1:15" ht="25.15" customHeight="1">
      <c r="A26" s="16"/>
      <c r="B26" s="837" t="str">
        <f>'Obrazac kalkulacije'!$B$8</f>
        <v>Radna snaga:</v>
      </c>
      <c r="C26" s="837"/>
      <c r="D26" s="16"/>
      <c r="E26" s="16"/>
      <c r="F26" s="44"/>
      <c r="G26" s="18">
        <f>SUM(G27:G27)</f>
        <v>241.56899999999999</v>
      </c>
      <c r="I26" s="16"/>
      <c r="J26" s="837" t="str">
        <f>'Obrazac kalkulacije'!$B$8</f>
        <v>Radna snaga:</v>
      </c>
      <c r="K26" s="837"/>
      <c r="L26" s="16"/>
      <c r="M26" s="16"/>
      <c r="N26" s="44"/>
      <c r="O26" s="18">
        <f>SUM(O27:O27)</f>
        <v>266.55889293000001</v>
      </c>
    </row>
    <row r="27" spans="1:15" ht="25.15" customHeight="1">
      <c r="A27" s="32"/>
      <c r="B27" s="854" t="s">
        <v>57</v>
      </c>
      <c r="C27" s="854"/>
      <c r="D27" s="33" t="s">
        <v>51</v>
      </c>
      <c r="E27" s="34">
        <v>2.2999999999999998</v>
      </c>
      <c r="F27" s="238">
        <f>SUMIF('Cjenik RS'!$C$11:$C$26,$B27,'Cjenik RS'!$D$11:$D$90)</f>
        <v>105.03</v>
      </c>
      <c r="G27" s="35">
        <f>+F27*E27</f>
        <v>241.56899999999999</v>
      </c>
      <c r="H27" s="2">
        <f>8/E27</f>
        <v>3.4782608695652177</v>
      </c>
      <c r="I27" s="32"/>
      <c r="J27" s="854" t="s">
        <v>57</v>
      </c>
      <c r="K27" s="854"/>
      <c r="L27" s="33" t="s">
        <v>51</v>
      </c>
      <c r="M27" s="34">
        <v>2.5379309999999999</v>
      </c>
      <c r="N27" s="238">
        <f>SUMIF('Cjenik RS'!$C$11:$C$26,$J27,'Cjenik RS'!$D$11:$D$90)</f>
        <v>105.03</v>
      </c>
      <c r="O27" s="35">
        <f>+N27*M27</f>
        <v>266.55889293000001</v>
      </c>
    </row>
    <row r="28" spans="1:15" ht="25.15" customHeight="1">
      <c r="A28" s="88"/>
      <c r="B28" s="837" t="str">
        <f>'Obrazac kalkulacije'!$B$11</f>
        <v>Vozila, strojevi i oprema:</v>
      </c>
      <c r="C28" s="837"/>
      <c r="D28" s="16"/>
      <c r="E28" s="16"/>
      <c r="F28" s="238"/>
      <c r="G28" s="18">
        <f>SUM(G29:G29)</f>
        <v>41.308</v>
      </c>
      <c r="I28" s="88"/>
      <c r="J28" s="837" t="str">
        <f>'Obrazac kalkulacije'!$B$11</f>
        <v>Vozila, strojevi i oprema:</v>
      </c>
      <c r="K28" s="837"/>
      <c r="L28" s="16"/>
      <c r="M28" s="16"/>
      <c r="N28" s="238"/>
      <c r="O28" s="18">
        <f>SUM(O29:O29)</f>
        <v>44.652331600000004</v>
      </c>
    </row>
    <row r="29" spans="1:15" ht="25.15" customHeight="1" thickBot="1">
      <c r="A29" s="43"/>
      <c r="B29" s="849" t="s">
        <v>69</v>
      </c>
      <c r="C29" s="849"/>
      <c r="D29" s="52" t="s">
        <v>51</v>
      </c>
      <c r="E29" s="86">
        <v>0.23</v>
      </c>
      <c r="F29" s="260">
        <f>SUMIF('Cjenik VSO'!$B$9:$B$85,$B29,'Cjenik VSO'!$C$9:$C$85)</f>
        <v>179.6</v>
      </c>
      <c r="G29" s="54">
        <f>E29*F29</f>
        <v>41.308</v>
      </c>
      <c r="I29" s="43"/>
      <c r="J29" s="849" t="s">
        <v>69</v>
      </c>
      <c r="K29" s="849"/>
      <c r="L29" s="52" t="s">
        <v>51</v>
      </c>
      <c r="M29" s="86">
        <v>0.24862100000000001</v>
      </c>
      <c r="N29" s="260">
        <f>SUMIF('Cjenik VSO'!$B$9:$B$85,$B29,'Cjenik VSO'!$C$9:$C$85)</f>
        <v>179.6</v>
      </c>
      <c r="O29" s="54">
        <f>M29*N29</f>
        <v>44.652331600000004</v>
      </c>
    </row>
    <row r="30" spans="1:15" ht="25.15" customHeight="1" thickTop="1" thickBot="1">
      <c r="B30" s="47"/>
      <c r="C30" s="24"/>
      <c r="D30" s="25"/>
      <c r="E30" s="850" t="str">
        <f>'Obrazac kalkulacije'!$E$18</f>
        <v>Ukupno (kn):</v>
      </c>
      <c r="F30" s="850"/>
      <c r="G30" s="26">
        <f>ROUND(SUM(G26+G28),2)</f>
        <v>282.88</v>
      </c>
      <c r="H30" s="269" t="e">
        <f>SUMIF(#REF!,$B22,#REF!)</f>
        <v>#REF!</v>
      </c>
      <c r="J30" s="47"/>
      <c r="K30" s="24"/>
      <c r="L30" s="25"/>
      <c r="M30" s="850" t="str">
        <f>'Obrazac kalkulacije'!$E$18</f>
        <v>Ukupno (kn):</v>
      </c>
      <c r="N30" s="850"/>
      <c r="O30" s="26">
        <f>ROUND(SUM(O26+O28),2)</f>
        <v>311.20999999999998</v>
      </c>
    </row>
    <row r="31" spans="1:15" ht="25.15" customHeight="1" thickTop="1" thickBot="1">
      <c r="E31" s="27" t="str">
        <f>'Obrazac kalkulacije'!$E$19</f>
        <v>PDV:</v>
      </c>
      <c r="F31" s="259">
        <f>'Obrazac kalkulacije'!$F$19</f>
        <v>0.25</v>
      </c>
      <c r="G31" s="29">
        <f>G30*F31</f>
        <v>70.72</v>
      </c>
      <c r="H31" s="270" t="e">
        <f>H30-G30</f>
        <v>#REF!</v>
      </c>
      <c r="M31" s="27" t="str">
        <f>'Obrazac kalkulacije'!$E$19</f>
        <v>PDV:</v>
      </c>
      <c r="N31" s="259">
        <f>'Obrazac kalkulacije'!$F$19</f>
        <v>0.25</v>
      </c>
      <c r="O31" s="29">
        <f>O30*N31</f>
        <v>77.802499999999995</v>
      </c>
    </row>
    <row r="32" spans="1:15" ht="25.15" customHeight="1" thickTop="1" thickBot="1">
      <c r="E32" s="840" t="str">
        <f>'Obrazac kalkulacije'!$E$20</f>
        <v>Sveukupno (kn):</v>
      </c>
      <c r="F32" s="840"/>
      <c r="G32" s="29">
        <f>ROUND(SUM(G30:G31),2)</f>
        <v>353.6</v>
      </c>
      <c r="H32" s="271" t="e">
        <f>G29+H31</f>
        <v>#REF!</v>
      </c>
      <c r="M32" s="840" t="str">
        <f>'Obrazac kalkulacije'!$E$20</f>
        <v>Sveukupno (kn):</v>
      </c>
      <c r="N32" s="840"/>
      <c r="O32" s="29">
        <f>ROUND(SUM(O30:O31),2)</f>
        <v>389.01</v>
      </c>
    </row>
    <row r="33" spans="1:15" ht="15" customHeight="1" thickTop="1"/>
    <row r="34" spans="1:15" ht="15" customHeight="1"/>
    <row r="35" spans="1:15" ht="15" customHeight="1"/>
    <row r="36" spans="1:15" ht="15" customHeight="1">
      <c r="C36" s="3" t="str">
        <f>'Obrazac kalkulacije'!$C$24</f>
        <v>IZVODITELJ:</v>
      </c>
      <c r="F36" s="841" t="str">
        <f>'Obrazac kalkulacije'!$F$24</f>
        <v>NARUČITELJ:</v>
      </c>
      <c r="G36" s="841"/>
      <c r="K36" s="3" t="str">
        <f>'Obrazac kalkulacije'!$C$24</f>
        <v>IZVODITELJ:</v>
      </c>
      <c r="N36" s="841" t="str">
        <f>'Obrazac kalkulacije'!$F$24</f>
        <v>NARUČITELJ:</v>
      </c>
      <c r="O36" s="841"/>
    </row>
    <row r="37" spans="1:15" ht="25.15" customHeight="1">
      <c r="C37" s="3" t="str">
        <f>'Obrazac kalkulacije'!$C$25</f>
        <v>__________________</v>
      </c>
      <c r="F37" s="841" t="str">
        <f>'Obrazac kalkulacije'!$F$25</f>
        <v>___________________</v>
      </c>
      <c r="G37" s="841"/>
      <c r="K37" s="3" t="str">
        <f>'Obrazac kalkulacije'!$C$25</f>
        <v>__________________</v>
      </c>
      <c r="N37" s="841" t="str">
        <f>'Obrazac kalkulacije'!$F$25</f>
        <v>___________________</v>
      </c>
      <c r="O37" s="841"/>
    </row>
    <row r="38" spans="1:15" ht="15" customHeight="1">
      <c r="F38" s="841"/>
      <c r="G38" s="841"/>
      <c r="N38" s="841"/>
      <c r="O38" s="841"/>
    </row>
    <row r="39" spans="1:15" ht="15" customHeight="1"/>
    <row r="40" spans="1:15" ht="15" customHeight="1">
      <c r="A40" s="144"/>
      <c r="B40" s="145" t="s">
        <v>31</v>
      </c>
      <c r="C40" s="836" t="s">
        <v>261</v>
      </c>
      <c r="D40" s="836"/>
      <c r="E40" s="836"/>
      <c r="F40" s="836"/>
      <c r="G40" s="836"/>
      <c r="I40" s="144"/>
      <c r="J40" s="145" t="s">
        <v>31</v>
      </c>
      <c r="K40" s="836" t="s">
        <v>261</v>
      </c>
      <c r="L40" s="836"/>
      <c r="M40" s="836"/>
      <c r="N40" s="836"/>
      <c r="O40" s="836"/>
    </row>
    <row r="41" spans="1:15" ht="15" customHeight="1">
      <c r="A41" s="38"/>
      <c r="B41" s="39" t="s">
        <v>33</v>
      </c>
      <c r="C41" s="860" t="s">
        <v>262</v>
      </c>
      <c r="D41" s="860"/>
      <c r="E41" s="860"/>
      <c r="F41" s="860"/>
      <c r="G41" s="860"/>
      <c r="I41" s="38"/>
      <c r="J41" s="39" t="s">
        <v>33</v>
      </c>
      <c r="K41" s="860" t="s">
        <v>262</v>
      </c>
      <c r="L41" s="860"/>
      <c r="M41" s="860"/>
      <c r="N41" s="860"/>
      <c r="O41" s="860"/>
    </row>
    <row r="42" spans="1:15" ht="150" customHeight="1">
      <c r="A42" s="40"/>
      <c r="B42" s="556" t="s">
        <v>38</v>
      </c>
      <c r="C42" s="852" t="s">
        <v>266</v>
      </c>
      <c r="D42" s="852"/>
      <c r="E42" s="852"/>
      <c r="F42" s="852"/>
      <c r="G42" s="852"/>
      <c r="I42" s="40"/>
      <c r="J42" s="41" t="s">
        <v>38</v>
      </c>
      <c r="K42" s="869" t="s">
        <v>266</v>
      </c>
      <c r="L42" s="869"/>
      <c r="M42" s="869"/>
      <c r="N42" s="869"/>
      <c r="O42" s="869"/>
    </row>
    <row r="43" spans="1:15" ht="15" customHeight="1" thickBot="1"/>
    <row r="44" spans="1:15" ht="30" customHeight="1" thickTop="1" thickBot="1">
      <c r="A44" s="10"/>
      <c r="B44" s="835" t="str">
        <f>'Obrazac kalkulacije'!$B$6:$C$6</f>
        <v>Opis</v>
      </c>
      <c r="C44" s="835"/>
      <c r="D44" s="10" t="str">
        <f>'Obrazac kalkulacije'!$D$6</f>
        <v>Jed.
mjere</v>
      </c>
      <c r="E44" s="10" t="str">
        <f>'Obrazac kalkulacije'!$E$6</f>
        <v>Normativ</v>
      </c>
      <c r="F44" s="10" t="str">
        <f>'Obrazac kalkulacije'!$F$6</f>
        <v>Jed.
cijena</v>
      </c>
      <c r="G44" s="10" t="str">
        <f>'Obrazac kalkulacije'!$G$6</f>
        <v>Iznos</v>
      </c>
      <c r="H44" s="622">
        <v>275</v>
      </c>
      <c r="I44" s="10"/>
      <c r="J44" s="835" t="e">
        <f>'Obrazac kalkulacije'!$B$6:$C$6</f>
        <v>#VALUE!</v>
      </c>
      <c r="K44" s="835"/>
      <c r="L44" s="10" t="str">
        <f>'Obrazac kalkulacije'!$D$6</f>
        <v>Jed.
mjere</v>
      </c>
      <c r="M44" s="10" t="str">
        <f>'Obrazac kalkulacije'!$E$6</f>
        <v>Normativ</v>
      </c>
      <c r="N44" s="10" t="str">
        <f>'Obrazac kalkulacije'!$F$6</f>
        <v>Jed.
cijena</v>
      </c>
      <c r="O44" s="10" t="str">
        <f>'Obrazac kalkulacije'!$G$6</f>
        <v>Iznos</v>
      </c>
    </row>
    <row r="45" spans="1:15" ht="4.5" customHeight="1" thickTop="1">
      <c r="B45" s="42"/>
      <c r="C45" s="1"/>
      <c r="D45" s="11"/>
      <c r="E45" s="13"/>
      <c r="F45" s="258"/>
      <c r="G45" s="15"/>
      <c r="H45" s="622"/>
      <c r="J45" s="42"/>
      <c r="K45" s="1"/>
      <c r="L45" s="11"/>
      <c r="M45" s="13"/>
      <c r="N45" s="258"/>
      <c r="O45" s="15"/>
    </row>
    <row r="46" spans="1:15" ht="25.15" customHeight="1">
      <c r="A46" s="16"/>
      <c r="B46" s="837" t="str">
        <f>'Obrazac kalkulacije'!$B$8</f>
        <v>Radna snaga:</v>
      </c>
      <c r="C46" s="837"/>
      <c r="D46" s="16"/>
      <c r="E46" s="16"/>
      <c r="F46" s="44"/>
      <c r="G46" s="18">
        <f>SUM(G47:G47)</f>
        <v>6.1108363636363636</v>
      </c>
      <c r="H46" s="622"/>
      <c r="I46" s="16"/>
      <c r="J46" s="837" t="str">
        <f>'Obrazac kalkulacije'!$B$8</f>
        <v>Radna snaga:</v>
      </c>
      <c r="K46" s="837"/>
      <c r="L46" s="16"/>
      <c r="M46" s="16"/>
      <c r="N46" s="44"/>
      <c r="O46" s="18">
        <f>SUM(O47:O47)</f>
        <v>5.5231075800000005</v>
      </c>
    </row>
    <row r="47" spans="1:15" ht="25.15" customHeight="1">
      <c r="A47" s="32"/>
      <c r="B47" s="854" t="s">
        <v>57</v>
      </c>
      <c r="C47" s="854"/>
      <c r="D47" s="33" t="s">
        <v>51</v>
      </c>
      <c r="E47" s="34">
        <f>H47/H$44</f>
        <v>5.8181818181818182E-2</v>
      </c>
      <c r="F47" s="238">
        <f>SUMIF('Cjenik RS'!$C$11:$C$26,$B47,'Cjenik RS'!$D$11:$D$90)</f>
        <v>105.03</v>
      </c>
      <c r="G47" s="35">
        <f>+F47*E47</f>
        <v>6.1108363636363636</v>
      </c>
      <c r="H47" s="622">
        <v>16</v>
      </c>
      <c r="I47" s="32"/>
      <c r="J47" s="854" t="s">
        <v>57</v>
      </c>
      <c r="K47" s="854"/>
      <c r="L47" s="33" t="s">
        <v>51</v>
      </c>
      <c r="M47" s="34">
        <v>5.2586000000000001E-2</v>
      </c>
      <c r="N47" s="238">
        <f>SUMIF('Cjenik RS'!$C$11:$C$26,$J47,'Cjenik RS'!$D$11:$D$90)</f>
        <v>105.03</v>
      </c>
      <c r="O47" s="35">
        <f>+N47*M47</f>
        <v>5.5231075800000005</v>
      </c>
    </row>
    <row r="48" spans="1:15" ht="25.15" customHeight="1">
      <c r="A48" s="16"/>
      <c r="B48" s="837" t="str">
        <f>'Obrazac kalkulacije'!$B$11</f>
        <v>Vozila, strojevi i oprema:</v>
      </c>
      <c r="C48" s="837"/>
      <c r="D48" s="16"/>
      <c r="E48" s="16"/>
      <c r="F48" s="238"/>
      <c r="G48" s="18">
        <f>SUM(G49:G50)</f>
        <v>16.613527272727275</v>
      </c>
      <c r="H48" s="622"/>
      <c r="I48" s="16"/>
      <c r="J48" s="837" t="str">
        <f>'Obrazac kalkulacije'!$B$11</f>
        <v>Vozila, strojevi i oprema:</v>
      </c>
      <c r="K48" s="837"/>
      <c r="L48" s="16"/>
      <c r="M48" s="16"/>
      <c r="N48" s="238"/>
      <c r="O48" s="18">
        <f>SUM(O49:O50)</f>
        <v>16.246368320000002</v>
      </c>
    </row>
    <row r="49" spans="1:15" ht="25.15" customHeight="1">
      <c r="A49" s="51"/>
      <c r="B49" s="849" t="s">
        <v>97</v>
      </c>
      <c r="C49" s="849"/>
      <c r="D49" s="52" t="s">
        <v>51</v>
      </c>
      <c r="E49" s="34">
        <f>H49/H$44</f>
        <v>2.9090909090909091E-2</v>
      </c>
      <c r="F49" s="260">
        <f>SUMIF('Cjenik VSO'!$B$9:$B$85,$B49,'Cjenik VSO'!$C$9:$C$85)</f>
        <v>279.37</v>
      </c>
      <c r="G49" s="54">
        <f>E49*F49</f>
        <v>8.1271272727272734</v>
      </c>
      <c r="H49" s="622">
        <v>8</v>
      </c>
      <c r="I49" s="51"/>
      <c r="J49" s="849" t="s">
        <v>97</v>
      </c>
      <c r="K49" s="849"/>
      <c r="L49" s="52" t="s">
        <v>51</v>
      </c>
      <c r="M49" s="135">
        <v>2.8448000000000001E-2</v>
      </c>
      <c r="N49" s="260">
        <f>SUMIF('Cjenik VSO'!$B$9:$B$85,$B49,'Cjenik VSO'!$C$9:$C$85)</f>
        <v>279.37</v>
      </c>
      <c r="O49" s="54">
        <f>M49*N49</f>
        <v>7.9475177600000002</v>
      </c>
    </row>
    <row r="50" spans="1:15" ht="25.15" customHeight="1" thickBot="1">
      <c r="A50" s="66"/>
      <c r="B50" s="858" t="s">
        <v>73</v>
      </c>
      <c r="C50" s="858"/>
      <c r="D50" s="67" t="s">
        <v>51</v>
      </c>
      <c r="E50" s="34">
        <f>H50/H$44</f>
        <v>2.9090909090909091E-2</v>
      </c>
      <c r="F50" s="262">
        <f>SUMIF('Cjenik VSO'!$B$9:$B$85,$B50,'Cjenik VSO'!$C$9:$C$85)</f>
        <v>291.72000000000003</v>
      </c>
      <c r="G50" s="69">
        <f>E50*F50</f>
        <v>8.4864000000000015</v>
      </c>
      <c r="H50" s="622">
        <v>8</v>
      </c>
      <c r="I50" s="66"/>
      <c r="J50" s="858" t="s">
        <v>73</v>
      </c>
      <c r="K50" s="858"/>
      <c r="L50" s="67" t="s">
        <v>51</v>
      </c>
      <c r="M50" s="103">
        <v>2.8448000000000001E-2</v>
      </c>
      <c r="N50" s="262">
        <f>SUMIF('Cjenik VSO'!$B$9:$B$85,$B50,'Cjenik VSO'!$C$9:$C$85)</f>
        <v>291.72000000000003</v>
      </c>
      <c r="O50" s="69">
        <f>M50*N50</f>
        <v>8.2988505600000018</v>
      </c>
    </row>
    <row r="51" spans="1:15" ht="25.15" customHeight="1" thickTop="1" thickBot="1">
      <c r="B51" s="47"/>
      <c r="C51" s="24"/>
      <c r="D51" s="25"/>
      <c r="E51" s="850" t="str">
        <f>'Obrazac kalkulacije'!$E$18</f>
        <v>Ukupno (kn):</v>
      </c>
      <c r="F51" s="850"/>
      <c r="G51" s="26">
        <f>ROUND(SUM(G46+G48),2)</f>
        <v>22.72</v>
      </c>
      <c r="H51" s="269" t="e">
        <f>SUMIF(#REF!,$B42,#REF!)</f>
        <v>#REF!</v>
      </c>
      <c r="J51" s="47"/>
      <c r="K51" s="24"/>
      <c r="L51" s="25"/>
      <c r="M51" s="850" t="str">
        <f>'Obrazac kalkulacije'!$E$18</f>
        <v>Ukupno (kn):</v>
      </c>
      <c r="N51" s="850"/>
      <c r="O51" s="26">
        <f>ROUND(SUM(O46+O48),2)</f>
        <v>21.77</v>
      </c>
    </row>
    <row r="52" spans="1:15" ht="25.15" customHeight="1" thickTop="1" thickBot="1">
      <c r="E52" s="27" t="str">
        <f>'Obrazac kalkulacije'!$E$19</f>
        <v>PDV:</v>
      </c>
      <c r="F52" s="259">
        <f>'Obrazac kalkulacije'!$F$19</f>
        <v>0.25</v>
      </c>
      <c r="G52" s="29">
        <f>G51*F52</f>
        <v>5.68</v>
      </c>
      <c r="H52" s="270" t="e">
        <f>H51-G51</f>
        <v>#REF!</v>
      </c>
      <c r="M52" s="27" t="str">
        <f>'Obrazac kalkulacije'!$E$19</f>
        <v>PDV:</v>
      </c>
      <c r="N52" s="259">
        <f>'Obrazac kalkulacije'!$F$19</f>
        <v>0.25</v>
      </c>
      <c r="O52" s="29">
        <f>O51*N52</f>
        <v>5.4424999999999999</v>
      </c>
    </row>
    <row r="53" spans="1:15" ht="25.15" customHeight="1" thickTop="1" thickBot="1">
      <c r="E53" s="840" t="str">
        <f>'Obrazac kalkulacije'!$E$20</f>
        <v>Sveukupno (kn):</v>
      </c>
      <c r="F53" s="840"/>
      <c r="G53" s="29">
        <f>ROUND(SUM(G51:G52),2)</f>
        <v>28.4</v>
      </c>
      <c r="H53" s="271" t="e">
        <f>G50+H52</f>
        <v>#REF!</v>
      </c>
      <c r="M53" s="840" t="str">
        <f>'Obrazac kalkulacije'!$E$20</f>
        <v>Sveukupno (kn):</v>
      </c>
      <c r="N53" s="840"/>
      <c r="O53" s="29">
        <f>ROUND(SUM(O51:O52),2)</f>
        <v>27.21</v>
      </c>
    </row>
    <row r="54" spans="1:15" ht="15" customHeight="1" thickTop="1"/>
    <row r="55" spans="1:15" ht="15" customHeight="1"/>
    <row r="56" spans="1:15" ht="15" customHeight="1"/>
    <row r="57" spans="1:15" ht="15" customHeight="1">
      <c r="C57" s="3" t="str">
        <f>'Obrazac kalkulacije'!$C$24</f>
        <v>IZVODITELJ:</v>
      </c>
      <c r="F57" s="841" t="str">
        <f>'Obrazac kalkulacije'!$F$24</f>
        <v>NARUČITELJ:</v>
      </c>
      <c r="G57" s="841"/>
      <c r="K57" s="3" t="str">
        <f>'Obrazac kalkulacije'!$C$24</f>
        <v>IZVODITELJ:</v>
      </c>
      <c r="N57" s="841" t="str">
        <f>'Obrazac kalkulacije'!$F$24</f>
        <v>NARUČITELJ:</v>
      </c>
      <c r="O57" s="841"/>
    </row>
    <row r="58" spans="1:15" ht="25.15" customHeight="1">
      <c r="C58" s="3" t="str">
        <f>'Obrazac kalkulacije'!$C$25</f>
        <v>__________________</v>
      </c>
      <c r="F58" s="841" t="str">
        <f>'Obrazac kalkulacije'!$F$25</f>
        <v>___________________</v>
      </c>
      <c r="G58" s="841"/>
      <c r="K58" s="3" t="str">
        <f>'Obrazac kalkulacije'!$C$25</f>
        <v>__________________</v>
      </c>
      <c r="N58" s="841" t="str">
        <f>'Obrazac kalkulacije'!$F$25</f>
        <v>___________________</v>
      </c>
      <c r="O58" s="841"/>
    </row>
    <row r="59" spans="1:15" ht="15" customHeight="1">
      <c r="F59" s="841"/>
      <c r="G59" s="841"/>
      <c r="N59" s="841"/>
      <c r="O59" s="841"/>
    </row>
    <row r="60" spans="1:15" ht="15" customHeight="1"/>
    <row r="61" spans="1:15" ht="15" customHeight="1">
      <c r="A61" s="144"/>
      <c r="B61" s="145" t="s">
        <v>31</v>
      </c>
      <c r="C61" s="836" t="s">
        <v>261</v>
      </c>
      <c r="D61" s="836"/>
      <c r="E61" s="836"/>
      <c r="F61" s="836"/>
      <c r="G61" s="836"/>
      <c r="I61" s="144"/>
      <c r="J61" s="145" t="s">
        <v>31</v>
      </c>
      <c r="K61" s="836" t="s">
        <v>261</v>
      </c>
      <c r="L61" s="836"/>
      <c r="M61" s="836"/>
      <c r="N61" s="836"/>
      <c r="O61" s="836"/>
    </row>
    <row r="62" spans="1:15" ht="15" customHeight="1">
      <c r="A62" s="38"/>
      <c r="B62" s="39" t="s">
        <v>33</v>
      </c>
      <c r="C62" s="860" t="s">
        <v>262</v>
      </c>
      <c r="D62" s="860"/>
      <c r="E62" s="860"/>
      <c r="F62" s="860"/>
      <c r="G62" s="860"/>
      <c r="I62" s="38"/>
      <c r="J62" s="39" t="s">
        <v>33</v>
      </c>
      <c r="K62" s="860" t="s">
        <v>262</v>
      </c>
      <c r="L62" s="860"/>
      <c r="M62" s="860"/>
      <c r="N62" s="860"/>
      <c r="O62" s="860"/>
    </row>
    <row r="63" spans="1:15" ht="150" customHeight="1">
      <c r="A63" s="40"/>
      <c r="B63" s="556" t="s">
        <v>267</v>
      </c>
      <c r="C63" s="852" t="s">
        <v>268</v>
      </c>
      <c r="D63" s="852"/>
      <c r="E63" s="852"/>
      <c r="F63" s="852"/>
      <c r="G63" s="852"/>
      <c r="I63" s="40"/>
      <c r="J63" s="41" t="s">
        <v>267</v>
      </c>
      <c r="K63" s="869" t="s">
        <v>268</v>
      </c>
      <c r="L63" s="869"/>
      <c r="M63" s="869"/>
      <c r="N63" s="869"/>
      <c r="O63" s="869"/>
    </row>
    <row r="64" spans="1:15" ht="15" customHeight="1" thickBot="1"/>
    <row r="65" spans="1:15" ht="30" customHeight="1" thickTop="1" thickBot="1">
      <c r="A65" s="10"/>
      <c r="B65" s="835" t="str">
        <f>'Obrazac kalkulacije'!$B$6:$C$6</f>
        <v>Opis</v>
      </c>
      <c r="C65" s="835"/>
      <c r="D65" s="10" t="str">
        <f>'Obrazac kalkulacije'!$D$6</f>
        <v>Jed.
mjere</v>
      </c>
      <c r="E65" s="10" t="str">
        <f>'Obrazac kalkulacije'!$E$6</f>
        <v>Normativ</v>
      </c>
      <c r="F65" s="10" t="str">
        <f>'Obrazac kalkulacije'!$F$6</f>
        <v>Jed.
cijena</v>
      </c>
      <c r="G65" s="10" t="str">
        <f>'Obrazac kalkulacije'!$G$6</f>
        <v>Iznos</v>
      </c>
      <c r="H65" s="2">
        <v>95</v>
      </c>
      <c r="I65" s="10"/>
      <c r="J65" s="835" t="e">
        <f>'Obrazac kalkulacije'!$B$6:$C$6</f>
        <v>#VALUE!</v>
      </c>
      <c r="K65" s="835"/>
      <c r="L65" s="10" t="str">
        <f>'Obrazac kalkulacije'!$D$6</f>
        <v>Jed.
mjere</v>
      </c>
      <c r="M65" s="10" t="str">
        <f>'Obrazac kalkulacije'!$E$6</f>
        <v>Normativ</v>
      </c>
      <c r="N65" s="10" t="str">
        <f>'Obrazac kalkulacije'!$F$6</f>
        <v>Jed.
cijena</v>
      </c>
      <c r="O65" s="10" t="str">
        <f>'Obrazac kalkulacije'!$G$6</f>
        <v>Iznos</v>
      </c>
    </row>
    <row r="66" spans="1:15" ht="4.5" customHeight="1" thickTop="1">
      <c r="B66" s="42"/>
      <c r="C66" s="1"/>
      <c r="D66" s="11"/>
      <c r="E66" s="13"/>
      <c r="F66" s="258"/>
      <c r="G66" s="15"/>
      <c r="J66" s="42"/>
      <c r="K66" s="1"/>
      <c r="L66" s="11"/>
      <c r="M66" s="13"/>
      <c r="N66" s="258"/>
      <c r="O66" s="15"/>
    </row>
    <row r="67" spans="1:15" ht="25.15" customHeight="1">
      <c r="A67" s="16"/>
      <c r="B67" s="837" t="str">
        <f>'Obrazac kalkulacije'!$B$8</f>
        <v>Radna snaga:</v>
      </c>
      <c r="C67" s="837"/>
      <c r="D67" s="16"/>
      <c r="E67" s="16"/>
      <c r="F67" s="44"/>
      <c r="G67" s="18">
        <f>SUM(G68:G68)</f>
        <v>8.844631578947368</v>
      </c>
      <c r="I67" s="16"/>
      <c r="J67" s="837" t="str">
        <f>'Obrazac kalkulacije'!$B$8</f>
        <v>Radna snaga:</v>
      </c>
      <c r="K67" s="837"/>
      <c r="L67" s="16"/>
      <c r="M67" s="16"/>
      <c r="N67" s="44"/>
      <c r="O67" s="18">
        <f>SUM(O68:O68)</f>
        <v>7.7263218900000004</v>
      </c>
    </row>
    <row r="68" spans="1:15" ht="25.15" customHeight="1">
      <c r="A68" s="32"/>
      <c r="B68" s="854" t="s">
        <v>57</v>
      </c>
      <c r="C68" s="854"/>
      <c r="D68" s="33" t="s">
        <v>51</v>
      </c>
      <c r="E68" s="34">
        <f>H68/H$65</f>
        <v>8.4210526315789472E-2</v>
      </c>
      <c r="F68" s="238">
        <f>SUMIF('Cjenik RS'!$C$11:$C$26,$B68,'Cjenik RS'!$D$11:$D$90)</f>
        <v>105.03</v>
      </c>
      <c r="G68" s="35">
        <f>E68*F68</f>
        <v>8.844631578947368</v>
      </c>
      <c r="H68" s="2">
        <v>8</v>
      </c>
      <c r="I68" s="32"/>
      <c r="J68" s="854" t="s">
        <v>57</v>
      </c>
      <c r="K68" s="854"/>
      <c r="L68" s="33" t="s">
        <v>51</v>
      </c>
      <c r="M68" s="34">
        <v>7.3563000000000003E-2</v>
      </c>
      <c r="N68" s="238">
        <f>SUMIF('Cjenik RS'!$C$11:$C$26,$J68,'Cjenik RS'!$D$11:$D$90)</f>
        <v>105.03</v>
      </c>
      <c r="O68" s="35">
        <f>M68*N68</f>
        <v>7.7263218900000004</v>
      </c>
    </row>
    <row r="69" spans="1:15" ht="25.15" customHeight="1">
      <c r="A69" s="16"/>
      <c r="B69" s="837" t="str">
        <f>'Obrazac kalkulacije'!$B$11</f>
        <v>Vozila, strojevi i oprema:</v>
      </c>
      <c r="C69" s="837"/>
      <c r="D69" s="16"/>
      <c r="E69" s="16"/>
      <c r="F69" s="238"/>
      <c r="G69" s="18">
        <f>SUM(G70:G71)</f>
        <v>48.091789473684216</v>
      </c>
      <c r="I69" s="16"/>
      <c r="J69" s="837" t="str">
        <f>'Obrazac kalkulacije'!$B$11</f>
        <v>Vozila, strojevi i oprema:</v>
      </c>
      <c r="K69" s="837"/>
      <c r="L69" s="16"/>
      <c r="M69" s="16"/>
      <c r="N69" s="238"/>
      <c r="O69" s="18">
        <f>SUM(O70:O71)</f>
        <v>43.324029580000001</v>
      </c>
    </row>
    <row r="70" spans="1:15" ht="25.15" customHeight="1">
      <c r="A70" s="16"/>
      <c r="B70" s="838" t="s">
        <v>73</v>
      </c>
      <c r="C70" s="838"/>
      <c r="D70" s="44" t="s">
        <v>51</v>
      </c>
      <c r="E70" s="104">
        <f>H70/H$65</f>
        <v>8.4210526315789472E-2</v>
      </c>
      <c r="F70" s="238">
        <f>SUMIF('Cjenik VSO'!$B$9:$B$85,$B70,'Cjenik VSO'!$C$9:$C$85)</f>
        <v>291.72000000000003</v>
      </c>
      <c r="G70" s="46">
        <f>E70*F70</f>
        <v>24.565894736842107</v>
      </c>
      <c r="H70" s="2">
        <v>8</v>
      </c>
      <c r="I70" s="51"/>
      <c r="J70" s="863" t="s">
        <v>73</v>
      </c>
      <c r="K70" s="863"/>
      <c r="L70" s="52" t="s">
        <v>51</v>
      </c>
      <c r="M70" s="53">
        <v>7.5861999999999999E-2</v>
      </c>
      <c r="N70" s="260">
        <f>SUMIF('Cjenik VSO'!$B$9:$B$85,$B70,'Cjenik VSO'!$C$9:$C$85)</f>
        <v>291.72000000000003</v>
      </c>
      <c r="O70" s="55">
        <f>M70*N70</f>
        <v>22.130462640000001</v>
      </c>
    </row>
    <row r="71" spans="1:15" ht="25.15" customHeight="1" thickBot="1">
      <c r="A71" s="16"/>
      <c r="B71" s="838" t="s">
        <v>97</v>
      </c>
      <c r="C71" s="838"/>
      <c r="D71" s="44" t="s">
        <v>51</v>
      </c>
      <c r="E71" s="104">
        <f>H71/H$65</f>
        <v>8.4210526315789472E-2</v>
      </c>
      <c r="F71" s="238">
        <f>SUMIF('Cjenik VSO'!$B$9:$B$85,$B71,'Cjenik VSO'!$C$9:$C$85)</f>
        <v>279.37</v>
      </c>
      <c r="G71" s="46">
        <f>E71*F71</f>
        <v>23.525894736842105</v>
      </c>
      <c r="H71" s="2">
        <v>8</v>
      </c>
      <c r="I71" s="66"/>
      <c r="J71" s="859" t="s">
        <v>97</v>
      </c>
      <c r="K71" s="859"/>
      <c r="L71" s="67" t="s">
        <v>51</v>
      </c>
      <c r="M71" s="68">
        <v>7.5861999999999999E-2</v>
      </c>
      <c r="N71" s="262">
        <f>SUMIF('Cjenik VSO'!$B$9:$B$85,$B71,'Cjenik VSO'!$C$9:$C$85)</f>
        <v>279.37</v>
      </c>
      <c r="O71" s="70">
        <f>M71*N71</f>
        <v>21.19356694</v>
      </c>
    </row>
    <row r="72" spans="1:15" ht="25.15" customHeight="1" thickTop="1" thickBot="1">
      <c r="E72" s="868" t="str">
        <f>'Obrazac kalkulacije'!$E$18</f>
        <v>Ukupno (kn):</v>
      </c>
      <c r="F72" s="868"/>
      <c r="G72" s="71">
        <f>ROUND(SUM(G67+G69),2)</f>
        <v>56.94</v>
      </c>
      <c r="H72" s="269" t="e">
        <f>SUMIF(#REF!,$B63,#REF!)</f>
        <v>#REF!</v>
      </c>
      <c r="M72" s="868" t="str">
        <f>'Obrazac kalkulacije'!$E$18</f>
        <v>Ukupno (kn):</v>
      </c>
      <c r="N72" s="868"/>
      <c r="O72" s="71">
        <f>ROUND(SUM(O67+O69),2)</f>
        <v>51.05</v>
      </c>
    </row>
    <row r="73" spans="1:15" ht="25.15" customHeight="1" thickTop="1" thickBot="1">
      <c r="E73" s="27" t="str">
        <f>'Obrazac kalkulacije'!$E$19</f>
        <v>PDV:</v>
      </c>
      <c r="F73" s="259">
        <f>'Obrazac kalkulacije'!$F$19</f>
        <v>0.25</v>
      </c>
      <c r="G73" s="29">
        <f>G72*F73</f>
        <v>14.234999999999999</v>
      </c>
      <c r="H73" s="270" t="e">
        <f>H72-G72</f>
        <v>#REF!</v>
      </c>
      <c r="M73" s="27" t="str">
        <f>'Obrazac kalkulacije'!$E$19</f>
        <v>PDV:</v>
      </c>
      <c r="N73" s="259">
        <f>'Obrazac kalkulacije'!$F$19</f>
        <v>0.25</v>
      </c>
      <c r="O73" s="29">
        <f>O72*N73</f>
        <v>12.762499999999999</v>
      </c>
    </row>
    <row r="74" spans="1:15" ht="25.15" customHeight="1" thickTop="1" thickBot="1">
      <c r="E74" s="840" t="str">
        <f>'Obrazac kalkulacije'!$E$20</f>
        <v>Sveukupno (kn):</v>
      </c>
      <c r="F74" s="840"/>
      <c r="G74" s="29">
        <f>ROUND(SUM(G72:G73),2)</f>
        <v>71.180000000000007</v>
      </c>
      <c r="H74" s="271" t="e">
        <f>G71+H73</f>
        <v>#REF!</v>
      </c>
      <c r="M74" s="840" t="str">
        <f>'Obrazac kalkulacije'!$E$20</f>
        <v>Sveukupno (kn):</v>
      </c>
      <c r="N74" s="840"/>
      <c r="O74" s="29">
        <f>ROUND(SUM(O72:O73),2)</f>
        <v>63.81</v>
      </c>
    </row>
    <row r="75" spans="1:15" ht="15" customHeight="1" thickTop="1"/>
    <row r="76" spans="1:15" ht="15" customHeight="1"/>
    <row r="77" spans="1:15" ht="15" customHeight="1"/>
    <row r="78" spans="1:15" ht="15" customHeight="1">
      <c r="C78" s="3" t="str">
        <f>'Obrazac kalkulacije'!$C$24</f>
        <v>IZVODITELJ:</v>
      </c>
      <c r="F78" s="841" t="str">
        <f>'Obrazac kalkulacije'!$F$24</f>
        <v>NARUČITELJ:</v>
      </c>
      <c r="G78" s="841"/>
      <c r="K78" s="3" t="str">
        <f>'Obrazac kalkulacije'!$C$24</f>
        <v>IZVODITELJ:</v>
      </c>
      <c r="N78" s="841" t="str">
        <f>'Obrazac kalkulacije'!$F$24</f>
        <v>NARUČITELJ:</v>
      </c>
      <c r="O78" s="841"/>
    </row>
    <row r="79" spans="1:15" ht="25.15" customHeight="1">
      <c r="C79" s="3" t="str">
        <f>'Obrazac kalkulacije'!$C$25</f>
        <v>__________________</v>
      </c>
      <c r="F79" s="841" t="str">
        <f>'Obrazac kalkulacije'!$F$25</f>
        <v>___________________</v>
      </c>
      <c r="G79" s="841"/>
      <c r="K79" s="3" t="str">
        <f>'Obrazac kalkulacije'!$C$25</f>
        <v>__________________</v>
      </c>
      <c r="N79" s="841" t="str">
        <f>'Obrazac kalkulacije'!$F$25</f>
        <v>___________________</v>
      </c>
      <c r="O79" s="841"/>
    </row>
    <row r="80" spans="1:15" ht="15" customHeight="1">
      <c r="F80" s="841"/>
      <c r="G80" s="841"/>
      <c r="N80" s="841"/>
      <c r="O80" s="841"/>
    </row>
    <row r="81" spans="1:15" ht="15" customHeight="1"/>
    <row r="82" spans="1:15" ht="15" customHeight="1">
      <c r="A82" s="144"/>
      <c r="B82" s="145" t="s">
        <v>31</v>
      </c>
      <c r="C82" s="836" t="s">
        <v>261</v>
      </c>
      <c r="D82" s="836"/>
      <c r="E82" s="836"/>
      <c r="F82" s="836"/>
      <c r="G82" s="836"/>
      <c r="I82" s="144"/>
      <c r="J82" s="145" t="s">
        <v>31</v>
      </c>
      <c r="K82" s="836" t="s">
        <v>261</v>
      </c>
      <c r="L82" s="836"/>
      <c r="M82" s="836"/>
      <c r="N82" s="836"/>
      <c r="O82" s="836"/>
    </row>
    <row r="83" spans="1:15" ht="15" customHeight="1">
      <c r="A83" s="38"/>
      <c r="B83" s="39" t="s">
        <v>33</v>
      </c>
      <c r="C83" s="860" t="s">
        <v>262</v>
      </c>
      <c r="D83" s="860"/>
      <c r="E83" s="860"/>
      <c r="F83" s="860"/>
      <c r="G83" s="860"/>
      <c r="I83" s="38"/>
      <c r="J83" s="39" t="s">
        <v>33</v>
      </c>
      <c r="K83" s="860" t="s">
        <v>262</v>
      </c>
      <c r="L83" s="860"/>
      <c r="M83" s="860"/>
      <c r="N83" s="860"/>
      <c r="O83" s="860"/>
    </row>
    <row r="84" spans="1:15" ht="150" customHeight="1">
      <c r="A84" s="40"/>
      <c r="B84" s="556" t="s">
        <v>269</v>
      </c>
      <c r="C84" s="852" t="s">
        <v>270</v>
      </c>
      <c r="D84" s="852"/>
      <c r="E84" s="852"/>
      <c r="F84" s="852"/>
      <c r="G84" s="852"/>
      <c r="I84" s="40"/>
      <c r="J84" s="41" t="s">
        <v>269</v>
      </c>
      <c r="K84" s="869" t="s">
        <v>270</v>
      </c>
      <c r="L84" s="869"/>
      <c r="M84" s="869"/>
      <c r="N84" s="869"/>
      <c r="O84" s="869"/>
    </row>
    <row r="85" spans="1:15" ht="15" customHeight="1" thickBot="1"/>
    <row r="86" spans="1:15" ht="30" customHeight="1" thickTop="1" thickBot="1">
      <c r="A86" s="10"/>
      <c r="B86" s="835" t="str">
        <f>'Obrazac kalkulacije'!$B$6:$C$6</f>
        <v>Opis</v>
      </c>
      <c r="C86" s="835"/>
      <c r="D86" s="10" t="str">
        <f>'Obrazac kalkulacije'!$D$6</f>
        <v>Jed.
mjere</v>
      </c>
      <c r="E86" s="10" t="str">
        <f>'Obrazac kalkulacije'!$E$6</f>
        <v>Normativ</v>
      </c>
      <c r="F86" s="10" t="str">
        <f>'Obrazac kalkulacije'!$F$6</f>
        <v>Jed.
cijena</v>
      </c>
      <c r="G86" s="10" t="str">
        <f>'Obrazac kalkulacije'!$G$6</f>
        <v>Iznos</v>
      </c>
      <c r="I86" s="10"/>
      <c r="J86" s="835" t="e">
        <f>'Obrazac kalkulacije'!$B$6:$C$6</f>
        <v>#VALUE!</v>
      </c>
      <c r="K86" s="835"/>
      <c r="L86" s="10" t="str">
        <f>'Obrazac kalkulacije'!$D$6</f>
        <v>Jed.
mjere</v>
      </c>
      <c r="M86" s="10" t="str">
        <f>'Obrazac kalkulacije'!$E$6</f>
        <v>Normativ</v>
      </c>
      <c r="N86" s="10" t="str">
        <f>'Obrazac kalkulacije'!$F$6</f>
        <v>Jed.
cijena</v>
      </c>
      <c r="O86" s="10" t="str">
        <f>'Obrazac kalkulacije'!$G$6</f>
        <v>Iznos</v>
      </c>
    </row>
    <row r="87" spans="1:15" ht="4.5" customHeight="1" thickTop="1">
      <c r="B87" s="42"/>
      <c r="C87" s="1"/>
      <c r="D87" s="11"/>
      <c r="E87" s="13"/>
      <c r="F87" s="258"/>
      <c r="G87" s="15"/>
      <c r="J87" s="42"/>
      <c r="K87" s="1"/>
      <c r="L87" s="11"/>
      <c r="M87" s="13"/>
      <c r="N87" s="258"/>
      <c r="O87" s="15"/>
    </row>
    <row r="88" spans="1:15" ht="25.15" customHeight="1">
      <c r="A88" s="16"/>
      <c r="B88" s="837" t="str">
        <f>'Obrazac kalkulacije'!$B$8</f>
        <v>Radna snaga:</v>
      </c>
      <c r="C88" s="837"/>
      <c r="D88" s="16"/>
      <c r="E88" s="16"/>
      <c r="F88" s="44"/>
      <c r="G88" s="18">
        <f>SUM(G89:G89)</f>
        <v>0.97782930000000012</v>
      </c>
      <c r="I88" s="16"/>
      <c r="J88" s="837" t="str">
        <f>'Obrazac kalkulacije'!$B$8</f>
        <v>Radna snaga:</v>
      </c>
      <c r="K88" s="837"/>
      <c r="L88" s="16"/>
      <c r="M88" s="16"/>
      <c r="N88" s="44"/>
      <c r="O88" s="18">
        <f>SUM(O89:O89)</f>
        <v>0.97782930000000012</v>
      </c>
    </row>
    <row r="89" spans="1:15" ht="25.15" customHeight="1">
      <c r="A89" s="32"/>
      <c r="B89" s="854" t="s">
        <v>57</v>
      </c>
      <c r="C89" s="854"/>
      <c r="D89" s="33" t="s">
        <v>51</v>
      </c>
      <c r="E89" s="34">
        <v>9.3100000000000006E-3</v>
      </c>
      <c r="F89" s="238">
        <f>SUMIF('Cjenik RS'!$C$11:$C$26,$B89,'Cjenik RS'!$D$11:$D$90)</f>
        <v>105.03</v>
      </c>
      <c r="G89" s="35">
        <f>E89*F89</f>
        <v>0.97782930000000012</v>
      </c>
      <c r="H89" s="2">
        <f>8/E89</f>
        <v>859.29108485499455</v>
      </c>
      <c r="I89" s="32"/>
      <c r="J89" s="854" t="s">
        <v>57</v>
      </c>
      <c r="K89" s="854"/>
      <c r="L89" s="33" t="s">
        <v>51</v>
      </c>
      <c r="M89" s="34">
        <v>9.3100000000000006E-3</v>
      </c>
      <c r="N89" s="238">
        <f>SUMIF('Cjenik RS'!$C$11:$C$26,$J89,'Cjenik RS'!$D$11:$D$90)</f>
        <v>105.03</v>
      </c>
      <c r="O89" s="35">
        <f>M89*N89</f>
        <v>0.97782930000000012</v>
      </c>
    </row>
    <row r="90" spans="1:15" ht="25.15" customHeight="1">
      <c r="A90" s="16"/>
      <c r="B90" s="837" t="str">
        <f>'Obrazac kalkulacije'!$B$11</f>
        <v>Vozila, strojevi i oprema:</v>
      </c>
      <c r="C90" s="837"/>
      <c r="D90" s="16"/>
      <c r="E90" s="16"/>
      <c r="F90" s="238"/>
      <c r="G90" s="18">
        <f>SUM(G91:G91)</f>
        <v>0.23414674071908786</v>
      </c>
      <c r="I90" s="16"/>
      <c r="J90" s="837" t="str">
        <f>'Obrazac kalkulacije'!$B$11</f>
        <v>Vozila, strojevi i oprema:</v>
      </c>
      <c r="K90" s="837"/>
      <c r="L90" s="16"/>
      <c r="M90" s="16"/>
      <c r="N90" s="238"/>
      <c r="O90" s="18">
        <f>SUM(O91:O91)</f>
        <v>0.25521159999999998</v>
      </c>
    </row>
    <row r="91" spans="1:15" ht="25.15" customHeight="1" thickBot="1">
      <c r="A91" s="43"/>
      <c r="B91" s="865" t="s">
        <v>69</v>
      </c>
      <c r="C91" s="865"/>
      <c r="D91" s="44" t="s">
        <v>51</v>
      </c>
      <c r="E91" s="45">
        <v>1.3037123648056118E-3</v>
      </c>
      <c r="F91" s="260">
        <f>SUMIF('Cjenik VSO'!$B$9:$B$85,$B91,'Cjenik VSO'!$C$9:$C$85)</f>
        <v>179.6</v>
      </c>
      <c r="G91" s="46">
        <f>E91*F91</f>
        <v>0.23414674071908786</v>
      </c>
      <c r="I91" s="43"/>
      <c r="J91" s="865" t="s">
        <v>69</v>
      </c>
      <c r="K91" s="865"/>
      <c r="L91" s="44" t="s">
        <v>51</v>
      </c>
      <c r="M91" s="45">
        <v>1.421E-3</v>
      </c>
      <c r="N91" s="260">
        <f>SUMIF('Cjenik VSO'!$B$9:$B$85,$B91,'Cjenik VSO'!$C$9:$C$85)</f>
        <v>179.6</v>
      </c>
      <c r="O91" s="46">
        <f>M91*N91</f>
        <v>0.25521159999999998</v>
      </c>
    </row>
    <row r="92" spans="1:15" ht="25.15" customHeight="1" thickTop="1" thickBot="1">
      <c r="B92" s="47"/>
      <c r="C92" s="24"/>
      <c r="D92" s="25"/>
      <c r="E92" s="850" t="str">
        <f>'Obrazac kalkulacije'!$E$18</f>
        <v>Ukupno (kn):</v>
      </c>
      <c r="F92" s="850"/>
      <c r="G92" s="26">
        <f>ROUND(SUM(G88+G90),2)</f>
        <v>1.21</v>
      </c>
      <c r="H92" s="269" t="e">
        <f>SUMIF(#REF!,$B84,#REF!)</f>
        <v>#REF!</v>
      </c>
      <c r="J92" s="47"/>
      <c r="K92" s="24"/>
      <c r="L92" s="25"/>
      <c r="M92" s="850" t="str">
        <f>'Obrazac kalkulacije'!$E$18</f>
        <v>Ukupno (kn):</v>
      </c>
      <c r="N92" s="850"/>
      <c r="O92" s="26">
        <f>ROUND(SUM(O88+O90),2)</f>
        <v>1.23</v>
      </c>
    </row>
    <row r="93" spans="1:15" ht="25.15" customHeight="1" thickTop="1" thickBot="1">
      <c r="E93" s="27" t="str">
        <f>'Obrazac kalkulacije'!$E$19</f>
        <v>PDV:</v>
      </c>
      <c r="F93" s="259">
        <f>'Obrazac kalkulacije'!$F$19</f>
        <v>0.25</v>
      </c>
      <c r="G93" s="29">
        <f>G92*F93</f>
        <v>0.30249999999999999</v>
      </c>
      <c r="H93" s="270" t="e">
        <f>H92-G92</f>
        <v>#REF!</v>
      </c>
      <c r="M93" s="27" t="str">
        <f>'Obrazac kalkulacije'!$E$19</f>
        <v>PDV:</v>
      </c>
      <c r="N93" s="259">
        <f>'Obrazac kalkulacije'!$F$19</f>
        <v>0.25</v>
      </c>
      <c r="O93" s="29">
        <f>O92*N93</f>
        <v>0.3075</v>
      </c>
    </row>
    <row r="94" spans="1:15" ht="25.15" customHeight="1" thickTop="1" thickBot="1">
      <c r="E94" s="840" t="str">
        <f>'Obrazac kalkulacije'!$E$20</f>
        <v>Sveukupno (kn):</v>
      </c>
      <c r="F94" s="840"/>
      <c r="G94" s="29">
        <f>ROUND(SUM(G92:G93),2)</f>
        <v>1.51</v>
      </c>
      <c r="H94" s="271" t="e">
        <f>G91+H93</f>
        <v>#REF!</v>
      </c>
      <c r="M94" s="840" t="str">
        <f>'Obrazac kalkulacije'!$E$20</f>
        <v>Sveukupno (kn):</v>
      </c>
      <c r="N94" s="840"/>
      <c r="O94" s="29">
        <f>ROUND(SUM(O92:O93),2)</f>
        <v>1.54</v>
      </c>
    </row>
    <row r="95" spans="1:15" ht="15" customHeight="1" thickTop="1"/>
    <row r="96" spans="1:15" ht="15" customHeight="1"/>
    <row r="97" spans="1:15" ht="15" customHeight="1"/>
    <row r="98" spans="1:15" ht="15" customHeight="1">
      <c r="C98" s="3" t="str">
        <f>'Obrazac kalkulacije'!$C$24</f>
        <v>IZVODITELJ:</v>
      </c>
      <c r="F98" s="841" t="str">
        <f>'Obrazac kalkulacije'!$F$24</f>
        <v>NARUČITELJ:</v>
      </c>
      <c r="G98" s="841"/>
      <c r="K98" s="3" t="str">
        <f>'Obrazac kalkulacije'!$C$24</f>
        <v>IZVODITELJ:</v>
      </c>
      <c r="N98" s="841" t="str">
        <f>'Obrazac kalkulacije'!$F$24</f>
        <v>NARUČITELJ:</v>
      </c>
      <c r="O98" s="841"/>
    </row>
    <row r="99" spans="1:15" ht="25.15" customHeight="1">
      <c r="C99" s="3" t="str">
        <f>'Obrazac kalkulacije'!$C$25</f>
        <v>__________________</v>
      </c>
      <c r="F99" s="841" t="str">
        <f>'Obrazac kalkulacije'!$F$25</f>
        <v>___________________</v>
      </c>
      <c r="G99" s="841"/>
      <c r="K99" s="3" t="str">
        <f>'Obrazac kalkulacije'!$C$25</f>
        <v>__________________</v>
      </c>
      <c r="N99" s="841" t="str">
        <f>'Obrazac kalkulacije'!$F$25</f>
        <v>___________________</v>
      </c>
      <c r="O99" s="841"/>
    </row>
    <row r="100" spans="1:15" ht="15" customHeight="1">
      <c r="F100" s="841"/>
      <c r="G100" s="841"/>
      <c r="N100" s="841"/>
      <c r="O100" s="841"/>
    </row>
    <row r="101" spans="1:15" ht="15" customHeight="1"/>
    <row r="102" spans="1:15" ht="15" customHeight="1">
      <c r="A102" s="144"/>
      <c r="B102" s="145" t="s">
        <v>31</v>
      </c>
      <c r="C102" s="836" t="s">
        <v>261</v>
      </c>
      <c r="D102" s="836"/>
      <c r="E102" s="836"/>
      <c r="F102" s="836"/>
      <c r="G102" s="836"/>
      <c r="I102" s="144"/>
      <c r="J102" s="145" t="s">
        <v>31</v>
      </c>
      <c r="K102" s="836" t="s">
        <v>261</v>
      </c>
      <c r="L102" s="836"/>
      <c r="M102" s="836"/>
      <c r="N102" s="836"/>
      <c r="O102" s="836"/>
    </row>
    <row r="103" spans="1:15" ht="15" customHeight="1">
      <c r="A103" s="38"/>
      <c r="B103" s="39" t="s">
        <v>33</v>
      </c>
      <c r="C103" s="860" t="s">
        <v>262</v>
      </c>
      <c r="D103" s="860"/>
      <c r="E103" s="860"/>
      <c r="F103" s="860"/>
      <c r="G103" s="860"/>
      <c r="I103" s="38"/>
      <c r="J103" s="39" t="s">
        <v>33</v>
      </c>
      <c r="K103" s="860" t="s">
        <v>262</v>
      </c>
      <c r="L103" s="860"/>
      <c r="M103" s="860"/>
      <c r="N103" s="860"/>
      <c r="O103" s="860"/>
    </row>
    <row r="104" spans="1:15" ht="150" customHeight="1">
      <c r="A104" s="40"/>
      <c r="B104" s="556" t="s">
        <v>271</v>
      </c>
      <c r="C104" s="852" t="s">
        <v>272</v>
      </c>
      <c r="D104" s="852"/>
      <c r="E104" s="852"/>
      <c r="F104" s="852"/>
      <c r="G104" s="852"/>
      <c r="I104" s="40"/>
      <c r="J104" s="41" t="s">
        <v>271</v>
      </c>
      <c r="K104" s="869" t="s">
        <v>273</v>
      </c>
      <c r="L104" s="869"/>
      <c r="M104" s="869"/>
      <c r="N104" s="869"/>
      <c r="O104" s="869"/>
    </row>
    <row r="105" spans="1:15" ht="15" customHeight="1" thickBot="1"/>
    <row r="106" spans="1:15" ht="30" customHeight="1" thickTop="1" thickBot="1">
      <c r="A106" s="10"/>
      <c r="B106" s="835" t="str">
        <f>'Obrazac kalkulacije'!$B$6:$C$6</f>
        <v>Opis</v>
      </c>
      <c r="C106" s="835"/>
      <c r="D106" s="10" t="str">
        <f>'Obrazac kalkulacije'!$D$6</f>
        <v>Jed.
mjere</v>
      </c>
      <c r="E106" s="10" t="str">
        <f>'Obrazac kalkulacije'!$E$6</f>
        <v>Normativ</v>
      </c>
      <c r="F106" s="10" t="str">
        <f>'Obrazac kalkulacije'!$F$6</f>
        <v>Jed.
cijena</v>
      </c>
      <c r="G106" s="10" t="str">
        <f>'Obrazac kalkulacije'!$G$6</f>
        <v>Iznos</v>
      </c>
      <c r="I106" s="10"/>
      <c r="J106" s="835" t="e">
        <f>'Obrazac kalkulacije'!$B$6:$C$6</f>
        <v>#VALUE!</v>
      </c>
      <c r="K106" s="835"/>
      <c r="L106" s="10" t="str">
        <f>'Obrazac kalkulacije'!$D$6</f>
        <v>Jed.
mjere</v>
      </c>
      <c r="M106" s="10" t="str">
        <f>'Obrazac kalkulacije'!$E$6</f>
        <v>Normativ</v>
      </c>
      <c r="N106" s="10" t="str">
        <f>'Obrazac kalkulacije'!$F$6</f>
        <v>Jed.
cijena</v>
      </c>
      <c r="O106" s="10" t="str">
        <f>'Obrazac kalkulacije'!$G$6</f>
        <v>Iznos</v>
      </c>
    </row>
    <row r="107" spans="1:15" ht="4.5" customHeight="1" thickTop="1">
      <c r="B107" s="42"/>
      <c r="C107" s="1"/>
      <c r="D107" s="11"/>
      <c r="E107" s="13"/>
      <c r="F107" s="258"/>
      <c r="G107" s="15"/>
      <c r="J107" s="42"/>
      <c r="K107" s="1"/>
      <c r="L107" s="11"/>
      <c r="M107" s="13"/>
      <c r="N107" s="258"/>
      <c r="O107" s="15"/>
    </row>
    <row r="108" spans="1:15" ht="25.15" customHeight="1">
      <c r="A108" s="16"/>
      <c r="B108" s="837" t="str">
        <f>'Obrazac kalkulacije'!$B$8</f>
        <v>Radna snaga:</v>
      </c>
      <c r="C108" s="837"/>
      <c r="D108" s="16"/>
      <c r="E108" s="16"/>
      <c r="F108" s="44"/>
      <c r="G108" s="18">
        <f>SUM(G109:G109)</f>
        <v>58.039577999999999</v>
      </c>
      <c r="I108" s="16"/>
      <c r="J108" s="837" t="str">
        <f>'Obrazac kalkulacije'!$B$8</f>
        <v>Radna snaga:</v>
      </c>
      <c r="K108" s="837"/>
      <c r="L108" s="16"/>
      <c r="M108" s="16"/>
      <c r="N108" s="44"/>
      <c r="O108" s="18">
        <f>SUM(O109:O109)</f>
        <v>58.039577999999999</v>
      </c>
    </row>
    <row r="109" spans="1:15" ht="25.15" customHeight="1">
      <c r="A109" s="32"/>
      <c r="B109" s="854" t="s">
        <v>57</v>
      </c>
      <c r="C109" s="854"/>
      <c r="D109" s="33" t="s">
        <v>51</v>
      </c>
      <c r="E109" s="34">
        <v>0.55259999999999998</v>
      </c>
      <c r="F109" s="238">
        <f>SUMIF('Cjenik RS'!$C$11:$C$26,$B109,'Cjenik RS'!$D$11:$D$90)</f>
        <v>105.03</v>
      </c>
      <c r="G109" s="35">
        <f>E109*F109</f>
        <v>58.039577999999999</v>
      </c>
      <c r="I109" s="32"/>
      <c r="J109" s="854" t="s">
        <v>57</v>
      </c>
      <c r="K109" s="854"/>
      <c r="L109" s="33" t="s">
        <v>51</v>
      </c>
      <c r="M109" s="34">
        <v>0.55259999999999998</v>
      </c>
      <c r="N109" s="238">
        <f>SUMIF('Cjenik RS'!$C$11:$C$26,$J109,'Cjenik RS'!$D$11:$D$90)</f>
        <v>105.03</v>
      </c>
      <c r="O109" s="35">
        <f>M109*N109</f>
        <v>58.039577999999999</v>
      </c>
    </row>
    <row r="110" spans="1:15" ht="25.15" customHeight="1">
      <c r="A110" s="16"/>
      <c r="B110" s="837" t="str">
        <f>'Obrazac kalkulacije'!$B$11</f>
        <v>Vozila, strojevi i oprema:</v>
      </c>
      <c r="C110" s="837"/>
      <c r="D110" s="16"/>
      <c r="E110" s="16"/>
      <c r="F110" s="238"/>
      <c r="G110" s="18">
        <f>SUM(G111:G111)</f>
        <v>14.975941537562107</v>
      </c>
      <c r="I110" s="16"/>
      <c r="J110" s="837" t="str">
        <f>'Obrazac kalkulacije'!$B$11</f>
        <v>Vozila, strojevi i oprema:</v>
      </c>
      <c r="K110" s="837"/>
      <c r="L110" s="16"/>
      <c r="M110" s="16"/>
      <c r="N110" s="238"/>
      <c r="O110" s="18">
        <f>SUM(O111:O111)</f>
        <v>16.3617396</v>
      </c>
    </row>
    <row r="111" spans="1:15" ht="25.15" customHeight="1">
      <c r="A111" s="16"/>
      <c r="B111" s="838" t="s">
        <v>69</v>
      </c>
      <c r="C111" s="838"/>
      <c r="D111" s="44" t="s">
        <v>51</v>
      </c>
      <c r="E111" s="45">
        <v>8.3384975153463853E-2</v>
      </c>
      <c r="F111" s="238">
        <f>SUMIF('Cjenik VSO'!$B$9:$B$85,$B111,'Cjenik VSO'!$C$9:$C$85)</f>
        <v>179.6</v>
      </c>
      <c r="G111" s="46">
        <f>E111*F111</f>
        <v>14.975941537562107</v>
      </c>
      <c r="I111" s="16"/>
      <c r="J111" s="838" t="s">
        <v>69</v>
      </c>
      <c r="K111" s="838"/>
      <c r="L111" s="44" t="s">
        <v>51</v>
      </c>
      <c r="M111" s="45">
        <v>9.1101000000000001E-2</v>
      </c>
      <c r="N111" s="260">
        <f>SUMIF('Cjenik VSO'!$B$9:$B$85,$B111,'Cjenik VSO'!$C$9:$C$85)</f>
        <v>179.6</v>
      </c>
      <c r="O111" s="46">
        <f>M111*N111</f>
        <v>16.3617396</v>
      </c>
    </row>
    <row r="112" spans="1:15" ht="25.15" customHeight="1">
      <c r="A112" s="88"/>
      <c r="B112" s="879" t="str">
        <f>'Obrazac kalkulacije'!$B$15</f>
        <v>Materijali:</v>
      </c>
      <c r="C112" s="879"/>
      <c r="D112" s="88"/>
      <c r="E112" s="88"/>
      <c r="F112" s="264"/>
      <c r="G112" s="94">
        <f>SUM(G113:G113)</f>
        <v>0</v>
      </c>
      <c r="I112" s="88"/>
      <c r="J112" s="879" t="str">
        <f>'Obrazac kalkulacije'!$B$15</f>
        <v>Materijali:</v>
      </c>
      <c r="K112" s="879"/>
      <c r="L112" s="88"/>
      <c r="M112" s="88"/>
      <c r="N112" s="264"/>
      <c r="O112" s="94">
        <f>SUM(O113:O113)</f>
        <v>0</v>
      </c>
    </row>
    <row r="113" spans="1:15" ht="25.15" customHeight="1" thickBot="1">
      <c r="A113" s="66"/>
      <c r="B113" s="859">
        <f>'Cjenik M'!$B$82</f>
        <v>0</v>
      </c>
      <c r="C113" s="859"/>
      <c r="D113" s="67">
        <f>'Cjenik M'!$C$82</f>
        <v>0</v>
      </c>
      <c r="E113" s="68">
        <v>3.0000000000000001E-3</v>
      </c>
      <c r="F113" s="262">
        <f>'Cjenik M'!$D$82</f>
        <v>0</v>
      </c>
      <c r="G113" s="70">
        <f>E113*F113</f>
        <v>0</v>
      </c>
      <c r="I113" s="66"/>
      <c r="J113" s="859">
        <f>'Cjenik M'!$B$82</f>
        <v>0</v>
      </c>
      <c r="K113" s="859"/>
      <c r="L113" s="67">
        <f>'Cjenik M'!$C$82</f>
        <v>0</v>
      </c>
      <c r="M113" s="68">
        <v>3.0000000000000001E-3</v>
      </c>
      <c r="N113" s="262">
        <f>'Cjenik M'!$D$82</f>
        <v>0</v>
      </c>
      <c r="O113" s="70">
        <f>M113*N113</f>
        <v>0</v>
      </c>
    </row>
    <row r="114" spans="1:15" ht="25.15" customHeight="1" thickTop="1" thickBot="1">
      <c r="B114" s="47"/>
      <c r="C114" s="24"/>
      <c r="D114" s="25"/>
      <c r="E114" s="850" t="str">
        <f>'Obrazac kalkulacije'!$E$18</f>
        <v>Ukupno (kn):</v>
      </c>
      <c r="F114" s="850"/>
      <c r="G114" s="26">
        <f>ROUND(SUM(G108+G110+G112),2)</f>
        <v>73.02</v>
      </c>
      <c r="H114" s="269" t="e">
        <f>SUMIF(#REF!,$B104,#REF!)</f>
        <v>#REF!</v>
      </c>
      <c r="J114" s="47"/>
      <c r="K114" s="24"/>
      <c r="L114" s="25"/>
      <c r="M114" s="850" t="str">
        <f>'Obrazac kalkulacije'!$E$18</f>
        <v>Ukupno (kn):</v>
      </c>
      <c r="N114" s="850"/>
      <c r="O114" s="26">
        <f>ROUND(SUM(O108+O110+O112),2)</f>
        <v>74.400000000000006</v>
      </c>
    </row>
    <row r="115" spans="1:15" ht="25.15" customHeight="1" thickTop="1" thickBot="1">
      <c r="E115" s="27" t="str">
        <f>'Obrazac kalkulacije'!$E$19</f>
        <v>PDV:</v>
      </c>
      <c r="F115" s="259">
        <f>'Obrazac kalkulacije'!$F$19</f>
        <v>0.25</v>
      </c>
      <c r="G115" s="29">
        <f>G114*F115</f>
        <v>18.254999999999999</v>
      </c>
      <c r="H115" s="270" t="e">
        <f>H114-G114</f>
        <v>#REF!</v>
      </c>
      <c r="M115" s="27" t="str">
        <f>'Obrazac kalkulacije'!$E$19</f>
        <v>PDV:</v>
      </c>
      <c r="N115" s="259">
        <f>'Obrazac kalkulacije'!$F$19</f>
        <v>0.25</v>
      </c>
      <c r="O115" s="29">
        <f>O114*N115</f>
        <v>18.600000000000001</v>
      </c>
    </row>
    <row r="116" spans="1:15" ht="25.15" customHeight="1" thickTop="1" thickBot="1">
      <c r="E116" s="840" t="str">
        <f>'Obrazac kalkulacije'!$E$20</f>
        <v>Sveukupno (kn):</v>
      </c>
      <c r="F116" s="840"/>
      <c r="G116" s="29">
        <f>ROUND(SUM(G114:G115),2)</f>
        <v>91.28</v>
      </c>
      <c r="H116" s="271" t="e">
        <f>G111+H115</f>
        <v>#REF!</v>
      </c>
      <c r="M116" s="840" t="str">
        <f>'Obrazac kalkulacije'!$E$20</f>
        <v>Sveukupno (kn):</v>
      </c>
      <c r="N116" s="840"/>
      <c r="O116" s="29">
        <f>ROUND(SUM(O114:O115),2)</f>
        <v>93</v>
      </c>
    </row>
    <row r="117" spans="1:15" ht="15" customHeight="1" thickTop="1"/>
    <row r="118" spans="1:15" ht="15" customHeight="1"/>
    <row r="119" spans="1:15" ht="15" customHeight="1"/>
    <row r="120" spans="1:15" ht="15" customHeight="1">
      <c r="C120" s="3" t="str">
        <f>'Obrazac kalkulacije'!$C$24</f>
        <v>IZVODITELJ:</v>
      </c>
      <c r="F120" s="841" t="str">
        <f>'Obrazac kalkulacije'!$F$24</f>
        <v>NARUČITELJ:</v>
      </c>
      <c r="G120" s="841"/>
      <c r="K120" s="3" t="str">
        <f>'Obrazac kalkulacije'!$C$24</f>
        <v>IZVODITELJ:</v>
      </c>
      <c r="N120" s="841" t="str">
        <f>'Obrazac kalkulacije'!$F$24</f>
        <v>NARUČITELJ:</v>
      </c>
      <c r="O120" s="841"/>
    </row>
    <row r="121" spans="1:15" ht="25.15" customHeight="1">
      <c r="C121" s="3" t="str">
        <f>'Obrazac kalkulacije'!$C$25</f>
        <v>__________________</v>
      </c>
      <c r="F121" s="841" t="str">
        <f>'Obrazac kalkulacije'!$F$25</f>
        <v>___________________</v>
      </c>
      <c r="G121" s="841"/>
      <c r="K121" s="3" t="str">
        <f>'Obrazac kalkulacije'!$C$25</f>
        <v>__________________</v>
      </c>
      <c r="N121" s="841" t="str">
        <f>'Obrazac kalkulacije'!$F$25</f>
        <v>___________________</v>
      </c>
      <c r="O121" s="841"/>
    </row>
    <row r="122" spans="1:15" ht="15" customHeight="1">
      <c r="F122" s="841"/>
      <c r="G122" s="841"/>
      <c r="N122" s="841"/>
      <c r="O122" s="841"/>
    </row>
    <row r="123" spans="1:15" ht="15" customHeight="1"/>
    <row r="124" spans="1:15" ht="15" customHeight="1">
      <c r="A124" s="144"/>
      <c r="B124" s="145" t="s">
        <v>31</v>
      </c>
      <c r="C124" s="836" t="s">
        <v>261</v>
      </c>
      <c r="D124" s="836"/>
      <c r="E124" s="836"/>
      <c r="F124" s="836"/>
      <c r="G124" s="836"/>
      <c r="I124" s="144"/>
      <c r="J124" s="145" t="s">
        <v>31</v>
      </c>
      <c r="K124" s="836" t="s">
        <v>261</v>
      </c>
      <c r="L124" s="836"/>
      <c r="M124" s="836"/>
      <c r="N124" s="836"/>
      <c r="O124" s="836"/>
    </row>
    <row r="125" spans="1:15" ht="15" customHeight="1">
      <c r="A125" s="38"/>
      <c r="B125" s="39" t="s">
        <v>33</v>
      </c>
      <c r="C125" s="860" t="s">
        <v>262</v>
      </c>
      <c r="D125" s="860"/>
      <c r="E125" s="860"/>
      <c r="F125" s="860"/>
      <c r="G125" s="860"/>
      <c r="I125" s="38"/>
      <c r="J125" s="39" t="s">
        <v>33</v>
      </c>
      <c r="K125" s="860" t="s">
        <v>262</v>
      </c>
      <c r="L125" s="860"/>
      <c r="M125" s="860"/>
      <c r="N125" s="860"/>
      <c r="O125" s="860"/>
    </row>
    <row r="126" spans="1:15" ht="150" customHeight="1">
      <c r="A126" s="40"/>
      <c r="B126" s="556" t="s">
        <v>274</v>
      </c>
      <c r="C126" s="852" t="s">
        <v>275</v>
      </c>
      <c r="D126" s="852"/>
      <c r="E126" s="852"/>
      <c r="F126" s="852"/>
      <c r="G126" s="852"/>
      <c r="I126" s="40"/>
      <c r="J126" s="41" t="s">
        <v>274</v>
      </c>
      <c r="K126" s="869" t="s">
        <v>275</v>
      </c>
      <c r="L126" s="869"/>
      <c r="M126" s="869"/>
      <c r="N126" s="869"/>
      <c r="O126" s="869"/>
    </row>
    <row r="127" spans="1:15" ht="15" customHeight="1" thickBot="1"/>
    <row r="128" spans="1:15" ht="30" customHeight="1" thickTop="1" thickBot="1">
      <c r="A128" s="10"/>
      <c r="B128" s="835" t="str">
        <f>'Obrazac kalkulacije'!$B$6:$C$6</f>
        <v>Opis</v>
      </c>
      <c r="C128" s="835"/>
      <c r="D128" s="10" t="str">
        <f>'Obrazac kalkulacije'!$D$6</f>
        <v>Jed.
mjere</v>
      </c>
      <c r="E128" s="10" t="str">
        <f>'Obrazac kalkulacije'!$E$6</f>
        <v>Normativ</v>
      </c>
      <c r="F128" s="10" t="str">
        <f>'Obrazac kalkulacije'!$F$6</f>
        <v>Jed.
cijena</v>
      </c>
      <c r="G128" s="10" t="str">
        <f>'Obrazac kalkulacije'!$G$6</f>
        <v>Iznos</v>
      </c>
      <c r="I128" s="10"/>
      <c r="J128" s="835" t="e">
        <f>'Obrazac kalkulacije'!$B$6:$C$6</f>
        <v>#VALUE!</v>
      </c>
      <c r="K128" s="835"/>
      <c r="L128" s="10" t="str">
        <f>'Obrazac kalkulacije'!$D$6</f>
        <v>Jed.
mjere</v>
      </c>
      <c r="M128" s="10" t="str">
        <f>'Obrazac kalkulacije'!$E$6</f>
        <v>Normativ</v>
      </c>
      <c r="N128" s="10" t="str">
        <f>'Obrazac kalkulacije'!$F$6</f>
        <v>Jed.
cijena</v>
      </c>
      <c r="O128" s="10" t="str">
        <f>'Obrazac kalkulacije'!$G$6</f>
        <v>Iznos</v>
      </c>
    </row>
    <row r="129" spans="1:15" ht="4.5" customHeight="1" thickTop="1">
      <c r="B129" s="42"/>
      <c r="C129" s="1"/>
      <c r="D129" s="11"/>
      <c r="E129" s="13"/>
      <c r="F129" s="258"/>
      <c r="G129" s="15"/>
      <c r="J129" s="42"/>
      <c r="K129" s="1"/>
      <c r="L129" s="11"/>
      <c r="M129" s="13"/>
      <c r="N129" s="258"/>
      <c r="O129" s="15"/>
    </row>
    <row r="130" spans="1:15" ht="25.15" customHeight="1">
      <c r="A130" s="16"/>
      <c r="B130" s="837" t="str">
        <f>'Obrazac kalkulacije'!$B$8</f>
        <v>Radna snaga:</v>
      </c>
      <c r="C130" s="837"/>
      <c r="D130" s="16"/>
      <c r="E130" s="16"/>
      <c r="F130" s="44"/>
      <c r="G130" s="18">
        <f>SUM(G131:G131)</f>
        <v>449.09378586000003</v>
      </c>
      <c r="I130" s="16"/>
      <c r="J130" s="837" t="str">
        <f>'Obrazac kalkulacije'!$B$8</f>
        <v>Radna snaga:</v>
      </c>
      <c r="K130" s="837"/>
      <c r="L130" s="16"/>
      <c r="M130" s="16"/>
      <c r="N130" s="44"/>
      <c r="O130" s="18">
        <f>SUM(O131:O131)</f>
        <v>449.09378586000003</v>
      </c>
    </row>
    <row r="131" spans="1:15" ht="25.15" customHeight="1">
      <c r="A131" s="32"/>
      <c r="B131" s="854" t="s">
        <v>57</v>
      </c>
      <c r="C131" s="854"/>
      <c r="D131" s="33" t="s">
        <v>51</v>
      </c>
      <c r="E131" s="34">
        <v>4.2758620000000001</v>
      </c>
      <c r="F131" s="238">
        <f>SUMIF('Cjenik RS'!$C$11:$C$26,$B131,'Cjenik RS'!$D$11:$D$90)</f>
        <v>105.03</v>
      </c>
      <c r="G131" s="35">
        <f>E131*F131</f>
        <v>449.09378586000003</v>
      </c>
      <c r="I131" s="32"/>
      <c r="J131" s="854" t="s">
        <v>57</v>
      </c>
      <c r="K131" s="854"/>
      <c r="L131" s="33" t="s">
        <v>51</v>
      </c>
      <c r="M131" s="34">
        <v>4.2758620000000001</v>
      </c>
      <c r="N131" s="238">
        <f>SUMIF('Cjenik RS'!$C$11:$C$26,$J131,'Cjenik RS'!$D$11:$D$90)</f>
        <v>105.03</v>
      </c>
      <c r="O131" s="35">
        <f>M131*N131</f>
        <v>449.09378586000003</v>
      </c>
    </row>
    <row r="132" spans="1:15" ht="25.15" customHeight="1">
      <c r="A132" s="16"/>
      <c r="B132" s="837" t="str">
        <f>'Obrazac kalkulacije'!$B$11</f>
        <v>Vozila, strojevi i oprema:</v>
      </c>
      <c r="C132" s="837"/>
      <c r="D132" s="16"/>
      <c r="E132" s="16"/>
      <c r="F132" s="238"/>
      <c r="G132" s="18">
        <f>SUM(G133:G133)</f>
        <v>49.450111663256372</v>
      </c>
      <c r="I132" s="16"/>
      <c r="J132" s="837" t="str">
        <f>'Obrazac kalkulacije'!$B$11</f>
        <v>Vozila, strojevi i oprema:</v>
      </c>
      <c r="K132" s="837"/>
      <c r="L132" s="16"/>
      <c r="M132" s="16"/>
      <c r="N132" s="238"/>
      <c r="O132" s="18">
        <f>SUM(O133:O133)</f>
        <v>54.017214399999993</v>
      </c>
    </row>
    <row r="133" spans="1:15" ht="25.15" customHeight="1" thickBot="1">
      <c r="A133" s="43"/>
      <c r="B133" s="838" t="s">
        <v>69</v>
      </c>
      <c r="C133" s="838"/>
      <c r="D133" s="44" t="s">
        <v>51</v>
      </c>
      <c r="E133" s="45">
        <v>0.27533469745688405</v>
      </c>
      <c r="F133" s="260">
        <f>SUMIF('Cjenik VSO'!$B$9:$B$85,$B133,'Cjenik VSO'!$C$9:$C$85)</f>
        <v>179.6</v>
      </c>
      <c r="G133" s="46">
        <f>E133*F133</f>
        <v>49.450111663256372</v>
      </c>
      <c r="I133" s="43"/>
      <c r="J133" s="838" t="s">
        <v>69</v>
      </c>
      <c r="K133" s="838"/>
      <c r="L133" s="44" t="s">
        <v>51</v>
      </c>
      <c r="M133" s="45">
        <v>0.30076399999999998</v>
      </c>
      <c r="N133" s="260">
        <f>SUMIF('Cjenik VSO'!$B$9:$B$85,$B133,'Cjenik VSO'!$C$9:$C$85)</f>
        <v>179.6</v>
      </c>
      <c r="O133" s="46">
        <f>M133*N133</f>
        <v>54.017214399999993</v>
      </c>
    </row>
    <row r="134" spans="1:15" ht="25.15" customHeight="1" thickTop="1" thickBot="1">
      <c r="B134" s="47"/>
      <c r="C134" s="24"/>
      <c r="D134" s="25"/>
      <c r="E134" s="850" t="str">
        <f>'Obrazac kalkulacije'!$E$18</f>
        <v>Ukupno (kn):</v>
      </c>
      <c r="F134" s="850"/>
      <c r="G134" s="26">
        <f>ROUND(SUM(G130+G132),2)</f>
        <v>498.54</v>
      </c>
      <c r="H134" s="269" t="e">
        <f>SUMIF(#REF!,$B126,#REF!)</f>
        <v>#REF!</v>
      </c>
      <c r="J134" s="47"/>
      <c r="K134" s="24"/>
      <c r="L134" s="25"/>
      <c r="M134" s="850" t="str">
        <f>'Obrazac kalkulacije'!$E$18</f>
        <v>Ukupno (kn):</v>
      </c>
      <c r="N134" s="850"/>
      <c r="O134" s="26">
        <f>ROUND(SUM(O130+O132),2)</f>
        <v>503.11</v>
      </c>
    </row>
    <row r="135" spans="1:15" ht="25.15" customHeight="1" thickTop="1" thickBot="1">
      <c r="E135" s="27" t="str">
        <f>'Obrazac kalkulacije'!$E$19</f>
        <v>PDV:</v>
      </c>
      <c r="F135" s="259">
        <f>'Obrazac kalkulacije'!$F$19</f>
        <v>0.25</v>
      </c>
      <c r="G135" s="29">
        <f>G134*F135</f>
        <v>124.63500000000001</v>
      </c>
      <c r="H135" s="270" t="e">
        <f>H134-G134</f>
        <v>#REF!</v>
      </c>
      <c r="M135" s="27" t="str">
        <f>'Obrazac kalkulacije'!$E$19</f>
        <v>PDV:</v>
      </c>
      <c r="N135" s="259">
        <f>'Obrazac kalkulacije'!$F$19</f>
        <v>0.25</v>
      </c>
      <c r="O135" s="29">
        <f>O134*N135</f>
        <v>125.7775</v>
      </c>
    </row>
    <row r="136" spans="1:15" ht="25.15" customHeight="1" thickTop="1" thickBot="1">
      <c r="E136" s="840" t="str">
        <f>'Obrazac kalkulacije'!$E$20</f>
        <v>Sveukupno (kn):</v>
      </c>
      <c r="F136" s="840"/>
      <c r="G136" s="29">
        <f>ROUND(SUM(G134:G135),2)</f>
        <v>623.17999999999995</v>
      </c>
      <c r="H136" s="271" t="e">
        <f>G133+H135</f>
        <v>#REF!</v>
      </c>
      <c r="M136" s="840" t="str">
        <f>'Obrazac kalkulacije'!$E$20</f>
        <v>Sveukupno (kn):</v>
      </c>
      <c r="N136" s="840"/>
      <c r="O136" s="29">
        <f>ROUND(SUM(O134:O135),2)</f>
        <v>628.89</v>
      </c>
    </row>
    <row r="137" spans="1:15" ht="15" customHeight="1" thickTop="1"/>
    <row r="138" spans="1:15" ht="15" customHeight="1"/>
    <row r="139" spans="1:15" ht="15" customHeight="1"/>
    <row r="140" spans="1:15" ht="15" customHeight="1">
      <c r="C140" s="3" t="str">
        <f>'Obrazac kalkulacije'!$C$24</f>
        <v>IZVODITELJ:</v>
      </c>
      <c r="F140" s="841" t="str">
        <f>'Obrazac kalkulacije'!$F$24</f>
        <v>NARUČITELJ:</v>
      </c>
      <c r="G140" s="841"/>
      <c r="K140" s="3" t="str">
        <f>'Obrazac kalkulacije'!$C$24</f>
        <v>IZVODITELJ:</v>
      </c>
      <c r="N140" s="841" t="str">
        <f>'Obrazac kalkulacije'!$F$24</f>
        <v>NARUČITELJ:</v>
      </c>
      <c r="O140" s="841"/>
    </row>
    <row r="141" spans="1:15" ht="25.15" customHeight="1">
      <c r="C141" s="3" t="str">
        <f>'Obrazac kalkulacije'!$C$25</f>
        <v>__________________</v>
      </c>
      <c r="F141" s="841" t="str">
        <f>'Obrazac kalkulacije'!$F$25</f>
        <v>___________________</v>
      </c>
      <c r="G141" s="841"/>
      <c r="K141" s="3" t="str">
        <f>'Obrazac kalkulacije'!$C$25</f>
        <v>__________________</v>
      </c>
      <c r="N141" s="841" t="str">
        <f>'Obrazac kalkulacije'!$F$25</f>
        <v>___________________</v>
      </c>
      <c r="O141" s="841"/>
    </row>
    <row r="142" spans="1:15" ht="15" customHeight="1">
      <c r="F142" s="841"/>
      <c r="G142" s="841"/>
      <c r="N142" s="841"/>
      <c r="O142" s="841"/>
    </row>
    <row r="143" spans="1:15" ht="15" customHeight="1"/>
    <row r="144" spans="1:15" ht="15" customHeight="1">
      <c r="A144" s="144"/>
      <c r="B144" s="145" t="s">
        <v>31</v>
      </c>
      <c r="C144" s="836" t="s">
        <v>261</v>
      </c>
      <c r="D144" s="836"/>
      <c r="E144" s="836"/>
      <c r="F144" s="836"/>
      <c r="G144" s="836"/>
      <c r="I144" s="144"/>
      <c r="J144" s="145" t="s">
        <v>31</v>
      </c>
      <c r="K144" s="836" t="s">
        <v>261</v>
      </c>
      <c r="L144" s="836"/>
      <c r="M144" s="836"/>
      <c r="N144" s="836"/>
      <c r="O144" s="836"/>
    </row>
    <row r="145" spans="1:15" ht="15" customHeight="1">
      <c r="A145" s="38"/>
      <c r="B145" s="39" t="s">
        <v>33</v>
      </c>
      <c r="C145" s="860" t="s">
        <v>262</v>
      </c>
      <c r="D145" s="860"/>
      <c r="E145" s="860"/>
      <c r="F145" s="860"/>
      <c r="G145" s="860"/>
      <c r="I145" s="38"/>
      <c r="J145" s="39" t="s">
        <v>33</v>
      </c>
      <c r="K145" s="860" t="s">
        <v>262</v>
      </c>
      <c r="L145" s="860"/>
      <c r="M145" s="860"/>
      <c r="N145" s="860"/>
      <c r="O145" s="860"/>
    </row>
    <row r="146" spans="1:15" ht="150" customHeight="1">
      <c r="A146" s="611"/>
      <c r="B146" s="556" t="s">
        <v>276</v>
      </c>
      <c r="C146" s="852" t="s">
        <v>277</v>
      </c>
      <c r="D146" s="852"/>
      <c r="E146" s="852"/>
      <c r="F146" s="852"/>
      <c r="G146" s="852"/>
      <c r="I146" s="40"/>
      <c r="J146" s="41" t="s">
        <v>276</v>
      </c>
      <c r="K146" s="869" t="s">
        <v>277</v>
      </c>
      <c r="L146" s="869"/>
      <c r="M146" s="869"/>
      <c r="N146" s="869"/>
      <c r="O146" s="869"/>
    </row>
    <row r="147" spans="1:15" ht="15" customHeight="1" thickBot="1"/>
    <row r="148" spans="1:15" ht="30" customHeight="1" thickTop="1" thickBot="1">
      <c r="A148" s="10"/>
      <c r="B148" s="835" t="str">
        <f>'Obrazac kalkulacije'!$B$6:$C$6</f>
        <v>Opis</v>
      </c>
      <c r="C148" s="835"/>
      <c r="D148" s="10" t="str">
        <f>'Obrazac kalkulacije'!$D$6</f>
        <v>Jed.
mjere</v>
      </c>
      <c r="E148" s="10" t="str">
        <f>'Obrazac kalkulacije'!$E$6</f>
        <v>Normativ</v>
      </c>
      <c r="F148" s="10" t="str">
        <f>'Obrazac kalkulacije'!$F$6</f>
        <v>Jed.
cijena</v>
      </c>
      <c r="G148" s="10" t="str">
        <f>'Obrazac kalkulacije'!$G$6</f>
        <v>Iznos</v>
      </c>
      <c r="I148" s="10"/>
      <c r="J148" s="835" t="e">
        <f>'Obrazac kalkulacije'!$B$6:$C$6</f>
        <v>#VALUE!</v>
      </c>
      <c r="K148" s="835"/>
      <c r="L148" s="10" t="str">
        <f>'Obrazac kalkulacije'!$D$6</f>
        <v>Jed.
mjere</v>
      </c>
      <c r="M148" s="10" t="str">
        <f>'Obrazac kalkulacije'!$E$6</f>
        <v>Normativ</v>
      </c>
      <c r="N148" s="10" t="str">
        <f>'Obrazac kalkulacije'!$F$6</f>
        <v>Jed.
cijena</v>
      </c>
      <c r="O148" s="10" t="str">
        <f>'Obrazac kalkulacije'!$G$6</f>
        <v>Iznos</v>
      </c>
    </row>
    <row r="149" spans="1:15" ht="4.5" customHeight="1" thickTop="1">
      <c r="B149" s="42"/>
      <c r="C149" s="1"/>
      <c r="D149" s="11"/>
      <c r="E149" s="13"/>
      <c r="F149" s="258"/>
      <c r="G149" s="15"/>
      <c r="J149" s="42"/>
      <c r="K149" s="1"/>
      <c r="L149" s="11"/>
      <c r="M149" s="13"/>
      <c r="N149" s="258"/>
      <c r="O149" s="15"/>
    </row>
    <row r="150" spans="1:15" ht="25.15" customHeight="1">
      <c r="A150" s="16"/>
      <c r="B150" s="837" t="str">
        <f>'Obrazac kalkulacije'!$B$8</f>
        <v>Radna snaga:</v>
      </c>
      <c r="C150" s="837"/>
      <c r="D150" s="16"/>
      <c r="E150" s="16"/>
      <c r="F150" s="44"/>
      <c r="G150" s="18">
        <f>SUM(G151:G151)</f>
        <v>472.63499999999999</v>
      </c>
      <c r="I150" s="16"/>
      <c r="J150" s="837" t="str">
        <f>'Obrazac kalkulacije'!$B$8</f>
        <v>Radna snaga:</v>
      </c>
      <c r="K150" s="837"/>
      <c r="L150" s="16"/>
      <c r="M150" s="16"/>
      <c r="N150" s="44"/>
      <c r="O150" s="18">
        <f>SUM(O151:O151)</f>
        <v>506.46190707</v>
      </c>
    </row>
    <row r="151" spans="1:15" ht="25.15" customHeight="1">
      <c r="A151" s="32"/>
      <c r="B151" s="854" t="s">
        <v>57</v>
      </c>
      <c r="C151" s="854"/>
      <c r="D151" s="33" t="s">
        <v>51</v>
      </c>
      <c r="E151" s="34">
        <v>4.5</v>
      </c>
      <c r="F151" s="238">
        <f>SUMIF('Cjenik RS'!$C$11:$C$26,$B151,'Cjenik RS'!$D$11:$D$90)</f>
        <v>105.03</v>
      </c>
      <c r="G151" s="35">
        <f>E151*F151</f>
        <v>472.63499999999999</v>
      </c>
      <c r="H151" s="2">
        <f>8/E151</f>
        <v>1.7777777777777777</v>
      </c>
      <c r="I151" s="32"/>
      <c r="J151" s="854" t="s">
        <v>57</v>
      </c>
      <c r="K151" s="854"/>
      <c r="L151" s="33" t="s">
        <v>51</v>
      </c>
      <c r="M151" s="34">
        <v>4.8220689999999999</v>
      </c>
      <c r="N151" s="238">
        <f>SUMIF('Cjenik RS'!$C$11:$C$26,$J151,'Cjenik RS'!$D$11:$D$90)</f>
        <v>105.03</v>
      </c>
      <c r="O151" s="35">
        <f>M151*N151</f>
        <v>506.46190707</v>
      </c>
    </row>
    <row r="152" spans="1:15" ht="25.15" customHeight="1">
      <c r="A152" s="16"/>
      <c r="B152" s="837" t="str">
        <f>'Obrazac kalkulacije'!$B$11</f>
        <v>Vozila, strojevi i oprema:</v>
      </c>
      <c r="C152" s="837"/>
      <c r="D152" s="16"/>
      <c r="E152" s="16"/>
      <c r="F152" s="238"/>
      <c r="G152" s="18">
        <f>SUM(G153:G153)</f>
        <v>80.819999999999993</v>
      </c>
      <c r="I152" s="16"/>
      <c r="J152" s="837" t="str">
        <f>'Obrazac kalkulacije'!$B$11</f>
        <v>Vozila, strojevi i oprema:</v>
      </c>
      <c r="K152" s="837"/>
      <c r="L152" s="16"/>
      <c r="M152" s="16"/>
      <c r="N152" s="238"/>
      <c r="O152" s="18">
        <f>SUM(O153:O153)</f>
        <v>95.568392799999998</v>
      </c>
    </row>
    <row r="153" spans="1:15" ht="25.15" customHeight="1" thickBot="1">
      <c r="A153" s="43"/>
      <c r="B153" s="838" t="s">
        <v>69</v>
      </c>
      <c r="C153" s="838"/>
      <c r="D153" s="44" t="s">
        <v>51</v>
      </c>
      <c r="E153" s="45">
        <v>0.45</v>
      </c>
      <c r="F153" s="260">
        <f>SUMIF('Cjenik VSO'!$B$9:$B$85,$B153,'Cjenik VSO'!$C$9:$C$85)</f>
        <v>179.6</v>
      </c>
      <c r="G153" s="46">
        <f>E153*F153</f>
        <v>80.819999999999993</v>
      </c>
      <c r="I153" s="43"/>
      <c r="J153" s="838" t="s">
        <v>69</v>
      </c>
      <c r="K153" s="838"/>
      <c r="L153" s="44" t="s">
        <v>51</v>
      </c>
      <c r="M153" s="45">
        <v>0.53211799999999998</v>
      </c>
      <c r="N153" s="260">
        <f>SUMIF('Cjenik VSO'!$B$9:$B$85,$B153,'Cjenik VSO'!$C$9:$C$85)</f>
        <v>179.6</v>
      </c>
      <c r="O153" s="46">
        <f>M153*N153</f>
        <v>95.568392799999998</v>
      </c>
    </row>
    <row r="154" spans="1:15" ht="25.15" customHeight="1" thickTop="1" thickBot="1">
      <c r="B154" s="47"/>
      <c r="C154" s="24"/>
      <c r="D154" s="25"/>
      <c r="E154" s="850" t="str">
        <f>'Obrazac kalkulacije'!$E$18</f>
        <v>Ukupno (kn):</v>
      </c>
      <c r="F154" s="850"/>
      <c r="G154" s="26">
        <f>ROUND(SUM(G150+G152),2)</f>
        <v>553.46</v>
      </c>
      <c r="H154" s="269" t="e">
        <f>SUMIF(#REF!,$B146,#REF!)</f>
        <v>#REF!</v>
      </c>
      <c r="J154" s="47"/>
      <c r="K154" s="24"/>
      <c r="L154" s="25"/>
      <c r="M154" s="850" t="str">
        <f>'Obrazac kalkulacije'!$E$18</f>
        <v>Ukupno (kn):</v>
      </c>
      <c r="N154" s="850"/>
      <c r="O154" s="26">
        <f>ROUND(SUM(O150+O152),2)</f>
        <v>602.03</v>
      </c>
    </row>
    <row r="155" spans="1:15" ht="25.15" customHeight="1" thickTop="1" thickBot="1">
      <c r="E155" s="27" t="str">
        <f>'Obrazac kalkulacije'!$E$19</f>
        <v>PDV:</v>
      </c>
      <c r="F155" s="259">
        <f>'Obrazac kalkulacije'!$F$19</f>
        <v>0.25</v>
      </c>
      <c r="G155" s="29">
        <f>G154*F155</f>
        <v>138.36500000000001</v>
      </c>
      <c r="H155" s="270" t="e">
        <f>H154-G154</f>
        <v>#REF!</v>
      </c>
      <c r="M155" s="27" t="str">
        <f>'Obrazac kalkulacije'!$E$19</f>
        <v>PDV:</v>
      </c>
      <c r="N155" s="259">
        <f>'Obrazac kalkulacije'!$F$19</f>
        <v>0.25</v>
      </c>
      <c r="O155" s="29">
        <f>O154*N155</f>
        <v>150.50749999999999</v>
      </c>
    </row>
    <row r="156" spans="1:15" ht="25.15" customHeight="1" thickTop="1" thickBot="1">
      <c r="E156" s="840" t="str">
        <f>'Obrazac kalkulacije'!$E$20</f>
        <v>Sveukupno (kn):</v>
      </c>
      <c r="F156" s="840"/>
      <c r="G156" s="29">
        <f>ROUND(SUM(G154:G155),2)</f>
        <v>691.83</v>
      </c>
      <c r="H156" s="271" t="e">
        <f>G153+H155</f>
        <v>#REF!</v>
      </c>
      <c r="M156" s="840" t="str">
        <f>'Obrazac kalkulacije'!$E$20</f>
        <v>Sveukupno (kn):</v>
      </c>
      <c r="N156" s="840"/>
      <c r="O156" s="29">
        <f>ROUND(SUM(O154:O155),2)</f>
        <v>752.54</v>
      </c>
    </row>
    <row r="157" spans="1:15" ht="15" customHeight="1" thickTop="1"/>
    <row r="158" spans="1:15" ht="15" customHeight="1"/>
    <row r="159" spans="1:15" ht="15" customHeight="1"/>
    <row r="160" spans="1:15" ht="15" customHeight="1">
      <c r="C160" s="3" t="str">
        <f>'Obrazac kalkulacije'!$C$24</f>
        <v>IZVODITELJ:</v>
      </c>
      <c r="F160" s="841" t="str">
        <f>'Obrazac kalkulacije'!$F$24</f>
        <v>NARUČITELJ:</v>
      </c>
      <c r="G160" s="841"/>
      <c r="K160" s="3" t="str">
        <f>'Obrazac kalkulacije'!$C$24</f>
        <v>IZVODITELJ:</v>
      </c>
      <c r="N160" s="841" t="str">
        <f>'Obrazac kalkulacije'!$F$24</f>
        <v>NARUČITELJ:</v>
      </c>
      <c r="O160" s="841"/>
    </row>
    <row r="161" spans="1:15" ht="25.15" customHeight="1">
      <c r="C161" s="3" t="str">
        <f>'Obrazac kalkulacije'!$C$25</f>
        <v>__________________</v>
      </c>
      <c r="F161" s="841" t="str">
        <f>'Obrazac kalkulacije'!$F$25</f>
        <v>___________________</v>
      </c>
      <c r="G161" s="841"/>
      <c r="K161" s="3" t="str">
        <f>'Obrazac kalkulacije'!$C$25</f>
        <v>__________________</v>
      </c>
      <c r="N161" s="841" t="str">
        <f>'Obrazac kalkulacije'!$F$25</f>
        <v>___________________</v>
      </c>
      <c r="O161" s="841"/>
    </row>
    <row r="162" spans="1:15" ht="15" customHeight="1">
      <c r="F162" s="841"/>
      <c r="G162" s="841"/>
      <c r="N162" s="841"/>
      <c r="O162" s="841"/>
    </row>
    <row r="163" spans="1:15" ht="15" customHeight="1"/>
    <row r="164" spans="1:15" ht="15" customHeight="1">
      <c r="A164" s="144"/>
      <c r="B164" s="145" t="s">
        <v>31</v>
      </c>
      <c r="C164" s="836" t="s">
        <v>261</v>
      </c>
      <c r="D164" s="836"/>
      <c r="E164" s="836"/>
      <c r="F164" s="836"/>
      <c r="G164" s="836"/>
      <c r="I164" s="144"/>
      <c r="J164" s="145"/>
      <c r="K164" s="836"/>
      <c r="L164" s="836"/>
      <c r="M164" s="836"/>
      <c r="N164" s="836"/>
      <c r="O164" s="836"/>
    </row>
    <row r="165" spans="1:15" ht="15" customHeight="1">
      <c r="A165" s="38"/>
      <c r="B165" s="39" t="s">
        <v>33</v>
      </c>
      <c r="C165" s="860" t="s">
        <v>262</v>
      </c>
      <c r="D165" s="860"/>
      <c r="E165" s="860"/>
      <c r="F165" s="860"/>
      <c r="G165" s="860"/>
      <c r="I165" s="38"/>
      <c r="J165" s="39"/>
      <c r="K165" s="860"/>
      <c r="L165" s="860"/>
      <c r="M165" s="860"/>
      <c r="N165" s="860"/>
      <c r="O165" s="860"/>
    </row>
    <row r="166" spans="1:15" ht="150" customHeight="1">
      <c r="A166" s="276"/>
      <c r="B166" s="556" t="s">
        <v>278</v>
      </c>
      <c r="C166" s="852" t="s">
        <v>279</v>
      </c>
      <c r="D166" s="852"/>
      <c r="E166" s="852"/>
      <c r="F166" s="852"/>
      <c r="G166" s="852"/>
      <c r="I166" s="40"/>
      <c r="J166" s="41"/>
      <c r="K166" s="869"/>
      <c r="L166" s="869"/>
      <c r="M166" s="869"/>
      <c r="N166" s="869"/>
      <c r="O166" s="869"/>
    </row>
    <row r="167" spans="1:15" ht="15" customHeight="1" thickBot="1">
      <c r="A167" s="277"/>
      <c r="B167" s="278"/>
      <c r="C167" s="279"/>
      <c r="D167" s="280"/>
      <c r="E167" s="281"/>
      <c r="F167" s="283"/>
      <c r="G167" s="282"/>
    </row>
    <row r="168" spans="1:15" ht="30" customHeight="1" thickTop="1" thickBot="1">
      <c r="A168" s="10"/>
      <c r="B168" s="835" t="str">
        <f>'Obrazac kalkulacije'!$B$6:$C$6</f>
        <v>Opis</v>
      </c>
      <c r="C168" s="835"/>
      <c r="D168" s="10" t="str">
        <f>'Obrazac kalkulacije'!$D$6</f>
        <v>Jed.
mjere</v>
      </c>
      <c r="E168" s="10" t="str">
        <f>'Obrazac kalkulacije'!$E$6</f>
        <v>Normativ</v>
      </c>
      <c r="F168" s="10" t="str">
        <f>'Obrazac kalkulacije'!$F$6</f>
        <v>Jed.
cijena</v>
      </c>
      <c r="G168" s="10" t="str">
        <f>'Obrazac kalkulacije'!$G$6</f>
        <v>Iznos</v>
      </c>
      <c r="I168" s="10"/>
      <c r="J168" s="835"/>
      <c r="K168" s="835"/>
      <c r="L168" s="10"/>
      <c r="M168" s="10"/>
      <c r="N168" s="10"/>
      <c r="O168" s="10"/>
    </row>
    <row r="169" spans="1:15" ht="4.5" customHeight="1" thickTop="1">
      <c r="B169" s="42"/>
      <c r="C169" s="1"/>
      <c r="D169" s="11"/>
      <c r="E169" s="13"/>
      <c r="F169" s="258"/>
      <c r="G169" s="15"/>
      <c r="J169" s="42"/>
      <c r="K169" s="1"/>
      <c r="L169" s="11"/>
      <c r="M169" s="13"/>
      <c r="N169" s="258"/>
      <c r="O169" s="15"/>
    </row>
    <row r="170" spans="1:15" ht="25.15" customHeight="1">
      <c r="A170" s="16"/>
      <c r="B170" s="837" t="str">
        <f>'Obrazac kalkulacije'!$B$8</f>
        <v>Radna snaga:</v>
      </c>
      <c r="C170" s="837"/>
      <c r="D170" s="16"/>
      <c r="E170" s="16"/>
      <c r="F170" s="44"/>
      <c r="G170" s="18">
        <f>SUM(G171:G171)</f>
        <v>0</v>
      </c>
      <c r="I170" s="16"/>
      <c r="J170" s="837"/>
      <c r="K170" s="837"/>
      <c r="L170" s="16"/>
      <c r="M170" s="16"/>
      <c r="N170" s="44"/>
      <c r="O170" s="18"/>
    </row>
    <row r="171" spans="1:15" ht="25.15" customHeight="1">
      <c r="A171" s="32"/>
      <c r="B171" s="854" t="s">
        <v>57</v>
      </c>
      <c r="C171" s="854"/>
      <c r="D171" s="33" t="s">
        <v>51</v>
      </c>
      <c r="E171" s="34"/>
      <c r="F171" s="238">
        <f>SUMIF('Cjenik RS'!$C$11:$C$26,$B171,'Cjenik RS'!$D$11:$D$90)</f>
        <v>105.03</v>
      </c>
      <c r="G171" s="35">
        <f>E171*F171</f>
        <v>0</v>
      </c>
      <c r="I171" s="32"/>
      <c r="J171" s="854" t="s">
        <v>57</v>
      </c>
      <c r="K171" s="854"/>
      <c r="L171" s="33"/>
      <c r="M171" s="34"/>
      <c r="N171" s="238">
        <f>SUMIF('Cjenik RS'!$C$11:$C$26,$J171,'Cjenik RS'!$D$11:$D$90)</f>
        <v>105.03</v>
      </c>
      <c r="O171" s="35"/>
    </row>
    <row r="172" spans="1:15" ht="25.15" customHeight="1">
      <c r="A172" s="16"/>
      <c r="B172" s="837" t="str">
        <f>'Obrazac kalkulacije'!$B$11</f>
        <v>Vozila, strojevi i oprema:</v>
      </c>
      <c r="C172" s="837"/>
      <c r="D172" s="16"/>
      <c r="E172" s="16"/>
      <c r="F172" s="238"/>
      <c r="G172" s="18">
        <f>SUM(G173:G173)</f>
        <v>0</v>
      </c>
      <c r="I172" s="16"/>
      <c r="J172" s="837"/>
      <c r="K172" s="837"/>
      <c r="L172" s="16"/>
      <c r="M172" s="16"/>
      <c r="N172" s="238"/>
      <c r="O172" s="18"/>
    </row>
    <row r="173" spans="1:15" ht="25.15" customHeight="1" thickBot="1">
      <c r="A173" s="43"/>
      <c r="B173" s="838"/>
      <c r="C173" s="838"/>
      <c r="D173" s="44" t="s">
        <v>51</v>
      </c>
      <c r="E173" s="45"/>
      <c r="F173" s="260">
        <f>SUMIF('Cjenik VSO'!$B$9:$B$85,$B173,'Cjenik VSO'!$C$9:$C$85)</f>
        <v>0</v>
      </c>
      <c r="G173" s="46">
        <f>E173*F173</f>
        <v>0</v>
      </c>
      <c r="H173" s="623"/>
      <c r="I173" s="43"/>
      <c r="J173" s="838"/>
      <c r="K173" s="838"/>
      <c r="L173" s="44"/>
      <c r="M173" s="45"/>
      <c r="N173" s="260"/>
      <c r="O173" s="46"/>
    </row>
    <row r="174" spans="1:15" ht="25.15" customHeight="1" thickTop="1" thickBot="1">
      <c r="B174" s="47"/>
      <c r="C174" s="24"/>
      <c r="D174" s="25"/>
      <c r="E174" s="850" t="str">
        <f>'Obrazac kalkulacije'!$E$18</f>
        <v>Ukupno (kn):</v>
      </c>
      <c r="F174" s="850"/>
      <c r="G174" s="655">
        <v>755</v>
      </c>
      <c r="H174" s="624"/>
      <c r="J174" s="47"/>
      <c r="K174" s="24"/>
      <c r="L174" s="25"/>
      <c r="M174" s="850"/>
      <c r="N174" s="850"/>
      <c r="O174" s="26"/>
    </row>
    <row r="175" spans="1:15" ht="25.15" customHeight="1" thickTop="1" thickBot="1">
      <c r="E175" s="27" t="str">
        <f>'Obrazac kalkulacije'!$E$19</f>
        <v>PDV:</v>
      </c>
      <c r="F175" s="259">
        <f>'Obrazac kalkulacije'!$F$19</f>
        <v>0.25</v>
      </c>
      <c r="G175" s="29">
        <f>G174*F175</f>
        <v>188.75</v>
      </c>
      <c r="H175" s="270"/>
      <c r="M175" s="27"/>
      <c r="N175" s="259"/>
      <c r="O175" s="29"/>
    </row>
    <row r="176" spans="1:15" ht="25.15" customHeight="1" thickTop="1" thickBot="1">
      <c r="E176" s="840" t="str">
        <f>'Obrazac kalkulacije'!$E$20</f>
        <v>Sveukupno (kn):</v>
      </c>
      <c r="F176" s="840"/>
      <c r="G176" s="29">
        <f>ROUND(SUM(G174:G175),2)</f>
        <v>943.75</v>
      </c>
      <c r="H176" s="271"/>
      <c r="M176" s="840"/>
      <c r="N176" s="840"/>
      <c r="O176" s="29"/>
    </row>
    <row r="177" spans="1:15" ht="15" customHeight="1" thickTop="1">
      <c r="A177" s="277"/>
      <c r="B177" s="278"/>
      <c r="C177" s="279"/>
      <c r="D177" s="280"/>
      <c r="E177" s="281"/>
      <c r="F177" s="283"/>
      <c r="G177" s="282"/>
    </row>
    <row r="178" spans="1:15" ht="15" customHeight="1">
      <c r="A178" s="277"/>
      <c r="B178" s="278"/>
      <c r="C178" s="279"/>
      <c r="D178" s="280"/>
      <c r="E178" s="281"/>
      <c r="F178" s="283"/>
      <c r="G178" s="282"/>
    </row>
    <row r="179" spans="1:15" ht="15" customHeight="1">
      <c r="A179" s="277"/>
      <c r="B179" s="278"/>
    </row>
    <row r="180" spans="1:15" ht="15" customHeight="1">
      <c r="A180" s="277"/>
      <c r="B180" s="278"/>
      <c r="C180" s="3" t="str">
        <f>'Obrazac kalkulacije'!$C$24</f>
        <v>IZVODITELJ:</v>
      </c>
      <c r="F180" s="841" t="str">
        <f>'Obrazac kalkulacije'!$F$24</f>
        <v>NARUČITELJ:</v>
      </c>
      <c r="G180" s="841"/>
      <c r="K180" s="3" t="str">
        <f>'Obrazac kalkulacije'!$C$24</f>
        <v>IZVODITELJ:</v>
      </c>
      <c r="N180" s="841" t="str">
        <f>'Obrazac kalkulacije'!$F$24</f>
        <v>NARUČITELJ:</v>
      </c>
      <c r="O180" s="841"/>
    </row>
    <row r="181" spans="1:15" ht="25.15" customHeight="1">
      <c r="A181" s="277"/>
      <c r="B181" s="278"/>
      <c r="C181" s="3" t="str">
        <f>'Obrazac kalkulacije'!$C$25</f>
        <v>__________________</v>
      </c>
      <c r="F181" s="841" t="str">
        <f>'Obrazac kalkulacije'!$F$25</f>
        <v>___________________</v>
      </c>
      <c r="G181" s="841"/>
      <c r="K181" s="3" t="str">
        <f>'Obrazac kalkulacije'!$C$25</f>
        <v>__________________</v>
      </c>
      <c r="N181" s="841" t="str">
        <f>'Obrazac kalkulacije'!$F$25</f>
        <v>___________________</v>
      </c>
      <c r="O181" s="841"/>
    </row>
    <row r="182" spans="1:15" ht="15" customHeight="1">
      <c r="A182" s="277"/>
      <c r="B182" s="278"/>
      <c r="C182" s="279"/>
      <c r="D182" s="280"/>
      <c r="E182" s="281"/>
      <c r="F182" s="874"/>
      <c r="G182" s="874"/>
      <c r="N182" s="841"/>
      <c r="O182" s="841"/>
    </row>
    <row r="183" spans="1:15" ht="15" customHeight="1"/>
    <row r="184" spans="1:15" ht="15" customHeight="1">
      <c r="A184" s="144"/>
      <c r="B184" s="145" t="s">
        <v>31</v>
      </c>
      <c r="C184" s="836" t="s">
        <v>261</v>
      </c>
      <c r="D184" s="836"/>
      <c r="E184" s="836"/>
      <c r="F184" s="836"/>
      <c r="G184" s="836"/>
      <c r="I184" s="144"/>
      <c r="J184" s="145" t="s">
        <v>31</v>
      </c>
      <c r="K184" s="836" t="s">
        <v>261</v>
      </c>
      <c r="L184" s="836"/>
      <c r="M184" s="836"/>
      <c r="N184" s="836"/>
      <c r="O184" s="836"/>
    </row>
    <row r="185" spans="1:15" ht="15" customHeight="1">
      <c r="A185" s="38"/>
      <c r="B185" s="39" t="s">
        <v>33</v>
      </c>
      <c r="C185" s="860" t="s">
        <v>262</v>
      </c>
      <c r="D185" s="860"/>
      <c r="E185" s="860"/>
      <c r="F185" s="860"/>
      <c r="G185" s="860"/>
      <c r="I185" s="38"/>
      <c r="J185" s="39" t="s">
        <v>33</v>
      </c>
      <c r="K185" s="860" t="s">
        <v>262</v>
      </c>
      <c r="L185" s="860"/>
      <c r="M185" s="860"/>
      <c r="N185" s="860"/>
      <c r="O185" s="860"/>
    </row>
    <row r="186" spans="1:15" ht="150" customHeight="1">
      <c r="A186" s="40"/>
      <c r="B186" s="556" t="s">
        <v>280</v>
      </c>
      <c r="C186" s="852" t="s">
        <v>281</v>
      </c>
      <c r="D186" s="852"/>
      <c r="E186" s="852"/>
      <c r="F186" s="852"/>
      <c r="G186" s="852"/>
      <c r="I186" s="40"/>
      <c r="J186" s="41" t="s">
        <v>280</v>
      </c>
      <c r="K186" s="869" t="s">
        <v>282</v>
      </c>
      <c r="L186" s="869"/>
      <c r="M186" s="869"/>
      <c r="N186" s="869"/>
      <c r="O186" s="869"/>
    </row>
    <row r="187" spans="1:15" ht="15" customHeight="1" thickBot="1"/>
    <row r="188" spans="1:15" ht="30" customHeight="1" thickTop="1" thickBot="1">
      <c r="A188" s="10"/>
      <c r="B188" s="835" t="str">
        <f>'Obrazac kalkulacije'!$B$6:$C$6</f>
        <v>Opis</v>
      </c>
      <c r="C188" s="835"/>
      <c r="D188" s="10" t="str">
        <f>'Obrazac kalkulacije'!$D$6</f>
        <v>Jed.
mjere</v>
      </c>
      <c r="E188" s="10" t="str">
        <f>'Obrazac kalkulacije'!$E$6</f>
        <v>Normativ</v>
      </c>
      <c r="F188" s="10" t="str">
        <f>'Obrazac kalkulacije'!$F$6</f>
        <v>Jed.
cijena</v>
      </c>
      <c r="G188" s="10" t="str">
        <f>'Obrazac kalkulacije'!$G$6</f>
        <v>Iznos</v>
      </c>
      <c r="I188" s="10"/>
      <c r="J188" s="835"/>
      <c r="K188" s="835"/>
      <c r="L188" s="10"/>
      <c r="M188" s="10"/>
      <c r="N188" s="10"/>
      <c r="O188" s="10"/>
    </row>
    <row r="189" spans="1:15" ht="4.5" customHeight="1" thickTop="1">
      <c r="B189" s="42"/>
      <c r="C189" s="1"/>
      <c r="D189" s="11"/>
      <c r="E189" s="13"/>
      <c r="F189" s="258"/>
      <c r="G189" s="15"/>
      <c r="J189" s="42"/>
      <c r="K189" s="1"/>
      <c r="L189" s="11"/>
      <c r="M189" s="13"/>
      <c r="N189" s="258"/>
      <c r="O189" s="15"/>
    </row>
    <row r="190" spans="1:15" ht="25.15" customHeight="1">
      <c r="A190" s="16"/>
      <c r="B190" s="837" t="str">
        <f>'Obrazac kalkulacije'!$B$8</f>
        <v>Radna snaga:</v>
      </c>
      <c r="C190" s="837"/>
      <c r="D190" s="16"/>
      <c r="E190" s="16"/>
      <c r="F190" s="44"/>
      <c r="G190" s="18">
        <f>SUM(G191:G191)</f>
        <v>105.03</v>
      </c>
      <c r="I190" s="16"/>
      <c r="J190" s="837"/>
      <c r="K190" s="837"/>
      <c r="L190" s="16"/>
      <c r="M190" s="16"/>
      <c r="N190" s="44"/>
      <c r="O190" s="18"/>
    </row>
    <row r="191" spans="1:15" ht="25.15" customHeight="1">
      <c r="A191" s="32"/>
      <c r="B191" s="854" t="s">
        <v>57</v>
      </c>
      <c r="C191" s="854"/>
      <c r="D191" s="33" t="s">
        <v>51</v>
      </c>
      <c r="E191" s="34">
        <v>1</v>
      </c>
      <c r="F191" s="238">
        <f>SUMIF('Cjenik RS'!$C$11:$C$26,$B191,'Cjenik RS'!$D$11:$D$90)</f>
        <v>105.03</v>
      </c>
      <c r="G191" s="35">
        <f>E191*F191</f>
        <v>105.03</v>
      </c>
      <c r="I191" s="32"/>
      <c r="J191" s="854" t="s">
        <v>57</v>
      </c>
      <c r="K191" s="854"/>
      <c r="L191" s="33"/>
      <c r="M191" s="34"/>
      <c r="N191" s="238">
        <f>SUMIF('Cjenik RS'!$C$11:$C$26,$J191,'Cjenik RS'!$D$11:$D$90)</f>
        <v>105.03</v>
      </c>
      <c r="O191" s="35"/>
    </row>
    <row r="192" spans="1:15" ht="25.15" customHeight="1">
      <c r="A192" s="16"/>
      <c r="B192" s="837" t="str">
        <f>'Obrazac kalkulacije'!$B$11</f>
        <v>Vozila, strojevi i oprema:</v>
      </c>
      <c r="C192" s="837"/>
      <c r="D192" s="16"/>
      <c r="E192" s="16"/>
      <c r="F192" s="238"/>
      <c r="G192" s="18">
        <f>SUM(G193:G193)</f>
        <v>291.72000000000003</v>
      </c>
      <c r="I192" s="16"/>
      <c r="J192" s="837"/>
      <c r="K192" s="837"/>
      <c r="L192" s="16"/>
      <c r="M192" s="16"/>
      <c r="N192" s="238"/>
      <c r="O192" s="18"/>
    </row>
    <row r="193" spans="1:15" ht="25.15" customHeight="1" thickBot="1">
      <c r="A193" s="43"/>
      <c r="B193" s="838" t="s">
        <v>73</v>
      </c>
      <c r="C193" s="838"/>
      <c r="D193" s="44" t="s">
        <v>51</v>
      </c>
      <c r="E193" s="45">
        <v>1</v>
      </c>
      <c r="F193" s="260">
        <f>SUMIF('Cjenik VSO'!$B$9:$B$85,$B193,'Cjenik VSO'!$C$9:$C$85)</f>
        <v>291.72000000000003</v>
      </c>
      <c r="G193" s="46">
        <f>E193*F193</f>
        <v>291.72000000000003</v>
      </c>
      <c r="H193" s="625"/>
      <c r="I193" s="43"/>
      <c r="J193" s="838"/>
      <c r="K193" s="838"/>
      <c r="L193" s="44"/>
      <c r="M193" s="45"/>
      <c r="N193" s="260"/>
      <c r="O193" s="46"/>
    </row>
    <row r="194" spans="1:15" ht="25.15" customHeight="1" thickTop="1" thickBot="1">
      <c r="B194" s="47"/>
      <c r="C194" s="24"/>
      <c r="D194" s="25"/>
      <c r="E194" s="850" t="str">
        <f>'Obrazac kalkulacije'!$E$18</f>
        <v>Ukupno (kn):</v>
      </c>
      <c r="F194" s="850"/>
      <c r="G194" s="26">
        <f>ROUND(SUM(G190+G192),2)</f>
        <v>396.75</v>
      </c>
      <c r="H194" s="624"/>
      <c r="J194" s="47"/>
      <c r="K194" s="24"/>
      <c r="L194" s="25"/>
      <c r="M194" s="850"/>
      <c r="N194" s="850"/>
      <c r="O194" s="26"/>
    </row>
    <row r="195" spans="1:15" ht="25.15" customHeight="1" thickTop="1" thickBot="1">
      <c r="E195" s="27" t="str">
        <f>'Obrazac kalkulacije'!$E$19</f>
        <v>PDV:</v>
      </c>
      <c r="F195" s="259">
        <f>'Obrazac kalkulacije'!$F$19</f>
        <v>0.25</v>
      </c>
      <c r="G195" s="29">
        <f>G194*F195</f>
        <v>99.1875</v>
      </c>
      <c r="H195" s="625"/>
      <c r="M195" s="27"/>
      <c r="N195" s="259"/>
      <c r="O195" s="29"/>
    </row>
    <row r="196" spans="1:15" ht="25.15" customHeight="1" thickTop="1" thickBot="1">
      <c r="E196" s="840" t="str">
        <f>'Obrazac kalkulacije'!$E$20</f>
        <v>Sveukupno (kn):</v>
      </c>
      <c r="F196" s="840"/>
      <c r="G196" s="29">
        <f>ROUND(SUM(G194:G195),2)</f>
        <v>495.94</v>
      </c>
      <c r="H196" s="271"/>
      <c r="M196" s="840"/>
      <c r="N196" s="840"/>
      <c r="O196" s="29"/>
    </row>
    <row r="197" spans="1:15" ht="15" customHeight="1" thickTop="1"/>
    <row r="198" spans="1:15" ht="15" customHeight="1"/>
    <row r="199" spans="1:15" ht="15" customHeight="1"/>
    <row r="200" spans="1:15" ht="15" customHeight="1">
      <c r="C200" s="3" t="str">
        <f>'Obrazac kalkulacije'!$C$24</f>
        <v>IZVODITELJ:</v>
      </c>
      <c r="F200" s="841" t="str">
        <f>'Obrazac kalkulacije'!$F$24</f>
        <v>NARUČITELJ:</v>
      </c>
      <c r="G200" s="841"/>
      <c r="K200" s="3" t="str">
        <f>'Obrazac kalkulacije'!$C$24</f>
        <v>IZVODITELJ:</v>
      </c>
      <c r="N200" s="841" t="str">
        <f>'Obrazac kalkulacije'!$F$24</f>
        <v>NARUČITELJ:</v>
      </c>
      <c r="O200" s="841"/>
    </row>
    <row r="201" spans="1:15" ht="25.15" customHeight="1">
      <c r="C201" s="3" t="str">
        <f>'Obrazac kalkulacije'!$C$25</f>
        <v>__________________</v>
      </c>
      <c r="F201" s="841" t="str">
        <f>'Obrazac kalkulacije'!$F$25</f>
        <v>___________________</v>
      </c>
      <c r="G201" s="841"/>
      <c r="K201" s="3" t="str">
        <f>'Obrazac kalkulacije'!$C$25</f>
        <v>__________________</v>
      </c>
      <c r="N201" s="841" t="str">
        <f>'Obrazac kalkulacije'!$F$25</f>
        <v>___________________</v>
      </c>
      <c r="O201" s="841"/>
    </row>
    <row r="202" spans="1:15" ht="15" customHeight="1">
      <c r="F202" s="841"/>
      <c r="G202" s="841"/>
      <c r="N202" s="841"/>
      <c r="O202" s="841"/>
    </row>
    <row r="203" spans="1:15" ht="15" customHeight="1"/>
    <row r="204" spans="1:15" ht="15" customHeight="1">
      <c r="A204" s="144"/>
      <c r="B204" s="145" t="s">
        <v>31</v>
      </c>
      <c r="C204" s="836" t="s">
        <v>261</v>
      </c>
      <c r="D204" s="836"/>
      <c r="E204" s="836"/>
      <c r="F204" s="836"/>
      <c r="G204" s="836"/>
      <c r="I204" s="144"/>
      <c r="J204" s="145" t="s">
        <v>31</v>
      </c>
      <c r="K204" s="836" t="s">
        <v>261</v>
      </c>
      <c r="L204" s="836"/>
      <c r="M204" s="836"/>
      <c r="N204" s="836"/>
      <c r="O204" s="836"/>
    </row>
    <row r="205" spans="1:15" ht="15" customHeight="1">
      <c r="A205" s="38"/>
      <c r="B205" s="39" t="s">
        <v>283</v>
      </c>
      <c r="C205" s="860" t="s">
        <v>284</v>
      </c>
      <c r="D205" s="860"/>
      <c r="E205" s="860"/>
      <c r="F205" s="860"/>
      <c r="G205" s="860"/>
      <c r="I205" s="38"/>
      <c r="J205" s="39" t="s">
        <v>283</v>
      </c>
      <c r="K205" s="860" t="s">
        <v>284</v>
      </c>
      <c r="L205" s="860"/>
      <c r="M205" s="860"/>
      <c r="N205" s="860"/>
      <c r="O205" s="860"/>
    </row>
    <row r="206" spans="1:15" ht="150" customHeight="1">
      <c r="A206" s="40"/>
      <c r="B206" s="556" t="s">
        <v>285</v>
      </c>
      <c r="C206" s="852" t="s">
        <v>286</v>
      </c>
      <c r="D206" s="852"/>
      <c r="E206" s="852"/>
      <c r="F206" s="852"/>
      <c r="G206" s="852"/>
      <c r="I206" s="40"/>
      <c r="J206" s="41" t="s">
        <v>285</v>
      </c>
      <c r="K206" s="869" t="s">
        <v>287</v>
      </c>
      <c r="L206" s="869"/>
      <c r="M206" s="869"/>
      <c r="N206" s="869"/>
      <c r="O206" s="869"/>
    </row>
    <row r="207" spans="1:15" ht="15" customHeight="1" thickBot="1"/>
    <row r="208" spans="1:15" ht="30" customHeight="1" thickTop="1" thickBot="1">
      <c r="A208" s="10"/>
      <c r="B208" s="835" t="str">
        <f>'Obrazac kalkulacije'!$B$6:$C$6</f>
        <v>Opis</v>
      </c>
      <c r="C208" s="835"/>
      <c r="D208" s="10" t="str">
        <f>'Obrazac kalkulacije'!$D$6</f>
        <v>Jed.
mjere</v>
      </c>
      <c r="E208" s="10" t="str">
        <f>'Obrazac kalkulacije'!$E$6</f>
        <v>Normativ</v>
      </c>
      <c r="F208" s="10" t="str">
        <f>'Obrazac kalkulacije'!$F$6</f>
        <v>Jed.
cijena</v>
      </c>
      <c r="G208" s="10" t="str">
        <f>'Obrazac kalkulacije'!$G$6</f>
        <v>Iznos</v>
      </c>
      <c r="I208" s="10"/>
      <c r="J208" s="835" t="e">
        <f>'Obrazac kalkulacije'!$B$6:$C$6</f>
        <v>#VALUE!</v>
      </c>
      <c r="K208" s="835"/>
      <c r="L208" s="10" t="str">
        <f>'Obrazac kalkulacije'!$D$6</f>
        <v>Jed.
mjere</v>
      </c>
      <c r="M208" s="10" t="str">
        <f>'Obrazac kalkulacije'!$E$6</f>
        <v>Normativ</v>
      </c>
      <c r="N208" s="10" t="str">
        <f>'Obrazac kalkulacije'!$F$6</f>
        <v>Jed.
cijena</v>
      </c>
      <c r="O208" s="10" t="str">
        <f>'Obrazac kalkulacije'!$G$6</f>
        <v>Iznos</v>
      </c>
    </row>
    <row r="209" spans="1:15" ht="4.5" customHeight="1" thickTop="1">
      <c r="B209" s="42"/>
      <c r="C209" s="1"/>
      <c r="D209" s="11"/>
      <c r="E209" s="13"/>
      <c r="F209" s="258"/>
      <c r="G209" s="15"/>
      <c r="J209" s="42"/>
      <c r="K209" s="1"/>
      <c r="L209" s="11"/>
      <c r="M209" s="13"/>
      <c r="N209" s="258"/>
      <c r="O209" s="15"/>
    </row>
    <row r="210" spans="1:15" ht="25.15" customHeight="1">
      <c r="A210" s="16"/>
      <c r="B210" s="837" t="str">
        <f>'Obrazac kalkulacije'!$B$8</f>
        <v>Radna snaga:</v>
      </c>
      <c r="C210" s="837"/>
      <c r="D210" s="16"/>
      <c r="E210" s="16"/>
      <c r="F210" s="44"/>
      <c r="G210" s="18">
        <f>SUM(G211:G211)</f>
        <v>429.57700623000005</v>
      </c>
      <c r="I210" s="16"/>
      <c r="J210" s="837" t="str">
        <f>'Obrazac kalkulacije'!$B$8</f>
        <v>Radna snaga:</v>
      </c>
      <c r="K210" s="837"/>
      <c r="L210" s="16"/>
      <c r="M210" s="16"/>
      <c r="N210" s="44"/>
      <c r="O210" s="18">
        <f>SUM(O211:O211)</f>
        <v>429.57700623000005</v>
      </c>
    </row>
    <row r="211" spans="1:15" ht="25.15" customHeight="1">
      <c r="A211" s="32"/>
      <c r="B211" s="854" t="s">
        <v>57</v>
      </c>
      <c r="C211" s="854"/>
      <c r="D211" s="33" t="s">
        <v>51</v>
      </c>
      <c r="E211" s="34">
        <v>4.0900410000000003</v>
      </c>
      <c r="F211" s="238">
        <f>SUMIF('Cjenik RS'!$C$11:$C$26,$B211,'Cjenik RS'!$D$11:$D$90)</f>
        <v>105.03</v>
      </c>
      <c r="G211" s="35">
        <f>+F211*E211</f>
        <v>429.57700623000005</v>
      </c>
      <c r="I211" s="32"/>
      <c r="J211" s="854" t="s">
        <v>57</v>
      </c>
      <c r="K211" s="854"/>
      <c r="L211" s="33" t="s">
        <v>51</v>
      </c>
      <c r="M211" s="34">
        <v>4.0900410000000003</v>
      </c>
      <c r="N211" s="238">
        <f>SUMIF('Cjenik RS'!$C$11:$C$26,$J211,'Cjenik RS'!$D$11:$D$90)</f>
        <v>105.03</v>
      </c>
      <c r="O211" s="35">
        <f>+N211*M211</f>
        <v>429.57700623000005</v>
      </c>
    </row>
    <row r="212" spans="1:15" ht="25.15" customHeight="1">
      <c r="A212" s="16"/>
      <c r="B212" s="837" t="str">
        <f>'Obrazac kalkulacije'!$B$11</f>
        <v>Vozila, strojevi i oprema:</v>
      </c>
      <c r="C212" s="837"/>
      <c r="D212" s="16"/>
      <c r="E212" s="16"/>
      <c r="F212" s="238"/>
      <c r="G212" s="18">
        <f>SUM(G213:G215)</f>
        <v>123.74819403154854</v>
      </c>
      <c r="I212" s="16"/>
      <c r="J212" s="837" t="str">
        <f>'Obrazac kalkulacije'!$B$11</f>
        <v>Vozila, strojevi i oprema:</v>
      </c>
      <c r="K212" s="837"/>
      <c r="L212" s="16"/>
      <c r="M212" s="16"/>
      <c r="N212" s="238"/>
      <c r="O212" s="18">
        <f>SUM(O213:O215)</f>
        <v>152.7906136</v>
      </c>
    </row>
    <row r="213" spans="1:15" ht="25.15" customHeight="1">
      <c r="A213" s="51"/>
      <c r="B213" s="849" t="s">
        <v>69</v>
      </c>
      <c r="C213" s="849"/>
      <c r="D213" s="52" t="s">
        <v>51</v>
      </c>
      <c r="E213" s="53">
        <v>0.38344099999999998</v>
      </c>
      <c r="F213" s="260">
        <f>SUMIF('Cjenik VSO'!$B$9:$B$85,$B213,'Cjenik VSO'!$C$9:$C$85)</f>
        <v>179.6</v>
      </c>
      <c r="G213" s="54">
        <f>E213*F213</f>
        <v>68.866003599999999</v>
      </c>
      <c r="I213" s="51"/>
      <c r="J213" s="849" t="s">
        <v>69</v>
      </c>
      <c r="K213" s="849"/>
      <c r="L213" s="52" t="s">
        <v>51</v>
      </c>
      <c r="M213" s="53">
        <v>0.38344099999999998</v>
      </c>
      <c r="N213" s="260">
        <f>SUMIF('Cjenik VSO'!$B$9:$B$85,$B213,'Cjenik VSO'!$C$9:$C$85)</f>
        <v>179.6</v>
      </c>
      <c r="O213" s="54">
        <f>M213*N213</f>
        <v>68.866003599999999</v>
      </c>
    </row>
    <row r="214" spans="1:15" ht="25.15" customHeight="1">
      <c r="A214" s="56"/>
      <c r="B214" s="839" t="s">
        <v>70</v>
      </c>
      <c r="C214" s="839"/>
      <c r="D214" s="57" t="s">
        <v>51</v>
      </c>
      <c r="E214" s="58">
        <v>0.42499999999999999</v>
      </c>
      <c r="F214" s="263">
        <f>SUMIF('Cjenik VSO'!$B$9:$B$85,$B214,'Cjenik VSO'!$C$9:$C$85)</f>
        <v>99.33</v>
      </c>
      <c r="G214" s="59">
        <f>E214*F214</f>
        <v>42.215249999999997</v>
      </c>
      <c r="I214" s="56"/>
      <c r="J214" s="839" t="s">
        <v>70</v>
      </c>
      <c r="K214" s="839"/>
      <c r="L214" s="57" t="s">
        <v>51</v>
      </c>
      <c r="M214" s="58">
        <v>0.42499999999999999</v>
      </c>
      <c r="N214" s="263">
        <f>SUMIF('Cjenik VSO'!$B$9:$B$85,$B214,'Cjenik VSO'!$C$9:$C$85)</f>
        <v>99.33</v>
      </c>
      <c r="O214" s="59">
        <f>M214*N214</f>
        <v>42.215249999999997</v>
      </c>
    </row>
    <row r="215" spans="1:15" ht="25.15" customHeight="1">
      <c r="A215" s="98"/>
      <c r="B215" s="875" t="s">
        <v>288</v>
      </c>
      <c r="C215" s="875"/>
      <c r="D215" s="57" t="s">
        <v>51</v>
      </c>
      <c r="E215" s="142">
        <v>7.416241470461675E-2</v>
      </c>
      <c r="F215" s="263">
        <f>SUMIF('Cjenik VSO'!$B$9:$B$85,$B215,'Cjenik VSO'!$C$9:$C$85)</f>
        <v>170.8</v>
      </c>
      <c r="G215" s="60">
        <f>E215*F215</f>
        <v>12.666940431548541</v>
      </c>
      <c r="I215" s="98"/>
      <c r="J215" s="875" t="s">
        <v>288</v>
      </c>
      <c r="K215" s="875"/>
      <c r="L215" s="57" t="s">
        <v>51</v>
      </c>
      <c r="M215" s="142">
        <v>0.2442</v>
      </c>
      <c r="N215" s="263">
        <f>SUMIF('Cjenik VSO'!$B$9:$B$85,$B215,'Cjenik VSO'!$C$9:$C$85)</f>
        <v>170.8</v>
      </c>
      <c r="O215" s="60">
        <f>M215*N215</f>
        <v>41.709360000000004</v>
      </c>
    </row>
    <row r="216" spans="1:15" ht="25.15" customHeight="1">
      <c r="A216" s="16"/>
      <c r="B216" s="837" t="str">
        <f>'Obrazac kalkulacije'!$B$15</f>
        <v>Materijali:</v>
      </c>
      <c r="C216" s="837"/>
      <c r="D216" s="16"/>
      <c r="E216" s="16"/>
      <c r="F216" s="238"/>
      <c r="G216" s="18">
        <f>SUM(G217:G218)</f>
        <v>0</v>
      </c>
      <c r="I216" s="16"/>
      <c r="J216" s="837" t="str">
        <f>'Obrazac kalkulacije'!$B$15</f>
        <v>Materijali:</v>
      </c>
      <c r="K216" s="837"/>
      <c r="L216" s="16"/>
      <c r="M216" s="16"/>
      <c r="N216" s="238"/>
      <c r="O216" s="18">
        <f>SUM(O217:O218)</f>
        <v>0</v>
      </c>
    </row>
    <row r="217" spans="1:15" ht="25.15" customHeight="1">
      <c r="A217" s="51"/>
      <c r="B217" s="863">
        <f>'Cjenik M'!$B$31</f>
        <v>0</v>
      </c>
      <c r="C217" s="863"/>
      <c r="D217" s="52">
        <f>'Cjenik M'!$C$31</f>
        <v>0</v>
      </c>
      <c r="E217" s="53">
        <v>4.8240000000000002E-3</v>
      </c>
      <c r="F217" s="260">
        <f>'Cjenik M'!$D$31</f>
        <v>0</v>
      </c>
      <c r="G217" s="55">
        <f>E217*F217</f>
        <v>0</v>
      </c>
      <c r="I217" s="51"/>
      <c r="J217" s="863">
        <f>'Cjenik M'!$B$31</f>
        <v>0</v>
      </c>
      <c r="K217" s="863"/>
      <c r="L217" s="52">
        <f>'Cjenik M'!$C$31</f>
        <v>0</v>
      </c>
      <c r="M217" s="53">
        <v>4.8240000000000002E-3</v>
      </c>
      <c r="N217" s="260">
        <f>'Cjenik M'!$D$31</f>
        <v>0</v>
      </c>
      <c r="O217" s="55">
        <f>M217*N217</f>
        <v>0</v>
      </c>
    </row>
    <row r="218" spans="1:15" ht="25.15" customHeight="1" thickBot="1">
      <c r="A218" s="66"/>
      <c r="B218" s="859">
        <f>'Cjenik M'!$B$34</f>
        <v>0</v>
      </c>
      <c r="C218" s="859"/>
      <c r="D218" s="67">
        <f>'Cjenik M'!$C$34</f>
        <v>0</v>
      </c>
      <c r="E218" s="68">
        <v>7.0000000000000007E-2</v>
      </c>
      <c r="F218" s="262">
        <f>'Cjenik M'!$D$34</f>
        <v>0</v>
      </c>
      <c r="G218" s="70">
        <f>E218*F218</f>
        <v>0</v>
      </c>
      <c r="I218" s="66"/>
      <c r="J218" s="859">
        <f>'Cjenik M'!$B$34</f>
        <v>0</v>
      </c>
      <c r="K218" s="859"/>
      <c r="L218" s="67">
        <f>'Cjenik M'!$C$34</f>
        <v>0</v>
      </c>
      <c r="M218" s="68">
        <v>7.0000000000000007E-2</v>
      </c>
      <c r="N218" s="262">
        <f>'Cjenik M'!$D$34</f>
        <v>0</v>
      </c>
      <c r="O218" s="70">
        <f>M218*N218</f>
        <v>0</v>
      </c>
    </row>
    <row r="219" spans="1:15" ht="25.15" customHeight="1" thickTop="1" thickBot="1">
      <c r="B219" s="47"/>
      <c r="C219" s="24"/>
      <c r="D219" s="25"/>
      <c r="E219" s="850" t="str">
        <f>'Obrazac kalkulacije'!$E$18</f>
        <v>Ukupno (kn):</v>
      </c>
      <c r="F219" s="850"/>
      <c r="G219" s="26">
        <f>ROUND(SUM(G210+G212+G216),2)</f>
        <v>553.33000000000004</v>
      </c>
      <c r="H219" s="269" t="e">
        <f>SUMIF(#REF!,$B206,#REF!)</f>
        <v>#REF!</v>
      </c>
      <c r="J219" s="47"/>
      <c r="K219" s="24"/>
      <c r="L219" s="25"/>
      <c r="M219" s="850" t="str">
        <f>'Obrazac kalkulacije'!$E$18</f>
        <v>Ukupno (kn):</v>
      </c>
      <c r="N219" s="850"/>
      <c r="O219" s="26">
        <f>ROUND(SUM(O210+O212+O216),2)</f>
        <v>582.37</v>
      </c>
    </row>
    <row r="220" spans="1:15" ht="25.15" customHeight="1" thickTop="1" thickBot="1">
      <c r="E220" s="27" t="str">
        <f>'Obrazac kalkulacije'!$E$19</f>
        <v>PDV:</v>
      </c>
      <c r="F220" s="259">
        <f>'Obrazac kalkulacije'!$F$19</f>
        <v>0.25</v>
      </c>
      <c r="G220" s="29">
        <f>G219*F220</f>
        <v>138.33250000000001</v>
      </c>
      <c r="H220" s="270" t="e">
        <f>H219-G219</f>
        <v>#REF!</v>
      </c>
      <c r="M220" s="27" t="str">
        <f>'Obrazac kalkulacije'!$E$19</f>
        <v>PDV:</v>
      </c>
      <c r="N220" s="259">
        <f>'Obrazac kalkulacije'!$F$19</f>
        <v>0.25</v>
      </c>
      <c r="O220" s="29">
        <f>O219*N220</f>
        <v>145.5925</v>
      </c>
    </row>
    <row r="221" spans="1:15" ht="25.15" customHeight="1" thickTop="1" thickBot="1">
      <c r="E221" s="840" t="str">
        <f>'Obrazac kalkulacije'!$E$20</f>
        <v>Sveukupno (kn):</v>
      </c>
      <c r="F221" s="840"/>
      <c r="G221" s="29">
        <f>ROUND(SUM(G219:G220),2)</f>
        <v>691.66</v>
      </c>
      <c r="H221" s="271" t="e">
        <f>G215+H220</f>
        <v>#REF!</v>
      </c>
      <c r="M221" s="840" t="str">
        <f>'Obrazac kalkulacije'!$E$20</f>
        <v>Sveukupno (kn):</v>
      </c>
      <c r="N221" s="840"/>
      <c r="O221" s="29">
        <f>ROUND(SUM(O219:O220),2)</f>
        <v>727.96</v>
      </c>
    </row>
    <row r="222" spans="1:15" ht="15" customHeight="1" thickTop="1"/>
    <row r="223" spans="1:15" ht="15" customHeight="1"/>
    <row r="224" spans="1:15" ht="15" customHeight="1"/>
    <row r="225" spans="1:15" ht="15" customHeight="1">
      <c r="C225" s="3" t="str">
        <f>'Obrazac kalkulacije'!$C$24</f>
        <v>IZVODITELJ:</v>
      </c>
      <c r="F225" s="841" t="str">
        <f>'Obrazac kalkulacije'!$F$24</f>
        <v>NARUČITELJ:</v>
      </c>
      <c r="G225" s="841"/>
      <c r="K225" s="3" t="str">
        <f>'Obrazac kalkulacije'!$C$24</f>
        <v>IZVODITELJ:</v>
      </c>
      <c r="N225" s="841" t="str">
        <f>'Obrazac kalkulacije'!$F$24</f>
        <v>NARUČITELJ:</v>
      </c>
      <c r="O225" s="841"/>
    </row>
    <row r="226" spans="1:15" ht="25.15" customHeight="1">
      <c r="C226" s="3" t="str">
        <f>'Obrazac kalkulacije'!$C$25</f>
        <v>__________________</v>
      </c>
      <c r="F226" s="841" t="str">
        <f>'Obrazac kalkulacije'!$F$25</f>
        <v>___________________</v>
      </c>
      <c r="G226" s="841"/>
      <c r="K226" s="3" t="str">
        <f>'Obrazac kalkulacije'!$C$25</f>
        <v>__________________</v>
      </c>
      <c r="N226" s="841" t="str">
        <f>'Obrazac kalkulacije'!$F$25</f>
        <v>___________________</v>
      </c>
      <c r="O226" s="841"/>
    </row>
    <row r="227" spans="1:15" ht="15" customHeight="1">
      <c r="F227" s="841"/>
      <c r="G227" s="841"/>
      <c r="N227" s="841"/>
      <c r="O227" s="841"/>
    </row>
    <row r="228" spans="1:15" ht="15" customHeight="1"/>
    <row r="229" spans="1:15" ht="15" customHeight="1">
      <c r="A229" s="144"/>
      <c r="B229" s="145" t="s">
        <v>31</v>
      </c>
      <c r="C229" s="836" t="s">
        <v>261</v>
      </c>
      <c r="D229" s="836"/>
      <c r="E229" s="836"/>
      <c r="F229" s="836"/>
      <c r="G229" s="836"/>
      <c r="I229" s="144"/>
      <c r="J229" s="145" t="s">
        <v>31</v>
      </c>
      <c r="K229" s="836" t="s">
        <v>261</v>
      </c>
      <c r="L229" s="836"/>
      <c r="M229" s="836"/>
      <c r="N229" s="836"/>
      <c r="O229" s="836"/>
    </row>
    <row r="230" spans="1:15" ht="15" customHeight="1">
      <c r="A230" s="38"/>
      <c r="B230" s="39" t="s">
        <v>283</v>
      </c>
      <c r="C230" s="860" t="s">
        <v>284</v>
      </c>
      <c r="D230" s="860"/>
      <c r="E230" s="860"/>
      <c r="F230" s="860"/>
      <c r="G230" s="860"/>
      <c r="I230" s="38"/>
      <c r="J230" s="39" t="s">
        <v>283</v>
      </c>
      <c r="K230" s="860" t="s">
        <v>284</v>
      </c>
      <c r="L230" s="860"/>
      <c r="M230" s="860"/>
      <c r="N230" s="860"/>
      <c r="O230" s="860"/>
    </row>
    <row r="231" spans="1:15" ht="150" customHeight="1">
      <c r="A231" s="40"/>
      <c r="B231" s="556" t="s">
        <v>289</v>
      </c>
      <c r="C231" s="852" t="s">
        <v>290</v>
      </c>
      <c r="D231" s="852"/>
      <c r="E231" s="852"/>
      <c r="F231" s="852"/>
      <c r="G231" s="852"/>
      <c r="I231" s="40"/>
      <c r="J231" s="41" t="s">
        <v>289</v>
      </c>
      <c r="K231" s="869" t="s">
        <v>291</v>
      </c>
      <c r="L231" s="869"/>
      <c r="M231" s="869"/>
      <c r="N231" s="869"/>
      <c r="O231" s="869"/>
    </row>
    <row r="232" spans="1:15" ht="15" customHeight="1" thickBot="1"/>
    <row r="233" spans="1:15" ht="30" customHeight="1" thickTop="1" thickBot="1">
      <c r="A233" s="10"/>
      <c r="B233" s="835" t="str">
        <f>'Obrazac kalkulacije'!$B$6:$C$6</f>
        <v>Opis</v>
      </c>
      <c r="C233" s="835"/>
      <c r="D233" s="10" t="str">
        <f>'Obrazac kalkulacije'!$D$6</f>
        <v>Jed.
mjere</v>
      </c>
      <c r="E233" s="10" t="str">
        <f>'Obrazac kalkulacije'!$E$6</f>
        <v>Normativ</v>
      </c>
      <c r="F233" s="10" t="str">
        <f>'Obrazac kalkulacije'!$F$6</f>
        <v>Jed.
cijena</v>
      </c>
      <c r="G233" s="10" t="str">
        <f>'Obrazac kalkulacije'!$G$6</f>
        <v>Iznos</v>
      </c>
      <c r="I233" s="10"/>
      <c r="J233" s="835" t="e">
        <f>'Obrazac kalkulacije'!$B$6:$C$6</f>
        <v>#VALUE!</v>
      </c>
      <c r="K233" s="835"/>
      <c r="L233" s="10" t="str">
        <f>'Obrazac kalkulacije'!$D$6</f>
        <v>Jed.
mjere</v>
      </c>
      <c r="M233" s="10" t="str">
        <f>'Obrazac kalkulacije'!$E$6</f>
        <v>Normativ</v>
      </c>
      <c r="N233" s="10" t="str">
        <f>'Obrazac kalkulacije'!$F$6</f>
        <v>Jed.
cijena</v>
      </c>
      <c r="O233" s="10" t="str">
        <f>'Obrazac kalkulacije'!$G$6</f>
        <v>Iznos</v>
      </c>
    </row>
    <row r="234" spans="1:15" ht="4.5" customHeight="1" thickTop="1">
      <c r="B234" s="42"/>
      <c r="C234" s="1"/>
      <c r="D234" s="11"/>
      <c r="E234" s="13"/>
      <c r="F234" s="258"/>
      <c r="G234" s="15"/>
      <c r="J234" s="42"/>
      <c r="K234" s="1"/>
      <c r="L234" s="11"/>
      <c r="M234" s="13"/>
      <c r="N234" s="258"/>
      <c r="O234" s="15"/>
    </row>
    <row r="235" spans="1:15" ht="25.15" customHeight="1">
      <c r="A235" s="16"/>
      <c r="B235" s="837" t="str">
        <f>'Obrazac kalkulacije'!$B$8</f>
        <v>Radna snaga:</v>
      </c>
      <c r="C235" s="837"/>
      <c r="D235" s="16"/>
      <c r="E235" s="16"/>
      <c r="F235" s="44"/>
      <c r="G235" s="18">
        <f>SUM(G236:G236)</f>
        <v>429.57700623000005</v>
      </c>
      <c r="I235" s="16"/>
      <c r="J235" s="837" t="str">
        <f>'Obrazac kalkulacije'!$B$8</f>
        <v>Radna snaga:</v>
      </c>
      <c r="K235" s="837"/>
      <c r="L235" s="16"/>
      <c r="M235" s="16"/>
      <c r="N235" s="44"/>
      <c r="O235" s="18">
        <f>SUM(O236:O236)</f>
        <v>429.57700623000005</v>
      </c>
    </row>
    <row r="236" spans="1:15" ht="25.15" customHeight="1">
      <c r="A236" s="32"/>
      <c r="B236" s="854" t="s">
        <v>57</v>
      </c>
      <c r="C236" s="854"/>
      <c r="D236" s="33" t="s">
        <v>51</v>
      </c>
      <c r="E236" s="34">
        <v>4.0900410000000003</v>
      </c>
      <c r="F236" s="238">
        <f>SUMIF('Cjenik RS'!$C$11:$C$26,$B236,'Cjenik RS'!$D$11:$D$90)</f>
        <v>105.03</v>
      </c>
      <c r="G236" s="35">
        <f>+F236*E236</f>
        <v>429.57700623000005</v>
      </c>
      <c r="I236" s="32"/>
      <c r="J236" s="854" t="s">
        <v>57</v>
      </c>
      <c r="K236" s="854"/>
      <c r="L236" s="33" t="s">
        <v>51</v>
      </c>
      <c r="M236" s="34">
        <v>4.0900410000000003</v>
      </c>
      <c r="N236" s="238">
        <f>SUMIF('Cjenik RS'!$C$11:$C$26,$J236,'Cjenik RS'!$D$11:$D$90)</f>
        <v>105.03</v>
      </c>
      <c r="O236" s="35">
        <f>+N236*M236</f>
        <v>429.57700623000005</v>
      </c>
    </row>
    <row r="237" spans="1:15" ht="25.15" customHeight="1">
      <c r="A237" s="16"/>
      <c r="B237" s="837" t="str">
        <f>'Obrazac kalkulacije'!$B$11</f>
        <v>Vozila, strojevi i oprema:</v>
      </c>
      <c r="C237" s="837"/>
      <c r="D237" s="16"/>
      <c r="E237" s="16"/>
      <c r="F237" s="238"/>
      <c r="G237" s="18">
        <f>SUM(G238:G240)</f>
        <v>123.73769424670806</v>
      </c>
      <c r="I237" s="16"/>
      <c r="J237" s="837" t="str">
        <f>'Obrazac kalkulacije'!$B$11</f>
        <v>Vozila, strojevi i oprema:</v>
      </c>
      <c r="K237" s="837"/>
      <c r="L237" s="16"/>
      <c r="M237" s="16"/>
      <c r="N237" s="238"/>
      <c r="O237" s="18">
        <f>SUM(O238:O240)</f>
        <v>152.7906136</v>
      </c>
    </row>
    <row r="238" spans="1:15" ht="25.15" customHeight="1">
      <c r="A238" s="51"/>
      <c r="B238" s="849" t="s">
        <v>69</v>
      </c>
      <c r="C238" s="849"/>
      <c r="D238" s="52" t="s">
        <v>51</v>
      </c>
      <c r="E238" s="53">
        <v>0.38344099999999998</v>
      </c>
      <c r="F238" s="260">
        <f>SUMIF('Cjenik VSO'!$B$9:$B$85,$B238,'Cjenik VSO'!$C$9:$C$85)</f>
        <v>179.6</v>
      </c>
      <c r="G238" s="54">
        <f>E238*F238</f>
        <v>68.866003599999999</v>
      </c>
      <c r="I238" s="51"/>
      <c r="J238" s="849" t="s">
        <v>69</v>
      </c>
      <c r="K238" s="849"/>
      <c r="L238" s="52" t="s">
        <v>51</v>
      </c>
      <c r="M238" s="53">
        <v>0.38344099999999998</v>
      </c>
      <c r="N238" s="260">
        <f>SUMIF('Cjenik VSO'!$B$9:$B$85,$B238,'Cjenik VSO'!$C$9:$C$85)</f>
        <v>179.6</v>
      </c>
      <c r="O238" s="54">
        <f>M238*N238</f>
        <v>68.866003599999999</v>
      </c>
    </row>
    <row r="239" spans="1:15" ht="25.15" customHeight="1">
      <c r="A239" s="56"/>
      <c r="B239" s="839" t="s">
        <v>70</v>
      </c>
      <c r="C239" s="839"/>
      <c r="D239" s="57" t="s">
        <v>51</v>
      </c>
      <c r="E239" s="58">
        <v>0.42499999999999999</v>
      </c>
      <c r="F239" s="263">
        <f>SUMIF('Cjenik VSO'!$B$9:$B$85,$B239,'Cjenik VSO'!$C$9:$C$85)</f>
        <v>99.33</v>
      </c>
      <c r="G239" s="59">
        <f>E239*F239</f>
        <v>42.215249999999997</v>
      </c>
      <c r="I239" s="56"/>
      <c r="J239" s="839" t="s">
        <v>70</v>
      </c>
      <c r="K239" s="839"/>
      <c r="L239" s="57" t="s">
        <v>51</v>
      </c>
      <c r="M239" s="58">
        <v>0.42499999999999999</v>
      </c>
      <c r="N239" s="263">
        <f>SUMIF('Cjenik VSO'!$B$9:$B$85,$B239,'Cjenik VSO'!$C$9:$C$85)</f>
        <v>99.33</v>
      </c>
      <c r="O239" s="59">
        <f>M239*N239</f>
        <v>42.215249999999997</v>
      </c>
    </row>
    <row r="240" spans="1:15" ht="25.15" customHeight="1">
      <c r="A240" s="98"/>
      <c r="B240" s="875" t="s">
        <v>288</v>
      </c>
      <c r="C240" s="875"/>
      <c r="D240" s="57" t="s">
        <v>51</v>
      </c>
      <c r="E240" s="142">
        <v>7.4100940554496855E-2</v>
      </c>
      <c r="F240" s="263">
        <f>SUMIF('Cjenik VSO'!$B$9:$B$85,$B240,'Cjenik VSO'!$C$9:$C$85)</f>
        <v>170.8</v>
      </c>
      <c r="G240" s="60">
        <f>E240*F240</f>
        <v>12.656440646708063</v>
      </c>
      <c r="I240" s="98"/>
      <c r="J240" s="875" t="s">
        <v>288</v>
      </c>
      <c r="K240" s="875"/>
      <c r="L240" s="57" t="s">
        <v>51</v>
      </c>
      <c r="M240" s="142">
        <v>0.2442</v>
      </c>
      <c r="N240" s="263">
        <f>SUMIF('Cjenik VSO'!$B$9:$B$85,$B240,'Cjenik VSO'!$C$9:$C$85)</f>
        <v>170.8</v>
      </c>
      <c r="O240" s="60">
        <f>M240*N240</f>
        <v>41.709360000000004</v>
      </c>
    </row>
    <row r="241" spans="1:15" ht="25.15" customHeight="1">
      <c r="A241" s="16"/>
      <c r="B241" s="837" t="str">
        <f>'Obrazac kalkulacije'!$B$15</f>
        <v>Materijali:</v>
      </c>
      <c r="C241" s="837"/>
      <c r="D241" s="16"/>
      <c r="E241" s="16"/>
      <c r="F241" s="238"/>
      <c r="G241" s="18">
        <f>SUM(G242:G243)</f>
        <v>0</v>
      </c>
      <c r="I241" s="16"/>
      <c r="J241" s="837" t="str">
        <f>'Obrazac kalkulacije'!$B$15</f>
        <v>Materijali:</v>
      </c>
      <c r="K241" s="837"/>
      <c r="L241" s="16"/>
      <c r="M241" s="16"/>
      <c r="N241" s="238"/>
      <c r="O241" s="18">
        <f>SUM(O242:O243)</f>
        <v>0</v>
      </c>
    </row>
    <row r="242" spans="1:15" ht="25.15" customHeight="1">
      <c r="A242" s="51"/>
      <c r="B242" s="863">
        <f>'Cjenik M'!$B$31</f>
        <v>0</v>
      </c>
      <c r="C242" s="863"/>
      <c r="D242" s="52">
        <f>'Cjenik M'!$C$31</f>
        <v>0</v>
      </c>
      <c r="E242" s="53">
        <v>4.8240000000000002E-3</v>
      </c>
      <c r="F242" s="260">
        <f>'Cjenik M'!$D$31</f>
        <v>0</v>
      </c>
      <c r="G242" s="55">
        <f>E242*F242</f>
        <v>0</v>
      </c>
      <c r="I242" s="51"/>
      <c r="J242" s="863">
        <f>'Cjenik M'!$B$31</f>
        <v>0</v>
      </c>
      <c r="K242" s="863"/>
      <c r="L242" s="52">
        <f>'Cjenik M'!$C$31</f>
        <v>0</v>
      </c>
      <c r="M242" s="53">
        <v>4.8240000000000002E-3</v>
      </c>
      <c r="N242" s="260">
        <f>'Cjenik M'!$D$31</f>
        <v>0</v>
      </c>
      <c r="O242" s="55">
        <f>M242*N242</f>
        <v>0</v>
      </c>
    </row>
    <row r="243" spans="1:15" ht="25.15" customHeight="1" thickBot="1">
      <c r="A243" s="66"/>
      <c r="B243" s="859">
        <f>'Cjenik M'!$B$81</f>
        <v>0</v>
      </c>
      <c r="C243" s="859"/>
      <c r="D243" s="67">
        <f>'Cjenik M'!$C$81</f>
        <v>0</v>
      </c>
      <c r="E243" s="68">
        <v>110</v>
      </c>
      <c r="F243" s="262">
        <f>'Cjenik M'!$D$81</f>
        <v>0</v>
      </c>
      <c r="G243" s="70">
        <f>E243*F243</f>
        <v>0</v>
      </c>
      <c r="I243" s="66"/>
      <c r="J243" s="859">
        <f>'Cjenik M'!$B$81</f>
        <v>0</v>
      </c>
      <c r="K243" s="859"/>
      <c r="L243" s="67">
        <f>'Cjenik M'!$C$81</f>
        <v>0</v>
      </c>
      <c r="M243" s="68">
        <v>110</v>
      </c>
      <c r="N243" s="262">
        <f>'Cjenik M'!$D$81</f>
        <v>0</v>
      </c>
      <c r="O243" s="70">
        <f>M243*N243</f>
        <v>0</v>
      </c>
    </row>
    <row r="244" spans="1:15" ht="25.15" customHeight="1" thickTop="1" thickBot="1">
      <c r="B244" s="47"/>
      <c r="C244" s="24"/>
      <c r="D244" s="25"/>
      <c r="E244" s="850" t="str">
        <f>'Obrazac kalkulacije'!$E$18</f>
        <v>Ukupno (kn):</v>
      </c>
      <c r="F244" s="850"/>
      <c r="G244" s="26">
        <f>ROUND(SUM(G235+G237+G241),2)</f>
        <v>553.30999999999995</v>
      </c>
      <c r="H244" s="269" t="e">
        <f>SUMIF(#REF!,$B231,#REF!)</f>
        <v>#REF!</v>
      </c>
      <c r="J244" s="47"/>
      <c r="K244" s="24"/>
      <c r="L244" s="25"/>
      <c r="M244" s="850" t="str">
        <f>'Obrazac kalkulacije'!$E$18</f>
        <v>Ukupno (kn):</v>
      </c>
      <c r="N244" s="850"/>
      <c r="O244" s="26">
        <f>ROUND(SUM(O235+O237+O241),2)</f>
        <v>582.37</v>
      </c>
    </row>
    <row r="245" spans="1:15" ht="25.15" customHeight="1" thickTop="1" thickBot="1">
      <c r="E245" s="27" t="str">
        <f>'Obrazac kalkulacije'!$E$19</f>
        <v>PDV:</v>
      </c>
      <c r="F245" s="259">
        <f>'Obrazac kalkulacije'!$F$19</f>
        <v>0.25</v>
      </c>
      <c r="G245" s="29">
        <f>G244*F245</f>
        <v>138.32749999999999</v>
      </c>
      <c r="H245" s="270" t="e">
        <f>H244-G244</f>
        <v>#REF!</v>
      </c>
      <c r="M245" s="27" t="str">
        <f>'Obrazac kalkulacije'!$E$19</f>
        <v>PDV:</v>
      </c>
      <c r="N245" s="259">
        <f>'Obrazac kalkulacije'!$F$19</f>
        <v>0.25</v>
      </c>
      <c r="O245" s="29">
        <f>O244*N245</f>
        <v>145.5925</v>
      </c>
    </row>
    <row r="246" spans="1:15" ht="25.15" customHeight="1" thickTop="1" thickBot="1">
      <c r="E246" s="840" t="str">
        <f>'Obrazac kalkulacije'!$E$20</f>
        <v>Sveukupno (kn):</v>
      </c>
      <c r="F246" s="840"/>
      <c r="G246" s="29">
        <f>ROUND(SUM(G244:G245),2)</f>
        <v>691.64</v>
      </c>
      <c r="H246" s="271" t="e">
        <f>G240+H245</f>
        <v>#REF!</v>
      </c>
      <c r="M246" s="840" t="str">
        <f>'Obrazac kalkulacije'!$E$20</f>
        <v>Sveukupno (kn):</v>
      </c>
      <c r="N246" s="840"/>
      <c r="O246" s="29">
        <f>ROUND(SUM(O244:O245),2)</f>
        <v>727.96</v>
      </c>
    </row>
    <row r="247" spans="1:15" ht="15" customHeight="1" thickTop="1"/>
    <row r="248" spans="1:15" ht="15" customHeight="1"/>
    <row r="249" spans="1:15" ht="15" customHeight="1"/>
    <row r="250" spans="1:15" ht="15" customHeight="1">
      <c r="C250" s="3" t="str">
        <f>'Obrazac kalkulacije'!$C$24</f>
        <v>IZVODITELJ:</v>
      </c>
      <c r="F250" s="841" t="str">
        <f>'Obrazac kalkulacije'!$F$24</f>
        <v>NARUČITELJ:</v>
      </c>
      <c r="G250" s="841"/>
      <c r="K250" s="3" t="str">
        <f>'Obrazac kalkulacije'!$C$24</f>
        <v>IZVODITELJ:</v>
      </c>
      <c r="N250" s="841" t="str">
        <f>'Obrazac kalkulacije'!$F$24</f>
        <v>NARUČITELJ:</v>
      </c>
      <c r="O250" s="841"/>
    </row>
    <row r="251" spans="1:15" ht="25.15" customHeight="1">
      <c r="C251" s="3" t="str">
        <f>'Obrazac kalkulacije'!$C$25</f>
        <v>__________________</v>
      </c>
      <c r="F251" s="841" t="str">
        <f>'Obrazac kalkulacije'!$F$25</f>
        <v>___________________</v>
      </c>
      <c r="G251" s="841"/>
      <c r="K251" s="3" t="str">
        <f>'Obrazac kalkulacije'!$C$25</f>
        <v>__________________</v>
      </c>
      <c r="N251" s="841" t="str">
        <f>'Obrazac kalkulacije'!$F$25</f>
        <v>___________________</v>
      </c>
      <c r="O251" s="841"/>
    </row>
    <row r="252" spans="1:15" ht="15" customHeight="1">
      <c r="F252" s="841"/>
      <c r="G252" s="841"/>
      <c r="N252" s="841"/>
      <c r="O252" s="841"/>
    </row>
    <row r="253" spans="1:15" ht="15" customHeight="1"/>
    <row r="254" spans="1:15" ht="15" customHeight="1">
      <c r="A254" s="144"/>
      <c r="B254" s="145" t="s">
        <v>31</v>
      </c>
      <c r="C254" s="836" t="s">
        <v>261</v>
      </c>
      <c r="D254" s="836"/>
      <c r="E254" s="836"/>
      <c r="F254" s="836"/>
      <c r="G254" s="836"/>
      <c r="I254" s="144"/>
      <c r="J254" s="145" t="s">
        <v>31</v>
      </c>
      <c r="K254" s="836" t="s">
        <v>261</v>
      </c>
      <c r="L254" s="836"/>
      <c r="M254" s="836"/>
      <c r="N254" s="836"/>
      <c r="O254" s="836"/>
    </row>
    <row r="255" spans="1:15" ht="15" customHeight="1">
      <c r="A255" s="38"/>
      <c r="B255" s="39" t="s">
        <v>283</v>
      </c>
      <c r="C255" s="860" t="s">
        <v>284</v>
      </c>
      <c r="D255" s="860"/>
      <c r="E255" s="860"/>
      <c r="F255" s="860"/>
      <c r="G255" s="860"/>
      <c r="I255" s="38"/>
      <c r="J255" s="39" t="s">
        <v>283</v>
      </c>
      <c r="K255" s="860" t="s">
        <v>284</v>
      </c>
      <c r="L255" s="860"/>
      <c r="M255" s="860"/>
      <c r="N255" s="860"/>
      <c r="O255" s="860"/>
    </row>
    <row r="256" spans="1:15" ht="150" customHeight="1">
      <c r="A256" s="40"/>
      <c r="B256" s="556" t="s">
        <v>292</v>
      </c>
      <c r="C256" s="852" t="s">
        <v>293</v>
      </c>
      <c r="D256" s="852"/>
      <c r="E256" s="852"/>
      <c r="F256" s="852"/>
      <c r="G256" s="852"/>
      <c r="I256" s="40"/>
      <c r="J256" s="41" t="s">
        <v>292</v>
      </c>
      <c r="K256" s="869" t="s">
        <v>294</v>
      </c>
      <c r="L256" s="869"/>
      <c r="M256" s="869"/>
      <c r="N256" s="869"/>
      <c r="O256" s="869"/>
    </row>
    <row r="257" spans="1:15" ht="15" customHeight="1" thickBot="1"/>
    <row r="258" spans="1:15" ht="30" customHeight="1" thickTop="1" thickBot="1">
      <c r="A258" s="10"/>
      <c r="B258" s="835" t="str">
        <f>'Obrazac kalkulacije'!$B$6:$C$6</f>
        <v>Opis</v>
      </c>
      <c r="C258" s="835"/>
      <c r="D258" s="10" t="str">
        <f>'Obrazac kalkulacije'!$D$6</f>
        <v>Jed.
mjere</v>
      </c>
      <c r="E258" s="10" t="str">
        <f>'Obrazac kalkulacije'!$E$6</f>
        <v>Normativ</v>
      </c>
      <c r="F258" s="10" t="str">
        <f>'Obrazac kalkulacije'!$F$6</f>
        <v>Jed.
cijena</v>
      </c>
      <c r="G258" s="10" t="str">
        <f>'Obrazac kalkulacije'!$G$6</f>
        <v>Iznos</v>
      </c>
      <c r="I258" s="10"/>
      <c r="J258" s="835" t="e">
        <f>'Obrazac kalkulacije'!$B$6:$C$6</f>
        <v>#VALUE!</v>
      </c>
      <c r="K258" s="835"/>
      <c r="L258" s="10" t="str">
        <f>'Obrazac kalkulacije'!$D$6</f>
        <v>Jed.
mjere</v>
      </c>
      <c r="M258" s="10" t="str">
        <f>'Obrazac kalkulacije'!$E$6</f>
        <v>Normativ</v>
      </c>
      <c r="N258" s="10" t="str">
        <f>'Obrazac kalkulacije'!$F$6</f>
        <v>Jed.
cijena</v>
      </c>
      <c r="O258" s="10" t="str">
        <f>'Obrazac kalkulacije'!$G$6</f>
        <v>Iznos</v>
      </c>
    </row>
    <row r="259" spans="1:15" ht="4.5" customHeight="1" thickTop="1">
      <c r="B259" s="42"/>
      <c r="C259" s="1"/>
      <c r="D259" s="11"/>
      <c r="E259" s="13"/>
      <c r="F259" s="258"/>
      <c r="G259" s="15"/>
      <c r="J259" s="42"/>
      <c r="K259" s="1"/>
      <c r="L259" s="11"/>
      <c r="M259" s="13"/>
      <c r="N259" s="258"/>
      <c r="O259" s="15"/>
    </row>
    <row r="260" spans="1:15" ht="25.15" customHeight="1">
      <c r="A260" s="16"/>
      <c r="B260" s="837" t="str">
        <f>'Obrazac kalkulacije'!$B$8</f>
        <v>Radna snaga:</v>
      </c>
      <c r="C260" s="837"/>
      <c r="D260" s="16"/>
      <c r="E260" s="16"/>
      <c r="F260" s="44"/>
      <c r="G260" s="18">
        <f>SUM(G261:G261)</f>
        <v>385.76867813999996</v>
      </c>
      <c r="I260" s="16"/>
      <c r="J260" s="837" t="str">
        <f>'Obrazac kalkulacije'!$B$8</f>
        <v>Radna snaga:</v>
      </c>
      <c r="K260" s="837"/>
      <c r="L260" s="16"/>
      <c r="M260" s="16"/>
      <c r="N260" s="44"/>
      <c r="O260" s="18">
        <f>SUM(O261:O261)</f>
        <v>385.76867813999996</v>
      </c>
    </row>
    <row r="261" spans="1:15" ht="25.15" customHeight="1">
      <c r="A261" s="32"/>
      <c r="B261" s="854" t="s">
        <v>57</v>
      </c>
      <c r="C261" s="854"/>
      <c r="D261" s="33" t="s">
        <v>51</v>
      </c>
      <c r="E261" s="34">
        <v>3.6729379999999998</v>
      </c>
      <c r="F261" s="238">
        <f>SUMIF('Cjenik RS'!$C$11:$C$26,$B261,'Cjenik RS'!$D$11:$D$90)</f>
        <v>105.03</v>
      </c>
      <c r="G261" s="35">
        <f>+F261*E261</f>
        <v>385.76867813999996</v>
      </c>
      <c r="I261" s="32"/>
      <c r="J261" s="854" t="s">
        <v>57</v>
      </c>
      <c r="K261" s="854"/>
      <c r="L261" s="33" t="s">
        <v>51</v>
      </c>
      <c r="M261" s="34">
        <v>3.6729379999999998</v>
      </c>
      <c r="N261" s="238">
        <f>SUMIF('Cjenik RS'!$C$11:$C$26,$J261,'Cjenik RS'!$D$11:$D$90)</f>
        <v>105.03</v>
      </c>
      <c r="O261" s="35">
        <f>+N261*M261</f>
        <v>385.76867813999996</v>
      </c>
    </row>
    <row r="262" spans="1:15" ht="25.15" customHeight="1">
      <c r="A262" s="16"/>
      <c r="B262" s="837" t="str">
        <f>'Obrazac kalkulacije'!$B$11</f>
        <v>Vozila, strojevi i oprema:</v>
      </c>
      <c r="C262" s="837"/>
      <c r="D262" s="16"/>
      <c r="E262" s="16"/>
      <c r="F262" s="238"/>
      <c r="G262" s="18">
        <f>SUM(G263:G265)</f>
        <v>105.37900383792955</v>
      </c>
      <c r="I262" s="16"/>
      <c r="J262" s="837" t="str">
        <f>'Obrazac kalkulacije'!$B$11</f>
        <v>Vozila, strojevi i oprema:</v>
      </c>
      <c r="K262" s="837"/>
      <c r="L262" s="16"/>
      <c r="M262" s="16"/>
      <c r="N262" s="238"/>
      <c r="O262" s="18">
        <f>SUM(O263:O265)</f>
        <v>132.68933479999998</v>
      </c>
    </row>
    <row r="263" spans="1:15" ht="25.15" customHeight="1">
      <c r="A263" s="51"/>
      <c r="B263" s="849" t="s">
        <v>69</v>
      </c>
      <c r="C263" s="849"/>
      <c r="D263" s="52" t="s">
        <v>51</v>
      </c>
      <c r="E263" s="135">
        <v>0.34433799999999998</v>
      </c>
      <c r="F263" s="260">
        <f>SUMIF('Cjenik VSO'!$B$9:$B$85,$B263,'Cjenik VSO'!$C$9:$C$85)</f>
        <v>179.6</v>
      </c>
      <c r="G263" s="54">
        <f>E263*F263</f>
        <v>61.843104799999992</v>
      </c>
      <c r="I263" s="51"/>
      <c r="J263" s="849" t="s">
        <v>69</v>
      </c>
      <c r="K263" s="849"/>
      <c r="L263" s="52" t="s">
        <v>51</v>
      </c>
      <c r="M263" s="135">
        <v>0.34433799999999998</v>
      </c>
      <c r="N263" s="260">
        <f>SUMIF('Cjenik VSO'!$B$9:$B$85,$B263,'Cjenik VSO'!$C$9:$C$85)</f>
        <v>179.6</v>
      </c>
      <c r="O263" s="54">
        <f>M263*N263</f>
        <v>61.843104799999992</v>
      </c>
    </row>
    <row r="264" spans="1:15" ht="25.15" customHeight="1">
      <c r="A264" s="56"/>
      <c r="B264" s="839" t="s">
        <v>70</v>
      </c>
      <c r="C264" s="839"/>
      <c r="D264" s="57" t="s">
        <v>51</v>
      </c>
      <c r="E264" s="58">
        <v>0.315</v>
      </c>
      <c r="F264" s="263">
        <f>SUMIF('Cjenik VSO'!$B$9:$B$85,$B264,'Cjenik VSO'!$C$9:$C$85)</f>
        <v>99.33</v>
      </c>
      <c r="G264" s="59">
        <f>E264*F264</f>
        <v>31.28895</v>
      </c>
      <c r="I264" s="56"/>
      <c r="J264" s="839" t="s">
        <v>70</v>
      </c>
      <c r="K264" s="839"/>
      <c r="L264" s="57" t="s">
        <v>51</v>
      </c>
      <c r="M264" s="58">
        <v>0.315</v>
      </c>
      <c r="N264" s="263">
        <f>SUMIF('Cjenik VSO'!$B$9:$B$85,$B264,'Cjenik VSO'!$C$9:$C$85)</f>
        <v>99.33</v>
      </c>
      <c r="O264" s="59">
        <f>M264*N264</f>
        <v>31.28895</v>
      </c>
    </row>
    <row r="265" spans="1:15" ht="25.15" customHeight="1">
      <c r="A265" s="98"/>
      <c r="B265" s="875" t="s">
        <v>288</v>
      </c>
      <c r="C265" s="875"/>
      <c r="D265" s="57" t="s">
        <v>51</v>
      </c>
      <c r="E265" s="75">
        <v>7.1703448699821717E-2</v>
      </c>
      <c r="F265" s="263">
        <f>SUMIF('Cjenik VSO'!$B$9:$B$85,$B265,'Cjenik VSO'!$C$9:$C$85)</f>
        <v>170.8</v>
      </c>
      <c r="G265" s="60">
        <f>E265*F265</f>
        <v>12.24694903792955</v>
      </c>
      <c r="I265" s="98"/>
      <c r="J265" s="875" t="s">
        <v>288</v>
      </c>
      <c r="K265" s="875"/>
      <c r="L265" s="57" t="s">
        <v>51</v>
      </c>
      <c r="M265" s="75">
        <v>0.2316</v>
      </c>
      <c r="N265" s="263">
        <f>SUMIF('Cjenik VSO'!$B$9:$B$85,$B265,'Cjenik VSO'!$C$9:$C$85)</f>
        <v>170.8</v>
      </c>
      <c r="O265" s="60">
        <f>M265*N265</f>
        <v>39.557280000000006</v>
      </c>
    </row>
    <row r="266" spans="1:15" ht="25.15" customHeight="1">
      <c r="A266" s="16"/>
      <c r="B266" s="837" t="str">
        <f>'Obrazac kalkulacije'!$B$15</f>
        <v>Materijali:</v>
      </c>
      <c r="C266" s="837"/>
      <c r="D266" s="16"/>
      <c r="E266" s="16"/>
      <c r="F266" s="238"/>
      <c r="G266" s="18">
        <f>SUM(G268:G268)</f>
        <v>0</v>
      </c>
      <c r="I266" s="16"/>
      <c r="J266" s="837" t="str">
        <f>'Obrazac kalkulacije'!$B$15</f>
        <v>Materijali:</v>
      </c>
      <c r="K266" s="837"/>
      <c r="L266" s="16"/>
      <c r="M266" s="16"/>
      <c r="N266" s="238"/>
      <c r="O266" s="18">
        <f>SUM(O268:O268)</f>
        <v>0</v>
      </c>
    </row>
    <row r="267" spans="1:15" ht="25.15" customHeight="1">
      <c r="A267" s="51"/>
      <c r="B267" s="863">
        <f>'Cjenik M'!$B$31</f>
        <v>0</v>
      </c>
      <c r="C267" s="863"/>
      <c r="D267" s="52">
        <f>'Cjenik M'!$C$31</f>
        <v>0</v>
      </c>
      <c r="E267" s="53">
        <v>3.2160000000000001E-3</v>
      </c>
      <c r="F267" s="260">
        <f>'Cjenik M'!$D$31</f>
        <v>0</v>
      </c>
      <c r="G267" s="55">
        <f>E267*F267</f>
        <v>0</v>
      </c>
      <c r="I267" s="51"/>
      <c r="J267" s="863">
        <f>'Cjenik M'!$B$31</f>
        <v>0</v>
      </c>
      <c r="K267" s="863"/>
      <c r="L267" s="52">
        <f>'Cjenik M'!$C$31</f>
        <v>0</v>
      </c>
      <c r="M267" s="53">
        <v>3.2160000000000001E-3</v>
      </c>
      <c r="N267" s="260">
        <f>'Cjenik M'!$D$31</f>
        <v>0</v>
      </c>
      <c r="O267" s="55">
        <f>M267*N267</f>
        <v>0</v>
      </c>
    </row>
    <row r="268" spans="1:15" ht="25.15" customHeight="1" thickBot="1">
      <c r="A268" s="66"/>
      <c r="B268" s="859">
        <f>'Cjenik M'!$B$34</f>
        <v>0</v>
      </c>
      <c r="C268" s="859"/>
      <c r="D268" s="67">
        <f>'Cjenik M'!$C$34</f>
        <v>0</v>
      </c>
      <c r="E268" s="68">
        <v>0.05</v>
      </c>
      <c r="F268" s="262">
        <f>'Cjenik M'!$D$34</f>
        <v>0</v>
      </c>
      <c r="G268" s="70">
        <f>E268*F268</f>
        <v>0</v>
      </c>
      <c r="I268" s="66"/>
      <c r="J268" s="859">
        <f>'Cjenik M'!$B$34</f>
        <v>0</v>
      </c>
      <c r="K268" s="859"/>
      <c r="L268" s="67">
        <f>'Cjenik M'!$C$34</f>
        <v>0</v>
      </c>
      <c r="M268" s="68">
        <v>0.05</v>
      </c>
      <c r="N268" s="262">
        <f>'Cjenik M'!$D$34</f>
        <v>0</v>
      </c>
      <c r="O268" s="70">
        <f>M268*N268</f>
        <v>0</v>
      </c>
    </row>
    <row r="269" spans="1:15" ht="25.15" customHeight="1" thickTop="1" thickBot="1">
      <c r="B269" s="47"/>
      <c r="C269" s="24"/>
      <c r="D269" s="25"/>
      <c r="E269" s="850" t="str">
        <f>'Obrazac kalkulacije'!$E$18</f>
        <v>Ukupno (kn):</v>
      </c>
      <c r="F269" s="850"/>
      <c r="G269" s="26">
        <f>ROUND(SUM(G260+G262+G266),2)</f>
        <v>491.15</v>
      </c>
      <c r="H269" s="269" t="e">
        <f>SUMIF(#REF!,$B256,#REF!)</f>
        <v>#REF!</v>
      </c>
      <c r="J269" s="47"/>
      <c r="K269" s="24"/>
      <c r="L269" s="25"/>
      <c r="M269" s="850" t="str">
        <f>'Obrazac kalkulacije'!$E$18</f>
        <v>Ukupno (kn):</v>
      </c>
      <c r="N269" s="850"/>
      <c r="O269" s="26">
        <f>ROUND(SUM(O260+O262+O266),2)</f>
        <v>518.46</v>
      </c>
    </row>
    <row r="270" spans="1:15" ht="25.15" customHeight="1" thickTop="1" thickBot="1">
      <c r="E270" s="27" t="str">
        <f>'Obrazac kalkulacije'!$E$19</f>
        <v>PDV:</v>
      </c>
      <c r="F270" s="259">
        <f>'Obrazac kalkulacije'!$F$19</f>
        <v>0.25</v>
      </c>
      <c r="G270" s="29">
        <f>G269*F270</f>
        <v>122.78749999999999</v>
      </c>
      <c r="H270" s="270" t="e">
        <f>H269-G269</f>
        <v>#REF!</v>
      </c>
      <c r="M270" s="27" t="str">
        <f>'Obrazac kalkulacije'!$E$19</f>
        <v>PDV:</v>
      </c>
      <c r="N270" s="259">
        <f>'Obrazac kalkulacije'!$F$19</f>
        <v>0.25</v>
      </c>
      <c r="O270" s="29">
        <f>O269*N270</f>
        <v>129.61500000000001</v>
      </c>
    </row>
    <row r="271" spans="1:15" ht="25.15" customHeight="1" thickTop="1" thickBot="1">
      <c r="E271" s="840" t="str">
        <f>'Obrazac kalkulacije'!$E$20</f>
        <v>Sveukupno (kn):</v>
      </c>
      <c r="F271" s="840"/>
      <c r="G271" s="29">
        <f>ROUND(SUM(G269:G270),2)</f>
        <v>613.94000000000005</v>
      </c>
      <c r="H271" s="271" t="e">
        <f>G265+H270</f>
        <v>#REF!</v>
      </c>
      <c r="M271" s="840" t="str">
        <f>'Obrazac kalkulacije'!$E$20</f>
        <v>Sveukupno (kn):</v>
      </c>
      <c r="N271" s="840"/>
      <c r="O271" s="29">
        <f>ROUND(SUM(O269:O270),2)</f>
        <v>648.08000000000004</v>
      </c>
    </row>
    <row r="272" spans="1:15" ht="15" customHeight="1" thickTop="1"/>
    <row r="273" spans="1:15" ht="15" customHeight="1"/>
    <row r="274" spans="1:15" ht="15" customHeight="1"/>
    <row r="275" spans="1:15" ht="15" customHeight="1">
      <c r="C275" s="3" t="str">
        <f>'Obrazac kalkulacije'!$C$24</f>
        <v>IZVODITELJ:</v>
      </c>
      <c r="F275" s="841" t="str">
        <f>'Obrazac kalkulacije'!$F$24</f>
        <v>NARUČITELJ:</v>
      </c>
      <c r="G275" s="841"/>
      <c r="K275" s="3" t="str">
        <f>'Obrazac kalkulacije'!$C$24</f>
        <v>IZVODITELJ:</v>
      </c>
      <c r="N275" s="841" t="str">
        <f>'Obrazac kalkulacije'!$F$24</f>
        <v>NARUČITELJ:</v>
      </c>
      <c r="O275" s="841"/>
    </row>
    <row r="276" spans="1:15" ht="25.15" customHeight="1">
      <c r="C276" s="3" t="str">
        <f>'Obrazac kalkulacije'!$C$25</f>
        <v>__________________</v>
      </c>
      <c r="F276" s="841" t="str">
        <f>'Obrazac kalkulacije'!$F$25</f>
        <v>___________________</v>
      </c>
      <c r="G276" s="841"/>
      <c r="K276" s="3" t="str">
        <f>'Obrazac kalkulacije'!$C$25</f>
        <v>__________________</v>
      </c>
      <c r="N276" s="841" t="str">
        <f>'Obrazac kalkulacije'!$F$25</f>
        <v>___________________</v>
      </c>
      <c r="O276" s="841"/>
    </row>
    <row r="277" spans="1:15" ht="15" customHeight="1">
      <c r="F277" s="841"/>
      <c r="G277" s="841"/>
      <c r="N277" s="841"/>
      <c r="O277" s="841"/>
    </row>
    <row r="278" spans="1:15" ht="15" customHeight="1"/>
    <row r="279" spans="1:15" ht="15" customHeight="1">
      <c r="A279" s="144"/>
      <c r="B279" s="145" t="s">
        <v>31</v>
      </c>
      <c r="C279" s="836" t="s">
        <v>261</v>
      </c>
      <c r="D279" s="836"/>
      <c r="E279" s="836"/>
      <c r="F279" s="836"/>
      <c r="G279" s="836"/>
      <c r="I279" s="144"/>
      <c r="J279" s="145" t="s">
        <v>31</v>
      </c>
      <c r="K279" s="836" t="s">
        <v>261</v>
      </c>
      <c r="L279" s="836"/>
      <c r="M279" s="836"/>
      <c r="N279" s="836"/>
      <c r="O279" s="836"/>
    </row>
    <row r="280" spans="1:15" ht="15" customHeight="1">
      <c r="A280" s="38"/>
      <c r="B280" s="39" t="s">
        <v>283</v>
      </c>
      <c r="C280" s="860" t="s">
        <v>284</v>
      </c>
      <c r="D280" s="860"/>
      <c r="E280" s="860"/>
      <c r="F280" s="860"/>
      <c r="G280" s="860"/>
      <c r="I280" s="38"/>
      <c r="J280" s="39" t="s">
        <v>283</v>
      </c>
      <c r="K280" s="860" t="s">
        <v>284</v>
      </c>
      <c r="L280" s="860"/>
      <c r="M280" s="860"/>
      <c r="N280" s="860"/>
      <c r="O280" s="860"/>
    </row>
    <row r="281" spans="1:15" ht="150" customHeight="1">
      <c r="A281" s="40"/>
      <c r="B281" s="556" t="s">
        <v>295</v>
      </c>
      <c r="C281" s="852" t="s">
        <v>296</v>
      </c>
      <c r="D281" s="852"/>
      <c r="E281" s="852"/>
      <c r="F281" s="852"/>
      <c r="G281" s="852"/>
      <c r="I281" s="40"/>
      <c r="J281" s="41" t="s">
        <v>295</v>
      </c>
      <c r="K281" s="869" t="s">
        <v>297</v>
      </c>
      <c r="L281" s="869"/>
      <c r="M281" s="869"/>
      <c r="N281" s="869"/>
      <c r="O281" s="869"/>
    </row>
    <row r="282" spans="1:15" ht="15" customHeight="1" thickBot="1"/>
    <row r="283" spans="1:15" ht="30" customHeight="1" thickTop="1" thickBot="1">
      <c r="A283" s="10"/>
      <c r="B283" s="835" t="str">
        <f>'Obrazac kalkulacije'!$B$6:$C$6</f>
        <v>Opis</v>
      </c>
      <c r="C283" s="835"/>
      <c r="D283" s="10" t="str">
        <f>'Obrazac kalkulacije'!$D$6</f>
        <v>Jed.
mjere</v>
      </c>
      <c r="E283" s="10" t="str">
        <f>'Obrazac kalkulacije'!$E$6</f>
        <v>Normativ</v>
      </c>
      <c r="F283" s="10" t="str">
        <f>'Obrazac kalkulacije'!$F$6</f>
        <v>Jed.
cijena</v>
      </c>
      <c r="G283" s="10" t="str">
        <f>'Obrazac kalkulacije'!$G$6</f>
        <v>Iznos</v>
      </c>
      <c r="I283" s="10"/>
      <c r="J283" s="835" t="e">
        <f>'Obrazac kalkulacije'!$B$6:$C$6</f>
        <v>#VALUE!</v>
      </c>
      <c r="K283" s="835"/>
      <c r="L283" s="10" t="str">
        <f>'Obrazac kalkulacije'!$D$6</f>
        <v>Jed.
mjere</v>
      </c>
      <c r="M283" s="10" t="str">
        <f>'Obrazac kalkulacije'!$E$6</f>
        <v>Normativ</v>
      </c>
      <c r="N283" s="10" t="str">
        <f>'Obrazac kalkulacije'!$F$6</f>
        <v>Jed.
cijena</v>
      </c>
      <c r="O283" s="10" t="str">
        <f>'Obrazac kalkulacije'!$G$6</f>
        <v>Iznos</v>
      </c>
    </row>
    <row r="284" spans="1:15" ht="4.5" customHeight="1" thickTop="1">
      <c r="B284" s="42"/>
      <c r="C284" s="1"/>
      <c r="D284" s="11"/>
      <c r="E284" s="13"/>
      <c r="F284" s="258"/>
      <c r="G284" s="15"/>
      <c r="J284" s="42"/>
      <c r="K284" s="1"/>
      <c r="L284" s="11"/>
      <c r="M284" s="13"/>
      <c r="N284" s="258"/>
      <c r="O284" s="15"/>
    </row>
    <row r="285" spans="1:15" ht="25.15" customHeight="1">
      <c r="A285" s="16"/>
      <c r="B285" s="837" t="str">
        <f>'Obrazac kalkulacije'!$B$8</f>
        <v>Radna snaga:</v>
      </c>
      <c r="C285" s="837"/>
      <c r="D285" s="16"/>
      <c r="E285" s="16"/>
      <c r="F285" s="44"/>
      <c r="G285" s="18">
        <f>SUM(G286:G286)</f>
        <v>385.76867813999996</v>
      </c>
      <c r="I285" s="16"/>
      <c r="J285" s="837" t="str">
        <f>'Obrazac kalkulacije'!$B$8</f>
        <v>Radna snaga:</v>
      </c>
      <c r="K285" s="837"/>
      <c r="L285" s="16"/>
      <c r="M285" s="16"/>
      <c r="N285" s="44"/>
      <c r="O285" s="18">
        <f>SUM(O286:O286)</f>
        <v>385.76867813999996</v>
      </c>
    </row>
    <row r="286" spans="1:15" ht="25.15" customHeight="1">
      <c r="A286" s="32"/>
      <c r="B286" s="854" t="s">
        <v>57</v>
      </c>
      <c r="C286" s="854"/>
      <c r="D286" s="33" t="s">
        <v>51</v>
      </c>
      <c r="E286" s="34">
        <v>3.6729379999999998</v>
      </c>
      <c r="F286" s="238">
        <f>SUMIF('Cjenik RS'!$C$11:$C$26,$B286,'Cjenik RS'!$D$11:$D$90)</f>
        <v>105.03</v>
      </c>
      <c r="G286" s="35">
        <f>+F286*E286</f>
        <v>385.76867813999996</v>
      </c>
      <c r="I286" s="32"/>
      <c r="J286" s="854" t="s">
        <v>57</v>
      </c>
      <c r="K286" s="854"/>
      <c r="L286" s="33" t="s">
        <v>51</v>
      </c>
      <c r="M286" s="34">
        <v>3.6729379999999998</v>
      </c>
      <c r="N286" s="238">
        <f>SUMIF('Cjenik RS'!$C$11:$C$26,$J286,'Cjenik RS'!$D$11:$D$90)</f>
        <v>105.03</v>
      </c>
      <c r="O286" s="35">
        <f>+N286*M286</f>
        <v>385.76867813999996</v>
      </c>
    </row>
    <row r="287" spans="1:15" ht="25.15" customHeight="1">
      <c r="A287" s="16"/>
      <c r="B287" s="837" t="str">
        <f>'Obrazac kalkulacije'!$B$11</f>
        <v>Vozila, strojevi i oprema:</v>
      </c>
      <c r="C287" s="837"/>
      <c r="D287" s="16"/>
      <c r="E287" s="16"/>
      <c r="F287" s="238"/>
      <c r="G287" s="18">
        <f>SUM(G288:G290)</f>
        <v>105.37900383792955</v>
      </c>
      <c r="I287" s="16"/>
      <c r="J287" s="837" t="str">
        <f>'Obrazac kalkulacije'!$B$11</f>
        <v>Vozila, strojevi i oprema:</v>
      </c>
      <c r="K287" s="837"/>
      <c r="L287" s="16"/>
      <c r="M287" s="16"/>
      <c r="N287" s="238"/>
      <c r="O287" s="18">
        <f>SUM(O288:O290)</f>
        <v>132.68933479999998</v>
      </c>
    </row>
    <row r="288" spans="1:15" ht="25.15" customHeight="1">
      <c r="A288" s="51"/>
      <c r="B288" s="849" t="s">
        <v>69</v>
      </c>
      <c r="C288" s="849"/>
      <c r="D288" s="52" t="s">
        <v>51</v>
      </c>
      <c r="E288" s="135">
        <v>0.34433799999999998</v>
      </c>
      <c r="F288" s="260">
        <f>SUMIF('Cjenik VSO'!$B$9:$B$85,$B288,'Cjenik VSO'!$C$9:$C$85)</f>
        <v>179.6</v>
      </c>
      <c r="G288" s="54">
        <f>E288*F288</f>
        <v>61.843104799999992</v>
      </c>
      <c r="I288" s="51"/>
      <c r="J288" s="849" t="s">
        <v>69</v>
      </c>
      <c r="K288" s="849"/>
      <c r="L288" s="52" t="s">
        <v>51</v>
      </c>
      <c r="M288" s="135">
        <v>0.34433799999999998</v>
      </c>
      <c r="N288" s="260">
        <f>SUMIF('Cjenik VSO'!$B$9:$B$85,$B288,'Cjenik VSO'!$C$9:$C$85)</f>
        <v>179.6</v>
      </c>
      <c r="O288" s="54">
        <f>M288*N288</f>
        <v>61.843104799999992</v>
      </c>
    </row>
    <row r="289" spans="1:15" ht="25.15" customHeight="1">
      <c r="A289" s="56"/>
      <c r="B289" s="839" t="s">
        <v>70</v>
      </c>
      <c r="C289" s="839"/>
      <c r="D289" s="57" t="s">
        <v>51</v>
      </c>
      <c r="E289" s="58">
        <v>0.315</v>
      </c>
      <c r="F289" s="263">
        <f>SUMIF('Cjenik VSO'!$B$9:$B$85,$B289,'Cjenik VSO'!$C$9:$C$85)</f>
        <v>99.33</v>
      </c>
      <c r="G289" s="59">
        <f>E289*F289</f>
        <v>31.28895</v>
      </c>
      <c r="I289" s="56"/>
      <c r="J289" s="839" t="s">
        <v>70</v>
      </c>
      <c r="K289" s="839"/>
      <c r="L289" s="57" t="s">
        <v>51</v>
      </c>
      <c r="M289" s="58">
        <v>0.315</v>
      </c>
      <c r="N289" s="263">
        <f>SUMIF('Cjenik VSO'!$B$9:$B$85,$B289,'Cjenik VSO'!$C$9:$C$85)</f>
        <v>99.33</v>
      </c>
      <c r="O289" s="59">
        <f>M289*N289</f>
        <v>31.28895</v>
      </c>
    </row>
    <row r="290" spans="1:15" ht="25.15" customHeight="1">
      <c r="A290" s="98"/>
      <c r="B290" s="875" t="s">
        <v>288</v>
      </c>
      <c r="C290" s="875"/>
      <c r="D290" s="57" t="s">
        <v>51</v>
      </c>
      <c r="E290" s="75">
        <v>7.1703448699821717E-2</v>
      </c>
      <c r="F290" s="263">
        <f>SUMIF('Cjenik VSO'!$B$9:$B$85,$B290,'Cjenik VSO'!$C$9:$C$85)</f>
        <v>170.8</v>
      </c>
      <c r="G290" s="60">
        <f>E290*F290</f>
        <v>12.24694903792955</v>
      </c>
      <c r="I290" s="98"/>
      <c r="J290" s="875" t="s">
        <v>288</v>
      </c>
      <c r="K290" s="875"/>
      <c r="L290" s="57" t="s">
        <v>51</v>
      </c>
      <c r="M290" s="75">
        <v>0.2316</v>
      </c>
      <c r="N290" s="263">
        <f>SUMIF('Cjenik VSO'!$B$9:$B$85,$B290,'Cjenik VSO'!$C$9:$C$85)</f>
        <v>170.8</v>
      </c>
      <c r="O290" s="60">
        <f>M290*N290</f>
        <v>39.557280000000006</v>
      </c>
    </row>
    <row r="291" spans="1:15" ht="25.15" customHeight="1">
      <c r="A291" s="16"/>
      <c r="B291" s="837" t="str">
        <f>'Obrazac kalkulacije'!$B$15</f>
        <v>Materijali:</v>
      </c>
      <c r="C291" s="837"/>
      <c r="D291" s="16"/>
      <c r="E291" s="16"/>
      <c r="F291" s="238"/>
      <c r="G291" s="18">
        <f>SUM(G292:G293)</f>
        <v>0</v>
      </c>
      <c r="I291" s="16"/>
      <c r="J291" s="837" t="str">
        <f>'Obrazac kalkulacije'!$B$15</f>
        <v>Materijali:</v>
      </c>
      <c r="K291" s="837"/>
      <c r="L291" s="16"/>
      <c r="M291" s="16"/>
      <c r="N291" s="238"/>
      <c r="O291" s="18">
        <f>SUM(O292:O293)</f>
        <v>0</v>
      </c>
    </row>
    <row r="292" spans="1:15" ht="25.15" customHeight="1">
      <c r="A292" s="51"/>
      <c r="B292" s="863">
        <f>'Cjenik M'!$B$31</f>
        <v>0</v>
      </c>
      <c r="C292" s="863"/>
      <c r="D292" s="52">
        <f>'Cjenik M'!$C$31</f>
        <v>0</v>
      </c>
      <c r="E292" s="53">
        <v>3.2160000000000001E-3</v>
      </c>
      <c r="F292" s="260">
        <f>'Cjenik M'!$D$31</f>
        <v>0</v>
      </c>
      <c r="G292" s="55">
        <f>E292*F292</f>
        <v>0</v>
      </c>
      <c r="I292" s="51"/>
      <c r="J292" s="863">
        <f>'Cjenik M'!$B$31</f>
        <v>0</v>
      </c>
      <c r="K292" s="863"/>
      <c r="L292" s="52">
        <f>'Cjenik M'!$C$31</f>
        <v>0</v>
      </c>
      <c r="M292" s="53">
        <v>3.2160000000000001E-3</v>
      </c>
      <c r="N292" s="260">
        <f>'Cjenik M'!$D$31</f>
        <v>0</v>
      </c>
      <c r="O292" s="55">
        <f>M292*N292</f>
        <v>0</v>
      </c>
    </row>
    <row r="293" spans="1:15" ht="25.15" customHeight="1" thickBot="1">
      <c r="A293" s="66"/>
      <c r="B293" s="859">
        <f>'Cjenik M'!$B$81</f>
        <v>0</v>
      </c>
      <c r="C293" s="859"/>
      <c r="D293" s="67">
        <f>'Cjenik M'!$C$81</f>
        <v>0</v>
      </c>
      <c r="E293" s="68">
        <v>75</v>
      </c>
      <c r="F293" s="262">
        <f>'Cjenik M'!$D$81</f>
        <v>0</v>
      </c>
      <c r="G293" s="70">
        <f>E293*F293</f>
        <v>0</v>
      </c>
      <c r="I293" s="66"/>
      <c r="J293" s="859">
        <f>'Cjenik M'!$B$81</f>
        <v>0</v>
      </c>
      <c r="K293" s="859"/>
      <c r="L293" s="67">
        <f>'Cjenik M'!$C$81</f>
        <v>0</v>
      </c>
      <c r="M293" s="68">
        <v>75</v>
      </c>
      <c r="N293" s="262">
        <f>'Cjenik M'!$D$81</f>
        <v>0</v>
      </c>
      <c r="O293" s="70">
        <f>M293*N293</f>
        <v>0</v>
      </c>
    </row>
    <row r="294" spans="1:15" ht="25.15" customHeight="1" thickTop="1" thickBot="1">
      <c r="B294" s="47"/>
      <c r="C294" s="24"/>
      <c r="D294" s="25"/>
      <c r="E294" s="850" t="str">
        <f>'Obrazac kalkulacije'!$E$18</f>
        <v>Ukupno (kn):</v>
      </c>
      <c r="F294" s="850"/>
      <c r="G294" s="26">
        <f>ROUND(SUM(G285+G287+G291),2)</f>
        <v>491.15</v>
      </c>
      <c r="H294" s="269" t="e">
        <f>SUMIF(#REF!,$B281,#REF!)</f>
        <v>#REF!</v>
      </c>
      <c r="J294" s="47"/>
      <c r="K294" s="24"/>
      <c r="L294" s="25"/>
      <c r="M294" s="850" t="str">
        <f>'Obrazac kalkulacije'!$E$18</f>
        <v>Ukupno (kn):</v>
      </c>
      <c r="N294" s="850"/>
      <c r="O294" s="26">
        <f>ROUND(SUM(O285+O287+O291),2)</f>
        <v>518.46</v>
      </c>
    </row>
    <row r="295" spans="1:15" ht="25.15" customHeight="1" thickTop="1" thickBot="1">
      <c r="E295" s="27" t="str">
        <f>'Obrazac kalkulacije'!$E$19</f>
        <v>PDV:</v>
      </c>
      <c r="F295" s="259">
        <f>'Obrazac kalkulacije'!$F$19</f>
        <v>0.25</v>
      </c>
      <c r="G295" s="29">
        <f>G294*F295</f>
        <v>122.78749999999999</v>
      </c>
      <c r="H295" s="270" t="e">
        <f>H294-G294</f>
        <v>#REF!</v>
      </c>
      <c r="M295" s="27" t="str">
        <f>'Obrazac kalkulacije'!$E$19</f>
        <v>PDV:</v>
      </c>
      <c r="N295" s="259">
        <f>'Obrazac kalkulacije'!$F$19</f>
        <v>0.25</v>
      </c>
      <c r="O295" s="29">
        <f>O294*N295</f>
        <v>129.61500000000001</v>
      </c>
    </row>
    <row r="296" spans="1:15" ht="25.15" customHeight="1" thickTop="1" thickBot="1">
      <c r="E296" s="840" t="str">
        <f>'Obrazac kalkulacije'!$E$20</f>
        <v>Sveukupno (kn):</v>
      </c>
      <c r="F296" s="840"/>
      <c r="G296" s="29">
        <f>ROUND(SUM(G294:G295),2)</f>
        <v>613.94000000000005</v>
      </c>
      <c r="H296" s="271" t="e">
        <f>G290+H295</f>
        <v>#REF!</v>
      </c>
      <c r="M296" s="840" t="str">
        <f>'Obrazac kalkulacije'!$E$20</f>
        <v>Sveukupno (kn):</v>
      </c>
      <c r="N296" s="840"/>
      <c r="O296" s="29">
        <f>ROUND(SUM(O294:O295),2)</f>
        <v>648.08000000000004</v>
      </c>
    </row>
    <row r="297" spans="1:15" ht="15" customHeight="1" thickTop="1"/>
    <row r="298" spans="1:15" ht="15" customHeight="1"/>
    <row r="299" spans="1:15" ht="15" customHeight="1"/>
    <row r="300" spans="1:15" ht="15" customHeight="1">
      <c r="C300" s="3" t="str">
        <f>'Obrazac kalkulacije'!$C$24</f>
        <v>IZVODITELJ:</v>
      </c>
      <c r="F300" s="841" t="str">
        <f>'Obrazac kalkulacije'!$F$24</f>
        <v>NARUČITELJ:</v>
      </c>
      <c r="G300" s="841"/>
      <c r="K300" s="3" t="str">
        <f>'Obrazac kalkulacije'!$C$24</f>
        <v>IZVODITELJ:</v>
      </c>
      <c r="N300" s="841" t="str">
        <f>'Obrazac kalkulacije'!$F$24</f>
        <v>NARUČITELJ:</v>
      </c>
      <c r="O300" s="841"/>
    </row>
    <row r="301" spans="1:15" ht="25.15" customHeight="1">
      <c r="C301" s="3" t="str">
        <f>'Obrazac kalkulacije'!$C$25</f>
        <v>__________________</v>
      </c>
      <c r="F301" s="841" t="str">
        <f>'Obrazac kalkulacije'!$F$25</f>
        <v>___________________</v>
      </c>
      <c r="G301" s="841"/>
      <c r="K301" s="3" t="str">
        <f>'Obrazac kalkulacije'!$C$25</f>
        <v>__________________</v>
      </c>
      <c r="N301" s="841" t="str">
        <f>'Obrazac kalkulacije'!$F$25</f>
        <v>___________________</v>
      </c>
      <c r="O301" s="841"/>
    </row>
    <row r="302" spans="1:15" ht="15" customHeight="1">
      <c r="F302" s="841"/>
      <c r="G302" s="841"/>
      <c r="N302" s="841"/>
      <c r="O302" s="841"/>
    </row>
    <row r="303" spans="1:15" ht="15" customHeight="1"/>
    <row r="304" spans="1:15" ht="15" customHeight="1">
      <c r="A304" s="144"/>
      <c r="B304" s="145" t="s">
        <v>31</v>
      </c>
      <c r="C304" s="836" t="s">
        <v>261</v>
      </c>
      <c r="D304" s="836"/>
      <c r="E304" s="836"/>
      <c r="F304" s="836"/>
      <c r="G304" s="836"/>
      <c r="I304" s="144"/>
      <c r="J304" s="145" t="s">
        <v>31</v>
      </c>
      <c r="K304" s="836" t="s">
        <v>261</v>
      </c>
      <c r="L304" s="836"/>
      <c r="M304" s="836"/>
      <c r="N304" s="836"/>
      <c r="O304" s="836"/>
    </row>
    <row r="305" spans="1:15" ht="15" customHeight="1">
      <c r="A305" s="38"/>
      <c r="B305" s="39" t="s">
        <v>283</v>
      </c>
      <c r="C305" s="860" t="s">
        <v>284</v>
      </c>
      <c r="D305" s="860"/>
      <c r="E305" s="860"/>
      <c r="F305" s="860"/>
      <c r="G305" s="860"/>
      <c r="I305" s="38"/>
      <c r="J305" s="39" t="s">
        <v>283</v>
      </c>
      <c r="K305" s="860" t="s">
        <v>284</v>
      </c>
      <c r="L305" s="860"/>
      <c r="M305" s="860"/>
      <c r="N305" s="860"/>
      <c r="O305" s="860"/>
    </row>
    <row r="306" spans="1:15" ht="150" customHeight="1">
      <c r="A306" s="40"/>
      <c r="B306" s="556" t="s">
        <v>298</v>
      </c>
      <c r="C306" s="852" t="s">
        <v>299</v>
      </c>
      <c r="D306" s="852"/>
      <c r="E306" s="852"/>
      <c r="F306" s="852"/>
      <c r="G306" s="852"/>
      <c r="I306" s="40"/>
      <c r="J306" s="41" t="s">
        <v>298</v>
      </c>
      <c r="K306" s="869" t="s">
        <v>300</v>
      </c>
      <c r="L306" s="869"/>
      <c r="M306" s="869"/>
      <c r="N306" s="869"/>
      <c r="O306" s="869"/>
    </row>
    <row r="307" spans="1:15" ht="15" customHeight="1" thickBot="1"/>
    <row r="308" spans="1:15" ht="30" customHeight="1" thickTop="1" thickBot="1">
      <c r="A308" s="10"/>
      <c r="B308" s="835" t="str">
        <f>'Obrazac kalkulacije'!$B$6:$C$6</f>
        <v>Opis</v>
      </c>
      <c r="C308" s="835"/>
      <c r="D308" s="10" t="str">
        <f>'Obrazac kalkulacije'!$D$6</f>
        <v>Jed.
mjere</v>
      </c>
      <c r="E308" s="10" t="str">
        <f>'Obrazac kalkulacije'!$E$6</f>
        <v>Normativ</v>
      </c>
      <c r="F308" s="10" t="str">
        <f>'Obrazac kalkulacije'!$F$6</f>
        <v>Jed.
cijena</v>
      </c>
      <c r="G308" s="10" t="str">
        <f>'Obrazac kalkulacije'!$G$6</f>
        <v>Iznos</v>
      </c>
      <c r="I308" s="10"/>
      <c r="J308" s="835" t="e">
        <f>'Obrazac kalkulacije'!$B$6:$C$6</f>
        <v>#VALUE!</v>
      </c>
      <c r="K308" s="835"/>
      <c r="L308" s="10" t="str">
        <f>'Obrazac kalkulacije'!$D$6</f>
        <v>Jed.
mjere</v>
      </c>
      <c r="M308" s="10" t="str">
        <f>'Obrazac kalkulacije'!$E$6</f>
        <v>Normativ</v>
      </c>
      <c r="N308" s="10" t="str">
        <f>'Obrazac kalkulacije'!$F$6</f>
        <v>Jed.
cijena</v>
      </c>
      <c r="O308" s="10" t="str">
        <f>'Obrazac kalkulacije'!$G$6</f>
        <v>Iznos</v>
      </c>
    </row>
    <row r="309" spans="1:15" ht="4.5" customHeight="1" thickTop="1">
      <c r="B309" s="42"/>
      <c r="C309" s="1"/>
      <c r="D309" s="11"/>
      <c r="E309" s="13"/>
      <c r="F309" s="258"/>
      <c r="G309" s="15"/>
      <c r="J309" s="42"/>
      <c r="K309" s="1"/>
      <c r="L309" s="11"/>
      <c r="M309" s="13"/>
      <c r="N309" s="258"/>
      <c r="O309" s="15"/>
    </row>
    <row r="310" spans="1:15" ht="25.15" customHeight="1">
      <c r="A310" s="16"/>
      <c r="B310" s="837" t="str">
        <f>'Obrazac kalkulacije'!$B$8</f>
        <v>Radna snaga:</v>
      </c>
      <c r="C310" s="837"/>
      <c r="D310" s="16"/>
      <c r="E310" s="16"/>
      <c r="F310" s="44"/>
      <c r="G310" s="18">
        <f>SUM(G311:G311)</f>
        <v>503.13571200000001</v>
      </c>
      <c r="I310" s="16"/>
      <c r="J310" s="837" t="str">
        <f>'Obrazac kalkulacije'!$B$8</f>
        <v>Radna snaga:</v>
      </c>
      <c r="K310" s="837"/>
      <c r="L310" s="16"/>
      <c r="M310" s="16"/>
      <c r="N310" s="44"/>
      <c r="O310" s="18">
        <f>SUM(O311:O311)</f>
        <v>503.13571200000001</v>
      </c>
    </row>
    <row r="311" spans="1:15" ht="25.15" customHeight="1">
      <c r="A311" s="32"/>
      <c r="B311" s="854" t="s">
        <v>57</v>
      </c>
      <c r="C311" s="854"/>
      <c r="D311" s="33" t="s">
        <v>51</v>
      </c>
      <c r="E311" s="34">
        <v>4.7904</v>
      </c>
      <c r="F311" s="238">
        <f>SUMIF('Cjenik RS'!$C$11:$C$26,$B311,'Cjenik RS'!$D$11:$D$90)</f>
        <v>105.03</v>
      </c>
      <c r="G311" s="35">
        <f>+F311*E311</f>
        <v>503.13571200000001</v>
      </c>
      <c r="I311" s="32"/>
      <c r="J311" s="854" t="s">
        <v>57</v>
      </c>
      <c r="K311" s="854"/>
      <c r="L311" s="33" t="s">
        <v>51</v>
      </c>
      <c r="M311" s="34">
        <v>4.7904</v>
      </c>
      <c r="N311" s="238">
        <f>SUMIF('Cjenik RS'!$C$11:$C$26,$J311,'Cjenik RS'!$D$11:$D$90)</f>
        <v>105.03</v>
      </c>
      <c r="O311" s="35">
        <f>+N311*M311</f>
        <v>503.13571200000001</v>
      </c>
    </row>
    <row r="312" spans="1:15" ht="25.15" customHeight="1">
      <c r="A312" s="16"/>
      <c r="B312" s="837" t="str">
        <f>'Obrazac kalkulacije'!$B$11</f>
        <v>Vozila, strojevi i oprema:</v>
      </c>
      <c r="C312" s="837"/>
      <c r="D312" s="16"/>
      <c r="E312" s="16"/>
      <c r="F312" s="238"/>
      <c r="G312" s="18">
        <f>SUM(G313:G315)</f>
        <v>134.54307087170343</v>
      </c>
      <c r="I312" s="16"/>
      <c r="J312" s="837" t="str">
        <f>'Obrazac kalkulacije'!$B$11</f>
        <v>Vozila, strojevi i oprema:</v>
      </c>
      <c r="K312" s="837"/>
      <c r="L312" s="16"/>
      <c r="M312" s="16"/>
      <c r="N312" s="238"/>
      <c r="O312" s="18">
        <f>SUM(O313:O315)</f>
        <v>164.58296999999999</v>
      </c>
    </row>
    <row r="313" spans="1:15" ht="25.15" customHeight="1">
      <c r="A313" s="51"/>
      <c r="B313" s="849" t="s">
        <v>69</v>
      </c>
      <c r="C313" s="849"/>
      <c r="D313" s="52" t="s">
        <v>51</v>
      </c>
      <c r="E313" s="53">
        <v>0.4491</v>
      </c>
      <c r="F313" s="260">
        <f>SUMIF('Cjenik VSO'!$B$9:$B$85,$B313,'Cjenik VSO'!$C$9:$C$85)</f>
        <v>179.6</v>
      </c>
      <c r="G313" s="54">
        <f>E313*F313</f>
        <v>80.658360000000002</v>
      </c>
      <c r="I313" s="51"/>
      <c r="J313" s="849" t="s">
        <v>69</v>
      </c>
      <c r="K313" s="849"/>
      <c r="L313" s="52" t="s">
        <v>51</v>
      </c>
      <c r="M313" s="53">
        <v>0.4491</v>
      </c>
      <c r="N313" s="260">
        <f>SUMIF('Cjenik VSO'!$B$9:$B$85,$B313,'Cjenik VSO'!$C$9:$C$85)</f>
        <v>179.6</v>
      </c>
      <c r="O313" s="54">
        <f>M313*N313</f>
        <v>80.658360000000002</v>
      </c>
    </row>
    <row r="314" spans="1:15" ht="25.15" customHeight="1">
      <c r="A314" s="56"/>
      <c r="B314" s="839" t="s">
        <v>70</v>
      </c>
      <c r="C314" s="839"/>
      <c r="D314" s="57" t="s">
        <v>51</v>
      </c>
      <c r="E314" s="58">
        <v>0.42499999999999999</v>
      </c>
      <c r="F314" s="263">
        <f>SUMIF('Cjenik VSO'!$B$9:$B$85,$B314,'Cjenik VSO'!$C$9:$C$85)</f>
        <v>99.33</v>
      </c>
      <c r="G314" s="59">
        <f>E314*F314</f>
        <v>42.215249999999997</v>
      </c>
      <c r="I314" s="56"/>
      <c r="J314" s="839" t="s">
        <v>70</v>
      </c>
      <c r="K314" s="839"/>
      <c r="L314" s="57" t="s">
        <v>51</v>
      </c>
      <c r="M314" s="58">
        <v>0.42499999999999999</v>
      </c>
      <c r="N314" s="263">
        <f>SUMIF('Cjenik VSO'!$B$9:$B$85,$B314,'Cjenik VSO'!$C$9:$C$85)</f>
        <v>99.33</v>
      </c>
      <c r="O314" s="59">
        <f>M314*N314</f>
        <v>42.215249999999997</v>
      </c>
    </row>
    <row r="315" spans="1:15" ht="25.15" customHeight="1">
      <c r="A315" s="98"/>
      <c r="B315" s="875" t="s">
        <v>288</v>
      </c>
      <c r="C315" s="875"/>
      <c r="D315" s="57" t="s">
        <v>51</v>
      </c>
      <c r="E315" s="75">
        <v>6.8322370443228628E-2</v>
      </c>
      <c r="F315" s="263">
        <f>SUMIF('Cjenik VSO'!$B$9:$B$85,$B315,'Cjenik VSO'!$C$9:$C$85)</f>
        <v>170.8</v>
      </c>
      <c r="G315" s="60">
        <f>E315*F315</f>
        <v>11.66946087170345</v>
      </c>
      <c r="I315" s="98"/>
      <c r="J315" s="875" t="s">
        <v>288</v>
      </c>
      <c r="K315" s="875"/>
      <c r="L315" s="57" t="s">
        <v>51</v>
      </c>
      <c r="M315" s="75">
        <v>0.2442</v>
      </c>
      <c r="N315" s="263">
        <f>SUMIF('Cjenik VSO'!$B$9:$B$85,$B315,'Cjenik VSO'!$C$9:$C$85)</f>
        <v>170.8</v>
      </c>
      <c r="O315" s="60">
        <f>M315*N315</f>
        <v>41.709360000000004</v>
      </c>
    </row>
    <row r="316" spans="1:15" ht="25.15" customHeight="1">
      <c r="A316" s="16"/>
      <c r="B316" s="837" t="str">
        <f>'Obrazac kalkulacije'!$B$15</f>
        <v>Materijali:</v>
      </c>
      <c r="C316" s="837"/>
      <c r="D316" s="16"/>
      <c r="E316" s="16"/>
      <c r="F316" s="238"/>
      <c r="G316" s="18">
        <f>SUM(G317:G318)</f>
        <v>0</v>
      </c>
      <c r="I316" s="16"/>
      <c r="J316" s="837" t="str">
        <f>'Obrazac kalkulacije'!$B$15</f>
        <v>Materijali:</v>
      </c>
      <c r="K316" s="837"/>
      <c r="L316" s="16"/>
      <c r="M316" s="16"/>
      <c r="N316" s="238"/>
      <c r="O316" s="18">
        <f>SUM(O317:O318)</f>
        <v>0</v>
      </c>
    </row>
    <row r="317" spans="1:15" ht="25.15" customHeight="1">
      <c r="A317" s="51"/>
      <c r="B317" s="863">
        <f>'Cjenik M'!$B$31</f>
        <v>0</v>
      </c>
      <c r="C317" s="863"/>
      <c r="D317" s="52">
        <f>'Cjenik M'!$C$31</f>
        <v>0</v>
      </c>
      <c r="E317" s="53">
        <v>1.2864E-2</v>
      </c>
      <c r="F317" s="260">
        <f>'Cjenik M'!$D$31</f>
        <v>0</v>
      </c>
      <c r="G317" s="55">
        <f>E317*F317</f>
        <v>0</v>
      </c>
      <c r="I317" s="51"/>
      <c r="J317" s="863">
        <f>'Cjenik M'!$B$31</f>
        <v>0</v>
      </c>
      <c r="K317" s="863"/>
      <c r="L317" s="52">
        <f>'Cjenik M'!$C$31</f>
        <v>0</v>
      </c>
      <c r="M317" s="53">
        <v>1.2864E-2</v>
      </c>
      <c r="N317" s="260">
        <f>'Cjenik M'!$D$31</f>
        <v>0</v>
      </c>
      <c r="O317" s="55">
        <f>M317*N317</f>
        <v>0</v>
      </c>
    </row>
    <row r="318" spans="1:15" ht="25.15" customHeight="1" thickBot="1">
      <c r="A318" s="66"/>
      <c r="B318" s="859">
        <f>'Cjenik M'!$B$34</f>
        <v>0</v>
      </c>
      <c r="C318" s="859"/>
      <c r="D318" s="67">
        <f>'Cjenik M'!$C$34</f>
        <v>0</v>
      </c>
      <c r="E318" s="68">
        <v>0.14000000000000001</v>
      </c>
      <c r="F318" s="262">
        <f>'Cjenik M'!$D$34</f>
        <v>0</v>
      </c>
      <c r="G318" s="70">
        <f>E318*F318</f>
        <v>0</v>
      </c>
      <c r="I318" s="66"/>
      <c r="J318" s="859">
        <f>'Cjenik M'!$B$34</f>
        <v>0</v>
      </c>
      <c r="K318" s="859"/>
      <c r="L318" s="67">
        <f>'Cjenik M'!$C$34</f>
        <v>0</v>
      </c>
      <c r="M318" s="68">
        <v>0.14000000000000001</v>
      </c>
      <c r="N318" s="262">
        <f>'Cjenik M'!$D$34</f>
        <v>0</v>
      </c>
      <c r="O318" s="70">
        <f>M318*N318</f>
        <v>0</v>
      </c>
    </row>
    <row r="319" spans="1:15" ht="25.15" customHeight="1" thickTop="1" thickBot="1">
      <c r="B319" s="47"/>
      <c r="C319" s="24"/>
      <c r="D319" s="25"/>
      <c r="E319" s="850" t="str">
        <f>'Obrazac kalkulacije'!$E$18</f>
        <v>Ukupno (kn):</v>
      </c>
      <c r="F319" s="850"/>
      <c r="G319" s="26">
        <f>ROUND(SUM(G310+G312+G316),2)</f>
        <v>637.67999999999995</v>
      </c>
      <c r="H319" s="269" t="e">
        <f>SUMIF(#REF!,$B306,#REF!)</f>
        <v>#REF!</v>
      </c>
      <c r="J319" s="47"/>
      <c r="K319" s="24"/>
      <c r="L319" s="25"/>
      <c r="M319" s="850" t="str">
        <f>'Obrazac kalkulacije'!$E$18</f>
        <v>Ukupno (kn):</v>
      </c>
      <c r="N319" s="850"/>
      <c r="O319" s="26">
        <f>ROUND(SUM(O310+O312+O316),2)</f>
        <v>667.72</v>
      </c>
    </row>
    <row r="320" spans="1:15" ht="25.15" customHeight="1" thickTop="1" thickBot="1">
      <c r="E320" s="27" t="str">
        <f>'Obrazac kalkulacije'!$E$19</f>
        <v>PDV:</v>
      </c>
      <c r="F320" s="259">
        <f>'Obrazac kalkulacije'!$F$19</f>
        <v>0.25</v>
      </c>
      <c r="G320" s="29">
        <f>G319*F320</f>
        <v>159.41999999999999</v>
      </c>
      <c r="H320" s="270" t="e">
        <f>H319-G319</f>
        <v>#REF!</v>
      </c>
      <c r="M320" s="27" t="str">
        <f>'Obrazac kalkulacije'!$E$19</f>
        <v>PDV:</v>
      </c>
      <c r="N320" s="259">
        <f>'Obrazac kalkulacije'!$F$19</f>
        <v>0.25</v>
      </c>
      <c r="O320" s="29">
        <f>O319*N320</f>
        <v>166.93</v>
      </c>
    </row>
    <row r="321" spans="1:15" ht="25.15" customHeight="1" thickTop="1" thickBot="1">
      <c r="E321" s="840" t="str">
        <f>'Obrazac kalkulacije'!$E$20</f>
        <v>Sveukupno (kn):</v>
      </c>
      <c r="F321" s="840"/>
      <c r="G321" s="29">
        <f>ROUND(SUM(G319:G320),2)</f>
        <v>797.1</v>
      </c>
      <c r="H321" s="271" t="e">
        <f>G315+H320</f>
        <v>#REF!</v>
      </c>
      <c r="M321" s="840" t="str">
        <f>'Obrazac kalkulacije'!$E$20</f>
        <v>Sveukupno (kn):</v>
      </c>
      <c r="N321" s="840"/>
      <c r="O321" s="29">
        <f>ROUND(SUM(O319:O320),2)</f>
        <v>834.65</v>
      </c>
    </row>
    <row r="322" spans="1:15" ht="15" customHeight="1" thickTop="1"/>
    <row r="323" spans="1:15" ht="15" customHeight="1"/>
    <row r="324" spans="1:15" ht="15" customHeight="1"/>
    <row r="325" spans="1:15" ht="15" customHeight="1">
      <c r="C325" s="3" t="str">
        <f>'Obrazac kalkulacije'!$C$24</f>
        <v>IZVODITELJ:</v>
      </c>
      <c r="F325" s="841" t="str">
        <f>'Obrazac kalkulacije'!$F$24</f>
        <v>NARUČITELJ:</v>
      </c>
      <c r="G325" s="841"/>
      <c r="K325" s="3" t="str">
        <f>'Obrazac kalkulacije'!$C$24</f>
        <v>IZVODITELJ:</v>
      </c>
      <c r="N325" s="841" t="str">
        <f>'Obrazac kalkulacije'!$F$24</f>
        <v>NARUČITELJ:</v>
      </c>
      <c r="O325" s="841"/>
    </row>
    <row r="326" spans="1:15" ht="25.15" customHeight="1">
      <c r="C326" s="3" t="str">
        <f>'Obrazac kalkulacije'!$C$25</f>
        <v>__________________</v>
      </c>
      <c r="F326" s="841" t="str">
        <f>'Obrazac kalkulacije'!$F$25</f>
        <v>___________________</v>
      </c>
      <c r="G326" s="841"/>
      <c r="K326" s="3" t="str">
        <f>'Obrazac kalkulacije'!$C$25</f>
        <v>__________________</v>
      </c>
      <c r="N326" s="841" t="str">
        <f>'Obrazac kalkulacije'!$F$25</f>
        <v>___________________</v>
      </c>
      <c r="O326" s="841"/>
    </row>
    <row r="327" spans="1:15" ht="15" customHeight="1">
      <c r="F327" s="841"/>
      <c r="G327" s="841"/>
      <c r="N327" s="841"/>
      <c r="O327" s="841"/>
    </row>
    <row r="328" spans="1:15" ht="15" customHeight="1"/>
    <row r="329" spans="1:15" ht="15" customHeight="1">
      <c r="A329" s="144"/>
      <c r="B329" s="145" t="s">
        <v>31</v>
      </c>
      <c r="C329" s="836" t="s">
        <v>261</v>
      </c>
      <c r="D329" s="836"/>
      <c r="E329" s="836"/>
      <c r="F329" s="836"/>
      <c r="G329" s="836"/>
      <c r="I329" s="144"/>
      <c r="J329" s="145" t="s">
        <v>31</v>
      </c>
      <c r="K329" s="836" t="s">
        <v>261</v>
      </c>
      <c r="L329" s="836"/>
      <c r="M329" s="836"/>
      <c r="N329" s="836"/>
      <c r="O329" s="836"/>
    </row>
    <row r="330" spans="1:15" ht="15" customHeight="1">
      <c r="A330" s="38"/>
      <c r="B330" s="39" t="s">
        <v>283</v>
      </c>
      <c r="C330" s="860" t="s">
        <v>284</v>
      </c>
      <c r="D330" s="860"/>
      <c r="E330" s="860"/>
      <c r="F330" s="860"/>
      <c r="G330" s="860"/>
      <c r="I330" s="38"/>
      <c r="J330" s="39" t="s">
        <v>283</v>
      </c>
      <c r="K330" s="860" t="s">
        <v>284</v>
      </c>
      <c r="L330" s="860"/>
      <c r="M330" s="860"/>
      <c r="N330" s="860"/>
      <c r="O330" s="860"/>
    </row>
    <row r="331" spans="1:15" ht="150" customHeight="1">
      <c r="A331" s="40"/>
      <c r="B331" s="556" t="s">
        <v>301</v>
      </c>
      <c r="C331" s="852" t="s">
        <v>302</v>
      </c>
      <c r="D331" s="852"/>
      <c r="E331" s="852"/>
      <c r="F331" s="852"/>
      <c r="G331" s="852"/>
      <c r="I331" s="40"/>
      <c r="J331" s="41" t="s">
        <v>301</v>
      </c>
      <c r="K331" s="869" t="s">
        <v>303</v>
      </c>
      <c r="L331" s="869"/>
      <c r="M331" s="869"/>
      <c r="N331" s="869"/>
      <c r="O331" s="869"/>
    </row>
    <row r="332" spans="1:15" ht="15" customHeight="1" thickBot="1"/>
    <row r="333" spans="1:15" ht="30" customHeight="1" thickTop="1" thickBot="1">
      <c r="A333" s="10"/>
      <c r="B333" s="835" t="str">
        <f>'Obrazac kalkulacije'!$B$6:$C$6</f>
        <v>Opis</v>
      </c>
      <c r="C333" s="835"/>
      <c r="D333" s="10" t="str">
        <f>'Obrazac kalkulacije'!$D$6</f>
        <v>Jed.
mjere</v>
      </c>
      <c r="E333" s="10" t="str">
        <f>'Obrazac kalkulacije'!$E$6</f>
        <v>Normativ</v>
      </c>
      <c r="F333" s="10" t="str">
        <f>'Obrazac kalkulacije'!$F$6</f>
        <v>Jed.
cijena</v>
      </c>
      <c r="G333" s="10" t="str">
        <f>'Obrazac kalkulacije'!$G$6</f>
        <v>Iznos</v>
      </c>
      <c r="I333" s="10"/>
      <c r="J333" s="835" t="e">
        <f>'Obrazac kalkulacije'!$B$6:$C$6</f>
        <v>#VALUE!</v>
      </c>
      <c r="K333" s="835"/>
      <c r="L333" s="10" t="str">
        <f>'Obrazac kalkulacije'!$D$6</f>
        <v>Jed.
mjere</v>
      </c>
      <c r="M333" s="10" t="str">
        <f>'Obrazac kalkulacije'!$E$6</f>
        <v>Normativ</v>
      </c>
      <c r="N333" s="10" t="str">
        <f>'Obrazac kalkulacije'!$F$6</f>
        <v>Jed.
cijena</v>
      </c>
      <c r="O333" s="10" t="str">
        <f>'Obrazac kalkulacije'!$G$6</f>
        <v>Iznos</v>
      </c>
    </row>
    <row r="334" spans="1:15" ht="4.5" customHeight="1" thickTop="1">
      <c r="B334" s="42"/>
      <c r="C334" s="1"/>
      <c r="D334" s="11"/>
      <c r="E334" s="13"/>
      <c r="F334" s="258"/>
      <c r="G334" s="15"/>
      <c r="J334" s="42"/>
      <c r="K334" s="1"/>
      <c r="L334" s="11"/>
      <c r="M334" s="13"/>
      <c r="N334" s="258"/>
      <c r="O334" s="15"/>
    </row>
    <row r="335" spans="1:15" ht="25.15" customHeight="1">
      <c r="A335" s="16"/>
      <c r="B335" s="837" t="str">
        <f>'Obrazac kalkulacije'!$B$8</f>
        <v>Radna snaga:</v>
      </c>
      <c r="C335" s="837"/>
      <c r="D335" s="16"/>
      <c r="E335" s="16"/>
      <c r="F335" s="44"/>
      <c r="G335" s="18">
        <f>SUM(G336:G336)</f>
        <v>503.13571200000001</v>
      </c>
      <c r="I335" s="16"/>
      <c r="J335" s="837" t="str">
        <f>'Obrazac kalkulacije'!$B$8</f>
        <v>Radna snaga:</v>
      </c>
      <c r="K335" s="837"/>
      <c r="L335" s="16"/>
      <c r="M335" s="16"/>
      <c r="N335" s="44"/>
      <c r="O335" s="18">
        <f>SUM(O336:O336)</f>
        <v>503.13571200000001</v>
      </c>
    </row>
    <row r="336" spans="1:15" ht="25.15" customHeight="1">
      <c r="A336" s="32"/>
      <c r="B336" s="854" t="s">
        <v>57</v>
      </c>
      <c r="C336" s="854"/>
      <c r="D336" s="33" t="s">
        <v>51</v>
      </c>
      <c r="E336" s="34">
        <v>4.7904</v>
      </c>
      <c r="F336" s="238">
        <f>SUMIF('Cjenik RS'!$C$11:$C$26,$B336,'Cjenik RS'!$D$11:$D$90)</f>
        <v>105.03</v>
      </c>
      <c r="G336" s="35">
        <f>+F336*E336</f>
        <v>503.13571200000001</v>
      </c>
      <c r="I336" s="32"/>
      <c r="J336" s="854" t="s">
        <v>57</v>
      </c>
      <c r="K336" s="854"/>
      <c r="L336" s="33" t="s">
        <v>51</v>
      </c>
      <c r="M336" s="34">
        <v>4.7904</v>
      </c>
      <c r="N336" s="238">
        <f>SUMIF('Cjenik RS'!$C$11:$C$26,$J336,'Cjenik RS'!$D$11:$D$90)</f>
        <v>105.03</v>
      </c>
      <c r="O336" s="35">
        <f>+N336*M336</f>
        <v>503.13571200000001</v>
      </c>
    </row>
    <row r="337" spans="1:15" ht="25.15" customHeight="1">
      <c r="A337" s="16"/>
      <c r="B337" s="837" t="str">
        <f>'Obrazac kalkulacije'!$B$11</f>
        <v>Vozila, strojevi i oprema:</v>
      </c>
      <c r="C337" s="837"/>
      <c r="D337" s="16"/>
      <c r="E337" s="16"/>
      <c r="F337" s="238"/>
      <c r="G337" s="18">
        <f>SUM(G338:G340)</f>
        <v>134.54307087170343</v>
      </c>
      <c r="I337" s="16"/>
      <c r="J337" s="837" t="str">
        <f>'Obrazac kalkulacije'!$B$11</f>
        <v>Vozila, strojevi i oprema:</v>
      </c>
      <c r="K337" s="837"/>
      <c r="L337" s="16"/>
      <c r="M337" s="16"/>
      <c r="N337" s="238"/>
      <c r="O337" s="18">
        <f>SUM(O338:O340)</f>
        <v>164.58296999999999</v>
      </c>
    </row>
    <row r="338" spans="1:15" ht="25.15" customHeight="1">
      <c r="A338" s="51"/>
      <c r="B338" s="849" t="s">
        <v>69</v>
      </c>
      <c r="C338" s="849"/>
      <c r="D338" s="52" t="s">
        <v>51</v>
      </c>
      <c r="E338" s="53">
        <v>0.4491</v>
      </c>
      <c r="F338" s="260">
        <f>SUMIF('Cjenik VSO'!$B$9:$B$85,$B338,'Cjenik VSO'!$C$9:$C$85)</f>
        <v>179.6</v>
      </c>
      <c r="G338" s="54">
        <f>E338*F338</f>
        <v>80.658360000000002</v>
      </c>
      <c r="I338" s="51"/>
      <c r="J338" s="849" t="s">
        <v>69</v>
      </c>
      <c r="K338" s="849"/>
      <c r="L338" s="52" t="s">
        <v>51</v>
      </c>
      <c r="M338" s="53">
        <v>0.4491</v>
      </c>
      <c r="N338" s="260">
        <f>SUMIF('Cjenik VSO'!$B$9:$B$85,$B338,'Cjenik VSO'!$C$9:$C$85)</f>
        <v>179.6</v>
      </c>
      <c r="O338" s="54">
        <f>M338*N338</f>
        <v>80.658360000000002</v>
      </c>
    </row>
    <row r="339" spans="1:15" ht="25.15" customHeight="1">
      <c r="A339" s="56"/>
      <c r="B339" s="839" t="s">
        <v>70</v>
      </c>
      <c r="C339" s="839"/>
      <c r="D339" s="57" t="s">
        <v>51</v>
      </c>
      <c r="E339" s="58">
        <v>0.42499999999999999</v>
      </c>
      <c r="F339" s="263">
        <f>SUMIF('Cjenik VSO'!$B$9:$B$85,$B339,'Cjenik VSO'!$C$9:$C$85)</f>
        <v>99.33</v>
      </c>
      <c r="G339" s="59">
        <f>E339*F339</f>
        <v>42.215249999999997</v>
      </c>
      <c r="I339" s="56"/>
      <c r="J339" s="839" t="s">
        <v>70</v>
      </c>
      <c r="K339" s="839"/>
      <c r="L339" s="57" t="s">
        <v>51</v>
      </c>
      <c r="M339" s="58">
        <v>0.42499999999999999</v>
      </c>
      <c r="N339" s="263">
        <f>SUMIF('Cjenik VSO'!$B$9:$B$85,$B339,'Cjenik VSO'!$C$9:$C$85)</f>
        <v>99.33</v>
      </c>
      <c r="O339" s="59">
        <f>M339*N339</f>
        <v>42.215249999999997</v>
      </c>
    </row>
    <row r="340" spans="1:15" ht="25.15" customHeight="1">
      <c r="A340" s="98"/>
      <c r="B340" s="875" t="s">
        <v>288</v>
      </c>
      <c r="C340" s="875"/>
      <c r="D340" s="57" t="s">
        <v>51</v>
      </c>
      <c r="E340" s="142">
        <v>6.8322370443228628E-2</v>
      </c>
      <c r="F340" s="263">
        <f>SUMIF('Cjenik VSO'!$B$9:$B$85,$B340,'Cjenik VSO'!$C$9:$C$85)</f>
        <v>170.8</v>
      </c>
      <c r="G340" s="60">
        <f>E340*F340</f>
        <v>11.66946087170345</v>
      </c>
      <c r="I340" s="98"/>
      <c r="J340" s="875" t="s">
        <v>288</v>
      </c>
      <c r="K340" s="875"/>
      <c r="L340" s="57" t="s">
        <v>51</v>
      </c>
      <c r="M340" s="142">
        <v>0.2442</v>
      </c>
      <c r="N340" s="263">
        <f>SUMIF('Cjenik VSO'!$B$9:$B$85,$B340,'Cjenik VSO'!$C$9:$C$85)</f>
        <v>170.8</v>
      </c>
      <c r="O340" s="60">
        <f>M340*N340</f>
        <v>41.709360000000004</v>
      </c>
    </row>
    <row r="341" spans="1:15" ht="25.15" customHeight="1">
      <c r="A341" s="16"/>
      <c r="B341" s="837" t="str">
        <f>'Obrazac kalkulacije'!$B$15</f>
        <v>Materijali:</v>
      </c>
      <c r="C341" s="837"/>
      <c r="D341" s="16"/>
      <c r="E341" s="16"/>
      <c r="F341" s="238"/>
      <c r="G341" s="18">
        <f>SUM(G342:G343)</f>
        <v>0</v>
      </c>
      <c r="I341" s="16"/>
      <c r="J341" s="837" t="str">
        <f>'Obrazac kalkulacije'!$B$15</f>
        <v>Materijali:</v>
      </c>
      <c r="K341" s="837"/>
      <c r="L341" s="16"/>
      <c r="M341" s="16"/>
      <c r="N341" s="238"/>
      <c r="O341" s="18">
        <f>SUM(O342:O343)</f>
        <v>0</v>
      </c>
    </row>
    <row r="342" spans="1:15" ht="25.15" customHeight="1">
      <c r="A342" s="51"/>
      <c r="B342" s="863">
        <f>'Cjenik M'!$B$31</f>
        <v>0</v>
      </c>
      <c r="C342" s="863"/>
      <c r="D342" s="52">
        <f>'Cjenik M'!$C$31</f>
        <v>0</v>
      </c>
      <c r="E342" s="53">
        <v>1.2864E-2</v>
      </c>
      <c r="F342" s="260">
        <f>'Cjenik M'!$D$31</f>
        <v>0</v>
      </c>
      <c r="G342" s="55">
        <f>E342*F342</f>
        <v>0</v>
      </c>
      <c r="I342" s="51"/>
      <c r="J342" s="863">
        <f>'Cjenik M'!$B$31</f>
        <v>0</v>
      </c>
      <c r="K342" s="863"/>
      <c r="L342" s="52">
        <f>'Cjenik M'!$C$31</f>
        <v>0</v>
      </c>
      <c r="M342" s="53">
        <v>1.2864E-2</v>
      </c>
      <c r="N342" s="260">
        <f>'Cjenik M'!$D$31</f>
        <v>0</v>
      </c>
      <c r="O342" s="55">
        <f>M342*N342</f>
        <v>0</v>
      </c>
    </row>
    <row r="343" spans="1:15" ht="25.15" customHeight="1" thickBot="1">
      <c r="A343" s="66"/>
      <c r="B343" s="859">
        <f>'Cjenik M'!$B$81</f>
        <v>0</v>
      </c>
      <c r="C343" s="859"/>
      <c r="D343" s="67">
        <f>'Cjenik M'!$C$81</f>
        <v>0</v>
      </c>
      <c r="E343" s="53">
        <v>150</v>
      </c>
      <c r="F343" s="262">
        <f>'Cjenik M'!$D$81</f>
        <v>0</v>
      </c>
      <c r="G343" s="70">
        <f>E343*F343</f>
        <v>0</v>
      </c>
      <c r="I343" s="66"/>
      <c r="J343" s="859">
        <f>'Cjenik M'!$B$81</f>
        <v>0</v>
      </c>
      <c r="K343" s="859"/>
      <c r="L343" s="67">
        <f>'Cjenik M'!$C$81</f>
        <v>0</v>
      </c>
      <c r="M343" s="68">
        <v>210</v>
      </c>
      <c r="N343" s="262">
        <f>'Cjenik M'!$D$81</f>
        <v>0</v>
      </c>
      <c r="O343" s="70">
        <f>M343*N343</f>
        <v>0</v>
      </c>
    </row>
    <row r="344" spans="1:15" ht="25.15" customHeight="1" thickTop="1" thickBot="1">
      <c r="B344" s="47"/>
      <c r="C344" s="555"/>
      <c r="D344" s="25"/>
      <c r="E344" s="850" t="str">
        <f>'Obrazac kalkulacije'!$E$18</f>
        <v>Ukupno (kn):</v>
      </c>
      <c r="F344" s="850"/>
      <c r="G344" s="26">
        <f>ROUND(SUM(G335+G337+G341),2)</f>
        <v>637.67999999999995</v>
      </c>
      <c r="H344" s="269" t="e">
        <f>SUMIF(#REF!,$B331,#REF!)</f>
        <v>#REF!</v>
      </c>
      <c r="J344" s="47"/>
      <c r="K344" s="24"/>
      <c r="L344" s="25"/>
      <c r="M344" s="850" t="str">
        <f>'Obrazac kalkulacije'!$E$18</f>
        <v>Ukupno (kn):</v>
      </c>
      <c r="N344" s="850"/>
      <c r="O344" s="26">
        <f>ROUND(SUM(O335+O337+O341),2)</f>
        <v>667.72</v>
      </c>
    </row>
    <row r="345" spans="1:15" ht="25.15" customHeight="1" thickTop="1" thickBot="1">
      <c r="E345" s="27" t="str">
        <f>'Obrazac kalkulacije'!$E$19</f>
        <v>PDV:</v>
      </c>
      <c r="F345" s="259">
        <f>'Obrazac kalkulacije'!$F$19</f>
        <v>0.25</v>
      </c>
      <c r="G345" s="29">
        <f>G344*F345</f>
        <v>159.41999999999999</v>
      </c>
      <c r="H345" s="270" t="e">
        <f>H344-G344</f>
        <v>#REF!</v>
      </c>
      <c r="M345" s="27" t="str">
        <f>'Obrazac kalkulacije'!$E$19</f>
        <v>PDV:</v>
      </c>
      <c r="N345" s="259">
        <f>'Obrazac kalkulacije'!$F$19</f>
        <v>0.25</v>
      </c>
      <c r="O345" s="29">
        <f>O344*N345</f>
        <v>166.93</v>
      </c>
    </row>
    <row r="346" spans="1:15" ht="25.15" customHeight="1" thickTop="1" thickBot="1">
      <c r="E346" s="840" t="str">
        <f>'Obrazac kalkulacije'!$E$20</f>
        <v>Sveukupno (kn):</v>
      </c>
      <c r="F346" s="840"/>
      <c r="G346" s="29">
        <f>ROUND(SUM(G344:G345),2)</f>
        <v>797.1</v>
      </c>
      <c r="H346" s="271" t="e">
        <f>G340+H345</f>
        <v>#REF!</v>
      </c>
      <c r="M346" s="840" t="str">
        <f>'Obrazac kalkulacije'!$E$20</f>
        <v>Sveukupno (kn):</v>
      </c>
      <c r="N346" s="840"/>
      <c r="O346" s="29">
        <f>ROUND(SUM(O344:O345),2)</f>
        <v>834.65</v>
      </c>
    </row>
    <row r="347" spans="1:15" ht="15" customHeight="1" thickTop="1"/>
    <row r="348" spans="1:15" ht="15" customHeight="1"/>
    <row r="349" spans="1:15" ht="15" customHeight="1"/>
    <row r="350" spans="1:15" ht="15" customHeight="1">
      <c r="C350" s="3" t="str">
        <f>'Obrazac kalkulacije'!$C$24</f>
        <v>IZVODITELJ:</v>
      </c>
      <c r="F350" s="841" t="str">
        <f>'Obrazac kalkulacije'!$F$24</f>
        <v>NARUČITELJ:</v>
      </c>
      <c r="G350" s="841"/>
      <c r="K350" s="3" t="str">
        <f>'Obrazac kalkulacije'!$C$24</f>
        <v>IZVODITELJ:</v>
      </c>
      <c r="N350" s="841" t="str">
        <f>'Obrazac kalkulacije'!$F$24</f>
        <v>NARUČITELJ:</v>
      </c>
      <c r="O350" s="841"/>
    </row>
    <row r="351" spans="1:15" ht="25.15" customHeight="1">
      <c r="C351" s="3" t="str">
        <f>'Obrazac kalkulacije'!$C$25</f>
        <v>__________________</v>
      </c>
      <c r="F351" s="841" t="str">
        <f>'Obrazac kalkulacije'!$F$25</f>
        <v>___________________</v>
      </c>
      <c r="G351" s="841"/>
      <c r="K351" s="3" t="str">
        <f>'Obrazac kalkulacije'!$C$25</f>
        <v>__________________</v>
      </c>
      <c r="N351" s="841" t="str">
        <f>'Obrazac kalkulacije'!$F$25</f>
        <v>___________________</v>
      </c>
      <c r="O351" s="841"/>
    </row>
    <row r="352" spans="1:15" ht="15" customHeight="1">
      <c r="F352" s="841"/>
      <c r="G352" s="841"/>
      <c r="N352" s="841"/>
      <c r="O352" s="841"/>
    </row>
    <row r="353" spans="1:15" ht="15" customHeight="1"/>
    <row r="354" spans="1:15" ht="15" customHeight="1">
      <c r="A354" s="144"/>
      <c r="B354" s="145" t="s">
        <v>31</v>
      </c>
      <c r="C354" s="836" t="s">
        <v>261</v>
      </c>
      <c r="D354" s="836"/>
      <c r="E354" s="836"/>
      <c r="F354" s="836"/>
      <c r="G354" s="836"/>
      <c r="I354" s="144"/>
      <c r="J354" s="145" t="s">
        <v>31</v>
      </c>
      <c r="K354" s="836" t="s">
        <v>261</v>
      </c>
      <c r="L354" s="836"/>
      <c r="M354" s="836"/>
      <c r="N354" s="836"/>
      <c r="O354" s="836"/>
    </row>
    <row r="355" spans="1:15" ht="15" customHeight="1">
      <c r="A355" s="38"/>
      <c r="B355" s="39" t="s">
        <v>283</v>
      </c>
      <c r="C355" s="860" t="s">
        <v>284</v>
      </c>
      <c r="D355" s="860"/>
      <c r="E355" s="860"/>
      <c r="F355" s="860"/>
      <c r="G355" s="860"/>
      <c r="I355" s="38"/>
      <c r="J355" s="39" t="s">
        <v>283</v>
      </c>
      <c r="K355" s="860" t="s">
        <v>284</v>
      </c>
      <c r="L355" s="860"/>
      <c r="M355" s="860"/>
      <c r="N355" s="860"/>
      <c r="O355" s="860"/>
    </row>
    <row r="356" spans="1:15" ht="150" customHeight="1">
      <c r="A356" s="40"/>
      <c r="B356" s="556" t="s">
        <v>304</v>
      </c>
      <c r="C356" s="852" t="s">
        <v>305</v>
      </c>
      <c r="D356" s="852"/>
      <c r="E356" s="852"/>
      <c r="F356" s="852"/>
      <c r="G356" s="852"/>
      <c r="I356" s="40"/>
      <c r="J356" s="41" t="s">
        <v>304</v>
      </c>
      <c r="K356" s="869" t="s">
        <v>306</v>
      </c>
      <c r="L356" s="869"/>
      <c r="M356" s="869"/>
      <c r="N356" s="869"/>
      <c r="O356" s="869"/>
    </row>
    <row r="357" spans="1:15" ht="15" customHeight="1" thickBot="1"/>
    <row r="358" spans="1:15" ht="30" customHeight="1" thickTop="1" thickBot="1">
      <c r="A358" s="10"/>
      <c r="B358" s="835" t="str">
        <f>'Obrazac kalkulacije'!$B$6:$C$6</f>
        <v>Opis</v>
      </c>
      <c r="C358" s="835"/>
      <c r="D358" s="10" t="str">
        <f>'Obrazac kalkulacije'!$D$6</f>
        <v>Jed.
mjere</v>
      </c>
      <c r="E358" s="10" t="str">
        <f>'Obrazac kalkulacije'!$E$6</f>
        <v>Normativ</v>
      </c>
      <c r="F358" s="10" t="str">
        <f>'Obrazac kalkulacije'!$F$6</f>
        <v>Jed.
cijena</v>
      </c>
      <c r="G358" s="10" t="str">
        <f>'Obrazac kalkulacije'!$G$6</f>
        <v>Iznos</v>
      </c>
      <c r="I358" s="10"/>
      <c r="J358" s="835" t="e">
        <f>'Obrazac kalkulacije'!$B$6:$C$6</f>
        <v>#VALUE!</v>
      </c>
      <c r="K358" s="835"/>
      <c r="L358" s="10" t="str">
        <f>'Obrazac kalkulacije'!$D$6</f>
        <v>Jed.
mjere</v>
      </c>
      <c r="M358" s="10" t="str">
        <f>'Obrazac kalkulacije'!$E$6</f>
        <v>Normativ</v>
      </c>
      <c r="N358" s="10" t="str">
        <f>'Obrazac kalkulacije'!$F$6</f>
        <v>Jed.
cijena</v>
      </c>
      <c r="O358" s="10" t="str">
        <f>'Obrazac kalkulacije'!$G$6</f>
        <v>Iznos</v>
      </c>
    </row>
    <row r="359" spans="1:15" ht="4.5" customHeight="1" thickTop="1">
      <c r="B359" s="42"/>
      <c r="C359" s="1"/>
      <c r="D359" s="11"/>
      <c r="E359" s="13"/>
      <c r="F359" s="258"/>
      <c r="G359" s="15"/>
      <c r="J359" s="42"/>
      <c r="K359" s="1"/>
      <c r="L359" s="11"/>
      <c r="M359" s="13"/>
      <c r="N359" s="258"/>
      <c r="O359" s="15"/>
    </row>
    <row r="360" spans="1:15" ht="25.15" customHeight="1">
      <c r="A360" s="16"/>
      <c r="B360" s="837" t="str">
        <f>'Obrazac kalkulacije'!$B$8</f>
        <v>Radna snaga:</v>
      </c>
      <c r="C360" s="837"/>
      <c r="D360" s="16"/>
      <c r="E360" s="16"/>
      <c r="F360" s="44"/>
      <c r="G360" s="18">
        <f>SUM(G361:G361)</f>
        <v>419.02411697999997</v>
      </c>
      <c r="I360" s="16"/>
      <c r="J360" s="837" t="str">
        <f>'Obrazac kalkulacije'!$B$8</f>
        <v>Radna snaga:</v>
      </c>
      <c r="K360" s="837"/>
      <c r="L360" s="16"/>
      <c r="M360" s="16"/>
      <c r="N360" s="44"/>
      <c r="O360" s="18">
        <f>SUM(O361:O361)</f>
        <v>419.02411697999997</v>
      </c>
    </row>
    <row r="361" spans="1:15" ht="25.15" customHeight="1">
      <c r="A361" s="32"/>
      <c r="B361" s="854" t="s">
        <v>57</v>
      </c>
      <c r="C361" s="854"/>
      <c r="D361" s="33" t="s">
        <v>51</v>
      </c>
      <c r="E361" s="34">
        <v>3.9895659999999999</v>
      </c>
      <c r="F361" s="238">
        <f>SUMIF('Cjenik RS'!$C$11:$C$26,$B361,'Cjenik RS'!$D$11:$D$90)</f>
        <v>105.03</v>
      </c>
      <c r="G361" s="35">
        <f>+F361*E361</f>
        <v>419.02411697999997</v>
      </c>
      <c r="I361" s="32"/>
      <c r="J361" s="854" t="s">
        <v>57</v>
      </c>
      <c r="K361" s="854"/>
      <c r="L361" s="33" t="s">
        <v>51</v>
      </c>
      <c r="M361" s="34">
        <v>3.9895659999999999</v>
      </c>
      <c r="N361" s="238">
        <f>SUMIF('Cjenik RS'!$C$11:$C$26,$J361,'Cjenik RS'!$D$11:$D$90)</f>
        <v>105.03</v>
      </c>
      <c r="O361" s="35">
        <f>+N361*M361</f>
        <v>419.02411697999997</v>
      </c>
    </row>
    <row r="362" spans="1:15" ht="25.15" customHeight="1">
      <c r="A362" s="16"/>
      <c r="B362" s="837" t="str">
        <f>'Obrazac kalkulacije'!$B$11</f>
        <v>Vozila, strojevi i oprema:</v>
      </c>
      <c r="C362" s="837"/>
      <c r="D362" s="16"/>
      <c r="E362" s="16"/>
      <c r="F362" s="238"/>
      <c r="G362" s="18">
        <f>SUM(G363:G365)</f>
        <v>110.25875948978914</v>
      </c>
      <c r="I362" s="16"/>
      <c r="J362" s="837" t="str">
        <f>'Obrazac kalkulacije'!$B$11</f>
        <v>Vozila, strojevi i oprema:</v>
      </c>
      <c r="K362" s="837"/>
      <c r="L362" s="16"/>
      <c r="M362" s="16"/>
      <c r="N362" s="238"/>
      <c r="O362" s="18">
        <f>SUM(O363:O365)</f>
        <v>138.02058120000001</v>
      </c>
    </row>
    <row r="363" spans="1:15" ht="25.15" customHeight="1">
      <c r="A363" s="51"/>
      <c r="B363" s="849" t="s">
        <v>69</v>
      </c>
      <c r="C363" s="849"/>
      <c r="D363" s="52" t="s">
        <v>51</v>
      </c>
      <c r="E363" s="135">
        <v>0.37402200000000002</v>
      </c>
      <c r="F363" s="260">
        <f>SUMIF('Cjenik VSO'!$B$9:$B$85,$B363,'Cjenik VSO'!$C$9:$C$85)</f>
        <v>179.6</v>
      </c>
      <c r="G363" s="54">
        <f>E363*F363</f>
        <v>67.174351200000004</v>
      </c>
      <c r="I363" s="51"/>
      <c r="J363" s="849" t="s">
        <v>69</v>
      </c>
      <c r="K363" s="849"/>
      <c r="L363" s="52" t="s">
        <v>51</v>
      </c>
      <c r="M363" s="135">
        <v>0.37402200000000002</v>
      </c>
      <c r="N363" s="260">
        <f>SUMIF('Cjenik VSO'!$B$9:$B$85,$B363,'Cjenik VSO'!$C$9:$C$85)</f>
        <v>179.6</v>
      </c>
      <c r="O363" s="54">
        <f>M363*N363</f>
        <v>67.174351200000004</v>
      </c>
    </row>
    <row r="364" spans="1:15" ht="25.15" customHeight="1">
      <c r="A364" s="56"/>
      <c r="B364" s="839" t="s">
        <v>70</v>
      </c>
      <c r="C364" s="839"/>
      <c r="D364" s="57" t="s">
        <v>51</v>
      </c>
      <c r="E364" s="58">
        <v>0.315</v>
      </c>
      <c r="F364" s="263">
        <f>SUMIF('Cjenik VSO'!$B$9:$B$85,$B364,'Cjenik VSO'!$C$9:$C$85)</f>
        <v>99.33</v>
      </c>
      <c r="G364" s="59">
        <f>E364*F364</f>
        <v>31.28895</v>
      </c>
      <c r="I364" s="56"/>
      <c r="J364" s="839" t="s">
        <v>70</v>
      </c>
      <c r="K364" s="839"/>
      <c r="L364" s="57" t="s">
        <v>51</v>
      </c>
      <c r="M364" s="58">
        <v>0.315</v>
      </c>
      <c r="N364" s="263">
        <f>SUMIF('Cjenik VSO'!$B$9:$B$85,$B364,'Cjenik VSO'!$C$9:$C$85)</f>
        <v>99.33</v>
      </c>
      <c r="O364" s="59">
        <f>M364*N364</f>
        <v>31.28895</v>
      </c>
    </row>
    <row r="365" spans="1:15" ht="25.15" customHeight="1">
      <c r="A365" s="98"/>
      <c r="B365" s="875" t="s">
        <v>288</v>
      </c>
      <c r="C365" s="875"/>
      <c r="D365" s="57" t="s">
        <v>51</v>
      </c>
      <c r="E365" s="75">
        <v>6.9060060244667112E-2</v>
      </c>
      <c r="F365" s="263">
        <f>SUMIF('Cjenik VSO'!$B$9:$B$85,$B365,'Cjenik VSO'!$C$9:$C$85)</f>
        <v>170.8</v>
      </c>
      <c r="G365" s="60">
        <f>E365*F365</f>
        <v>11.795458289789144</v>
      </c>
      <c r="I365" s="98"/>
      <c r="J365" s="875" t="s">
        <v>288</v>
      </c>
      <c r="K365" s="875"/>
      <c r="L365" s="57" t="s">
        <v>51</v>
      </c>
      <c r="M365" s="75">
        <v>0.2316</v>
      </c>
      <c r="N365" s="263">
        <f>SUMIF('Cjenik VSO'!$B$9:$B$85,$B365,'Cjenik VSO'!$C$9:$C$85)</f>
        <v>170.8</v>
      </c>
      <c r="O365" s="60">
        <f>M365*N365</f>
        <v>39.557280000000006</v>
      </c>
    </row>
    <row r="366" spans="1:15" ht="25.15" customHeight="1">
      <c r="A366" s="16"/>
      <c r="B366" s="837" t="str">
        <f>'Obrazac kalkulacije'!$B$15</f>
        <v>Materijali:</v>
      </c>
      <c r="C366" s="837"/>
      <c r="D366" s="16"/>
      <c r="E366" s="16"/>
      <c r="F366" s="238"/>
      <c r="G366" s="18">
        <f>SUM(G367:G368)</f>
        <v>0</v>
      </c>
      <c r="I366" s="16"/>
      <c r="J366" s="837" t="str">
        <f>'Obrazac kalkulacije'!$B$15</f>
        <v>Materijali:</v>
      </c>
      <c r="K366" s="837"/>
      <c r="L366" s="16"/>
      <c r="M366" s="16"/>
      <c r="N366" s="238"/>
      <c r="O366" s="18">
        <f>SUM(O367:O368)</f>
        <v>0</v>
      </c>
    </row>
    <row r="367" spans="1:15" ht="25.15" customHeight="1">
      <c r="A367" s="51"/>
      <c r="B367" s="863">
        <f>'Cjenik M'!$B$31</f>
        <v>0</v>
      </c>
      <c r="C367" s="863"/>
      <c r="D367" s="52">
        <f>'Cjenik M'!$C$31</f>
        <v>0</v>
      </c>
      <c r="E367" s="53">
        <v>8.8439999999999994E-3</v>
      </c>
      <c r="F367" s="260">
        <f>'Cjenik M'!$D$31</f>
        <v>0</v>
      </c>
      <c r="G367" s="55">
        <f>E367*F367</f>
        <v>0</v>
      </c>
      <c r="I367" s="51"/>
      <c r="J367" s="863">
        <f>'Cjenik M'!$B$31</f>
        <v>0</v>
      </c>
      <c r="K367" s="863"/>
      <c r="L367" s="52">
        <f>'Cjenik M'!$C$31</f>
        <v>0</v>
      </c>
      <c r="M367" s="53">
        <v>8.8439999999999994E-3</v>
      </c>
      <c r="N367" s="260">
        <f>'Cjenik M'!$D$31</f>
        <v>0</v>
      </c>
      <c r="O367" s="55">
        <f>M367*N367</f>
        <v>0</v>
      </c>
    </row>
    <row r="368" spans="1:15" ht="25.15" customHeight="1" thickBot="1">
      <c r="A368" s="66"/>
      <c r="B368" s="859">
        <f>'Cjenik M'!$B$81</f>
        <v>0</v>
      </c>
      <c r="C368" s="859"/>
      <c r="D368" s="67">
        <f>'Cjenik M'!$C$81</f>
        <v>0</v>
      </c>
      <c r="E368" s="53">
        <v>110</v>
      </c>
      <c r="F368" s="262">
        <f>'Cjenik M'!$D$81</f>
        <v>0</v>
      </c>
      <c r="G368" s="70">
        <f>E368*F368</f>
        <v>0</v>
      </c>
      <c r="I368" s="66"/>
      <c r="J368" s="859">
        <f>'Cjenik M'!$B$81</f>
        <v>0</v>
      </c>
      <c r="K368" s="859"/>
      <c r="L368" s="67">
        <f>'Cjenik M'!$C$81</f>
        <v>0</v>
      </c>
      <c r="M368" s="68">
        <v>150</v>
      </c>
      <c r="N368" s="262">
        <f>'Cjenik M'!$D$81</f>
        <v>0</v>
      </c>
      <c r="O368" s="70">
        <f>M368*N368</f>
        <v>0</v>
      </c>
    </row>
    <row r="369" spans="1:15" ht="25.15" customHeight="1" thickTop="1" thickBot="1">
      <c r="B369" s="47"/>
      <c r="C369" s="555"/>
      <c r="D369" s="25"/>
      <c r="E369" s="850" t="str">
        <f>'Obrazac kalkulacije'!$E$18</f>
        <v>Ukupno (kn):</v>
      </c>
      <c r="F369" s="850"/>
      <c r="G369" s="26">
        <f>ROUND(SUM(G360+G362+G366),2)</f>
        <v>529.28</v>
      </c>
      <c r="H369" s="269" t="e">
        <f>SUMIF(#REF!,$B356,#REF!)</f>
        <v>#REF!</v>
      </c>
      <c r="J369" s="47"/>
      <c r="K369" s="24"/>
      <c r="L369" s="25"/>
      <c r="M369" s="850" t="str">
        <f>'Obrazac kalkulacije'!$E$18</f>
        <v>Ukupno (kn):</v>
      </c>
      <c r="N369" s="850"/>
      <c r="O369" s="26">
        <f>ROUND(SUM(O360+O362+O366),2)</f>
        <v>557.04</v>
      </c>
    </row>
    <row r="370" spans="1:15" ht="25.15" customHeight="1" thickTop="1" thickBot="1">
      <c r="E370" s="27" t="str">
        <f>'Obrazac kalkulacije'!$E$19</f>
        <v>PDV:</v>
      </c>
      <c r="F370" s="259">
        <f>'Obrazac kalkulacije'!$F$19</f>
        <v>0.25</v>
      </c>
      <c r="G370" s="29">
        <f>G369*F370</f>
        <v>132.32</v>
      </c>
      <c r="H370" s="270" t="e">
        <f>H369-G369</f>
        <v>#REF!</v>
      </c>
      <c r="M370" s="27" t="str">
        <f>'Obrazac kalkulacije'!$E$19</f>
        <v>PDV:</v>
      </c>
      <c r="N370" s="259">
        <f>'Obrazac kalkulacije'!$F$19</f>
        <v>0.25</v>
      </c>
      <c r="O370" s="29">
        <f>O369*N370</f>
        <v>139.26</v>
      </c>
    </row>
    <row r="371" spans="1:15" ht="25.15" customHeight="1" thickTop="1" thickBot="1">
      <c r="E371" s="840" t="str">
        <f>'Obrazac kalkulacije'!$E$20</f>
        <v>Sveukupno (kn):</v>
      </c>
      <c r="F371" s="840"/>
      <c r="G371" s="29">
        <f>ROUND(SUM(G369:G370),2)</f>
        <v>661.6</v>
      </c>
      <c r="H371" s="271" t="e">
        <f>G365+H370</f>
        <v>#REF!</v>
      </c>
      <c r="M371" s="840" t="str">
        <f>'Obrazac kalkulacije'!$E$20</f>
        <v>Sveukupno (kn):</v>
      </c>
      <c r="N371" s="840"/>
      <c r="O371" s="29">
        <f>ROUND(SUM(O369:O370),2)</f>
        <v>696.3</v>
      </c>
    </row>
    <row r="372" spans="1:15" ht="15" customHeight="1" thickTop="1"/>
    <row r="373" spans="1:15" ht="15" customHeight="1"/>
    <row r="374" spans="1:15" ht="15" customHeight="1"/>
    <row r="375" spans="1:15" ht="15" customHeight="1">
      <c r="C375" s="3" t="str">
        <f>'Obrazac kalkulacije'!$C$24</f>
        <v>IZVODITELJ:</v>
      </c>
      <c r="F375" s="841" t="str">
        <f>'Obrazac kalkulacije'!$F$24</f>
        <v>NARUČITELJ:</v>
      </c>
      <c r="G375" s="841"/>
      <c r="K375" s="3" t="str">
        <f>'Obrazac kalkulacije'!$C$24</f>
        <v>IZVODITELJ:</v>
      </c>
      <c r="N375" s="841" t="str">
        <f>'Obrazac kalkulacije'!$F$24</f>
        <v>NARUČITELJ:</v>
      </c>
      <c r="O375" s="841"/>
    </row>
    <row r="376" spans="1:15" ht="25.15" customHeight="1">
      <c r="C376" s="3" t="str">
        <f>'Obrazac kalkulacije'!$C$25</f>
        <v>__________________</v>
      </c>
      <c r="F376" s="841" t="str">
        <f>'Obrazac kalkulacije'!$F$25</f>
        <v>___________________</v>
      </c>
      <c r="G376" s="841"/>
      <c r="K376" s="3" t="str">
        <f>'Obrazac kalkulacije'!$C$25</f>
        <v>__________________</v>
      </c>
      <c r="N376" s="841" t="str">
        <f>'Obrazac kalkulacije'!$F$25</f>
        <v>___________________</v>
      </c>
      <c r="O376" s="841"/>
    </row>
    <row r="377" spans="1:15" ht="15" customHeight="1">
      <c r="F377" s="841"/>
      <c r="G377" s="841"/>
      <c r="N377" s="841"/>
      <c r="O377" s="841"/>
    </row>
    <row r="378" spans="1:15" ht="15" customHeight="1"/>
    <row r="379" spans="1:15" ht="15" customHeight="1">
      <c r="A379" s="144"/>
      <c r="B379" s="145" t="s">
        <v>31</v>
      </c>
      <c r="C379" s="836" t="s">
        <v>261</v>
      </c>
      <c r="D379" s="836"/>
      <c r="E379" s="836"/>
      <c r="F379" s="836"/>
      <c r="G379" s="836"/>
      <c r="I379" s="144"/>
      <c r="J379" s="145" t="s">
        <v>31</v>
      </c>
      <c r="K379" s="836" t="s">
        <v>261</v>
      </c>
      <c r="L379" s="836"/>
      <c r="M379" s="836"/>
      <c r="N379" s="836"/>
      <c r="O379" s="836"/>
    </row>
    <row r="380" spans="1:15" ht="15" customHeight="1">
      <c r="A380" s="38"/>
      <c r="B380" s="39" t="s">
        <v>283</v>
      </c>
      <c r="C380" s="860" t="s">
        <v>284</v>
      </c>
      <c r="D380" s="860"/>
      <c r="E380" s="860"/>
      <c r="F380" s="860"/>
      <c r="G380" s="860"/>
      <c r="I380" s="38"/>
      <c r="J380" s="39" t="s">
        <v>283</v>
      </c>
      <c r="K380" s="860" t="s">
        <v>284</v>
      </c>
      <c r="L380" s="860"/>
      <c r="M380" s="860"/>
      <c r="N380" s="860"/>
      <c r="O380" s="860"/>
    </row>
    <row r="381" spans="1:15" ht="150" customHeight="1">
      <c r="A381" s="40"/>
      <c r="B381" s="556" t="s">
        <v>307</v>
      </c>
      <c r="C381" s="852" t="s">
        <v>308</v>
      </c>
      <c r="D381" s="852"/>
      <c r="E381" s="852"/>
      <c r="F381" s="852"/>
      <c r="G381" s="852"/>
      <c r="I381" s="40"/>
      <c r="J381" s="41" t="s">
        <v>307</v>
      </c>
      <c r="K381" s="869" t="s">
        <v>309</v>
      </c>
      <c r="L381" s="869"/>
      <c r="M381" s="869"/>
      <c r="N381" s="869"/>
      <c r="O381" s="869"/>
    </row>
    <row r="382" spans="1:15" ht="15" customHeight="1" thickBot="1"/>
    <row r="383" spans="1:15" ht="30" customHeight="1" thickTop="1" thickBot="1">
      <c r="A383" s="10"/>
      <c r="B383" s="835" t="str">
        <f>'Obrazac kalkulacije'!$B$6:$C$6</f>
        <v>Opis</v>
      </c>
      <c r="C383" s="835"/>
      <c r="D383" s="10" t="str">
        <f>'Obrazac kalkulacije'!$D$6</f>
        <v>Jed.
mjere</v>
      </c>
      <c r="E383" s="10" t="str">
        <f>'Obrazac kalkulacije'!$E$6</f>
        <v>Normativ</v>
      </c>
      <c r="F383" s="10" t="str">
        <f>'Obrazac kalkulacije'!$F$6</f>
        <v>Jed.
cijena</v>
      </c>
      <c r="G383" s="10" t="str">
        <f>'Obrazac kalkulacije'!$G$6</f>
        <v>Iznos</v>
      </c>
      <c r="I383" s="10"/>
      <c r="J383" s="835" t="e">
        <f>'Obrazac kalkulacije'!$B$6:$C$6</f>
        <v>#VALUE!</v>
      </c>
      <c r="K383" s="835"/>
      <c r="L383" s="10" t="str">
        <f>'Obrazac kalkulacije'!$D$6</f>
        <v>Jed.
mjere</v>
      </c>
      <c r="M383" s="10" t="str">
        <f>'Obrazac kalkulacije'!$E$6</f>
        <v>Normativ</v>
      </c>
      <c r="N383" s="10" t="str">
        <f>'Obrazac kalkulacije'!$F$6</f>
        <v>Jed.
cijena</v>
      </c>
      <c r="O383" s="10" t="str">
        <f>'Obrazac kalkulacije'!$G$6</f>
        <v>Iznos</v>
      </c>
    </row>
    <row r="384" spans="1:15" ht="4.5" customHeight="1" thickTop="1">
      <c r="B384" s="42"/>
      <c r="C384" s="1"/>
      <c r="D384" s="11"/>
      <c r="E384" s="13"/>
      <c r="F384" s="258"/>
      <c r="G384" s="15"/>
      <c r="J384" s="42"/>
      <c r="K384" s="1"/>
      <c r="L384" s="11"/>
      <c r="M384" s="13"/>
      <c r="N384" s="258"/>
      <c r="O384" s="15"/>
    </row>
    <row r="385" spans="1:15" ht="25.15" customHeight="1">
      <c r="A385" s="16"/>
      <c r="B385" s="837" t="str">
        <f>'Obrazac kalkulacije'!$B$8</f>
        <v>Radna snaga:</v>
      </c>
      <c r="C385" s="837"/>
      <c r="D385" s="16"/>
      <c r="E385" s="16"/>
      <c r="F385" s="44"/>
      <c r="G385" s="18">
        <f>SUM(G386:G386)</f>
        <v>148.80513861</v>
      </c>
      <c r="I385" s="16"/>
      <c r="J385" s="837" t="str">
        <f>'Obrazac kalkulacije'!$B$8</f>
        <v>Radna snaga:</v>
      </c>
      <c r="K385" s="837"/>
      <c r="L385" s="16"/>
      <c r="M385" s="16"/>
      <c r="N385" s="44"/>
      <c r="O385" s="18">
        <f>SUM(O386:O386)</f>
        <v>148.80513861</v>
      </c>
    </row>
    <row r="386" spans="1:15" ht="25.15" customHeight="1">
      <c r="A386" s="32"/>
      <c r="B386" s="854" t="s">
        <v>57</v>
      </c>
      <c r="C386" s="854"/>
      <c r="D386" s="33" t="s">
        <v>51</v>
      </c>
      <c r="E386" s="34">
        <v>1.416787</v>
      </c>
      <c r="F386" s="238">
        <f>SUMIF('Cjenik RS'!$C$11:$C$26,$B386,'Cjenik RS'!$D$11:$D$90)</f>
        <v>105.03</v>
      </c>
      <c r="G386" s="35">
        <f>+F386*E386</f>
        <v>148.80513861</v>
      </c>
      <c r="I386" s="32"/>
      <c r="J386" s="854" t="s">
        <v>57</v>
      </c>
      <c r="K386" s="854"/>
      <c r="L386" s="33" t="s">
        <v>51</v>
      </c>
      <c r="M386" s="34">
        <v>1.416787</v>
      </c>
      <c r="N386" s="238">
        <f>SUMIF('Cjenik RS'!$C$11:$C$26,$J386,'Cjenik RS'!$D$11:$D$90)</f>
        <v>105.03</v>
      </c>
      <c r="O386" s="35">
        <f>+N386*M386</f>
        <v>148.80513861</v>
      </c>
    </row>
    <row r="387" spans="1:15" ht="25.15" customHeight="1">
      <c r="A387" s="16"/>
      <c r="B387" s="837" t="str">
        <f>'Obrazac kalkulacije'!$B$11</f>
        <v>Vozila, strojevi i oprema:</v>
      </c>
      <c r="C387" s="837"/>
      <c r="D387" s="16"/>
      <c r="E387" s="16"/>
      <c r="F387" s="238"/>
      <c r="G387" s="18">
        <f>SUM(G388:G391)</f>
        <v>60.649545050144873</v>
      </c>
      <c r="I387" s="16"/>
      <c r="J387" s="837" t="str">
        <f>'Obrazac kalkulacije'!$B$11</f>
        <v>Vozila, strojevi i oprema:</v>
      </c>
      <c r="K387" s="837"/>
      <c r="L387" s="16"/>
      <c r="M387" s="16"/>
      <c r="N387" s="238"/>
      <c r="O387" s="18">
        <f>SUM(O388:O391)</f>
        <v>67.330309490000005</v>
      </c>
    </row>
    <row r="388" spans="1:15" ht="25.15" customHeight="1">
      <c r="A388" s="51"/>
      <c r="B388" s="849" t="s">
        <v>73</v>
      </c>
      <c r="C388" s="849"/>
      <c r="D388" s="52" t="s">
        <v>51</v>
      </c>
      <c r="E388" s="53">
        <v>0.109761</v>
      </c>
      <c r="F388" s="260">
        <f>SUMIF('Cjenik VSO'!$B$9:$B$85,$B388,'Cjenik VSO'!$C$9:$C$85)</f>
        <v>291.72000000000003</v>
      </c>
      <c r="G388" s="54">
        <f>E388*F388</f>
        <v>32.019478920000005</v>
      </c>
      <c r="I388" s="51"/>
      <c r="J388" s="849" t="s">
        <v>73</v>
      </c>
      <c r="K388" s="849"/>
      <c r="L388" s="52" t="s">
        <v>51</v>
      </c>
      <c r="M388" s="53">
        <v>0.109761</v>
      </c>
      <c r="N388" s="260">
        <f>SUMIF('Cjenik VSO'!$B$9:$B$85,$B388,'Cjenik VSO'!$C$9:$C$85)</f>
        <v>291.72000000000003</v>
      </c>
      <c r="O388" s="54">
        <f>M388*N388</f>
        <v>32.019478920000005</v>
      </c>
    </row>
    <row r="389" spans="1:15" ht="25.15" customHeight="1">
      <c r="A389" s="56"/>
      <c r="B389" s="839" t="s">
        <v>97</v>
      </c>
      <c r="C389" s="839"/>
      <c r="D389" s="57" t="s">
        <v>51</v>
      </c>
      <c r="E389" s="58">
        <v>7.5847321223269731E-2</v>
      </c>
      <c r="F389" s="263">
        <f>SUMIF('Cjenik VSO'!$B$9:$B$85,$B389,'Cjenik VSO'!$C$9:$C$85)</f>
        <v>279.37</v>
      </c>
      <c r="G389" s="59">
        <f>E389*F389</f>
        <v>21.189466130144865</v>
      </c>
      <c r="I389" s="56"/>
      <c r="J389" s="839" t="s">
        <v>97</v>
      </c>
      <c r="K389" s="839"/>
      <c r="L389" s="57" t="s">
        <v>51</v>
      </c>
      <c r="M389" s="58">
        <v>9.9761000000000002E-2</v>
      </c>
      <c r="N389" s="263">
        <f>SUMIF('Cjenik VSO'!$B$9:$B$85,$B389,'Cjenik VSO'!$C$9:$C$85)</f>
        <v>279.37</v>
      </c>
      <c r="O389" s="59">
        <f>M389*N389</f>
        <v>27.87023057</v>
      </c>
    </row>
    <row r="390" spans="1:15" ht="25.15" customHeight="1">
      <c r="A390" s="77"/>
      <c r="B390" s="877" t="s">
        <v>71</v>
      </c>
      <c r="C390" s="877"/>
      <c r="D390" s="78" t="s">
        <v>51</v>
      </c>
      <c r="E390" s="143">
        <v>0.06</v>
      </c>
      <c r="F390" s="265">
        <f>SUMIF('Cjenik VSO'!$B$9:$B$85,$B390,'Cjenik VSO'!$C$9:$C$85)</f>
        <v>102.17</v>
      </c>
      <c r="G390" s="80">
        <f>E390*F390</f>
        <v>6.1302000000000003</v>
      </c>
      <c r="I390" s="77"/>
      <c r="J390" s="877" t="s">
        <v>71</v>
      </c>
      <c r="K390" s="877"/>
      <c r="L390" s="78" t="s">
        <v>51</v>
      </c>
      <c r="M390" s="143">
        <v>0.06</v>
      </c>
      <c r="N390" s="265">
        <f>SUMIF('Cjenik VSO'!$B$9:$B$85,$B390,'Cjenik VSO'!$C$9:$C$85)</f>
        <v>102.17</v>
      </c>
      <c r="O390" s="80">
        <f>M390*N390</f>
        <v>6.1302000000000003</v>
      </c>
    </row>
    <row r="391" spans="1:15" ht="25.15" customHeight="1">
      <c r="A391" s="61"/>
      <c r="B391" s="855" t="s">
        <v>200</v>
      </c>
      <c r="C391" s="855"/>
      <c r="D391" s="62" t="s">
        <v>51</v>
      </c>
      <c r="E391" s="63">
        <v>0.06</v>
      </c>
      <c r="F391" s="261">
        <f>SUMIF('Cjenik VSO'!$B$9:$B$85,$B391,'Cjenik VSO'!$C$9:$C$85)</f>
        <v>21.84</v>
      </c>
      <c r="G391" s="64">
        <f>E391*F391</f>
        <v>1.3104</v>
      </c>
      <c r="I391" s="61"/>
      <c r="J391" s="855" t="s">
        <v>200</v>
      </c>
      <c r="K391" s="855"/>
      <c r="L391" s="62" t="s">
        <v>51</v>
      </c>
      <c r="M391" s="63">
        <v>0.06</v>
      </c>
      <c r="N391" s="261">
        <f>SUMIF('Cjenik VSO'!$B$9:$B$85,$B391,'Cjenik VSO'!$C$9:$C$85)</f>
        <v>21.84</v>
      </c>
      <c r="O391" s="64">
        <f>M391*N391</f>
        <v>1.3104</v>
      </c>
    </row>
    <row r="392" spans="1:15" ht="25.15" customHeight="1">
      <c r="A392" s="16"/>
      <c r="B392" s="837" t="str">
        <f>'Obrazac kalkulacije'!$B$15</f>
        <v>Materijali:</v>
      </c>
      <c r="C392" s="837"/>
      <c r="D392" s="16"/>
      <c r="E392" s="16"/>
      <c r="F392" s="238"/>
      <c r="G392" s="18">
        <f>SUM(G393:G394)</f>
        <v>0</v>
      </c>
      <c r="I392" s="16"/>
      <c r="J392" s="837" t="str">
        <f>'Obrazac kalkulacije'!$B$15</f>
        <v>Materijali:</v>
      </c>
      <c r="K392" s="837"/>
      <c r="L392" s="16"/>
      <c r="M392" s="16"/>
      <c r="N392" s="238"/>
      <c r="O392" s="18">
        <f>SUM(O393:O394)</f>
        <v>0</v>
      </c>
    </row>
    <row r="393" spans="1:15" ht="25.15" customHeight="1">
      <c r="A393" s="51"/>
      <c r="B393" s="863">
        <f>'Cjenik M'!$B$31</f>
        <v>0</v>
      </c>
      <c r="C393" s="863"/>
      <c r="D393" s="52">
        <f>'Cjenik M'!$C$31</f>
        <v>0</v>
      </c>
      <c r="E393" s="53">
        <v>1.0151E-2</v>
      </c>
      <c r="F393" s="260">
        <f>'Cjenik M'!$D$31</f>
        <v>0</v>
      </c>
      <c r="G393" s="55">
        <f>E393*F393</f>
        <v>0</v>
      </c>
      <c r="I393" s="51"/>
      <c r="J393" s="863">
        <f>'Cjenik M'!$B$31</f>
        <v>0</v>
      </c>
      <c r="K393" s="863"/>
      <c r="L393" s="52">
        <f>'Cjenik M'!$C$31</f>
        <v>0</v>
      </c>
      <c r="M393" s="53">
        <v>1.0151E-2</v>
      </c>
      <c r="N393" s="260">
        <f>'Cjenik M'!$D$31</f>
        <v>0</v>
      </c>
      <c r="O393" s="55">
        <f>M393*N393</f>
        <v>0</v>
      </c>
    </row>
    <row r="394" spans="1:15" ht="25.15" customHeight="1" thickBot="1">
      <c r="A394" s="66"/>
      <c r="B394" s="859">
        <f>'Cjenik M'!$B$35</f>
        <v>0</v>
      </c>
      <c r="C394" s="859"/>
      <c r="D394" s="67">
        <f>'Cjenik M'!$C$35</f>
        <v>0</v>
      </c>
      <c r="E394" s="68">
        <v>0.12</v>
      </c>
      <c r="F394" s="262">
        <f>'Cjenik M'!$D$35</f>
        <v>0</v>
      </c>
      <c r="G394" s="70">
        <f>E394*F394</f>
        <v>0</v>
      </c>
      <c r="I394" s="66"/>
      <c r="J394" s="859">
        <f>'Cjenik M'!$B$35</f>
        <v>0</v>
      </c>
      <c r="K394" s="859"/>
      <c r="L394" s="67">
        <f>'Cjenik M'!$C$35</f>
        <v>0</v>
      </c>
      <c r="M394" s="68">
        <v>0.12</v>
      </c>
      <c r="N394" s="262">
        <f>'Cjenik M'!$D$35</f>
        <v>0</v>
      </c>
      <c r="O394" s="70">
        <f>M394*N394</f>
        <v>0</v>
      </c>
    </row>
    <row r="395" spans="1:15" ht="25.15" customHeight="1" thickTop="1" thickBot="1">
      <c r="B395" s="47"/>
      <c r="C395" s="24"/>
      <c r="D395" s="25"/>
      <c r="E395" s="850" t="str">
        <f>'Obrazac kalkulacije'!$E$18</f>
        <v>Ukupno (kn):</v>
      </c>
      <c r="F395" s="850"/>
      <c r="G395" s="26">
        <f>ROUND(SUM(G385+G387+G392),2)</f>
        <v>209.45</v>
      </c>
      <c r="H395" s="269" t="e">
        <f>SUMIF(#REF!,$B381,#REF!)</f>
        <v>#REF!</v>
      </c>
      <c r="J395" s="47"/>
      <c r="K395" s="24"/>
      <c r="L395" s="25"/>
      <c r="M395" s="850" t="str">
        <f>'Obrazac kalkulacije'!$E$18</f>
        <v>Ukupno (kn):</v>
      </c>
      <c r="N395" s="850"/>
      <c r="O395" s="26">
        <f>ROUND(SUM(O385+O387+O392),2)</f>
        <v>216.14</v>
      </c>
    </row>
    <row r="396" spans="1:15" ht="25.15" customHeight="1" thickTop="1" thickBot="1">
      <c r="E396" s="27" t="str">
        <f>'Obrazac kalkulacije'!$E$19</f>
        <v>PDV:</v>
      </c>
      <c r="F396" s="259">
        <f>'Obrazac kalkulacije'!$F$19</f>
        <v>0.25</v>
      </c>
      <c r="G396" s="29">
        <f>G395*F396</f>
        <v>52.362499999999997</v>
      </c>
      <c r="H396" s="270" t="e">
        <f>H395-G395</f>
        <v>#REF!</v>
      </c>
      <c r="M396" s="27" t="str">
        <f>'Obrazac kalkulacije'!$E$19</f>
        <v>PDV:</v>
      </c>
      <c r="N396" s="259">
        <f>'Obrazac kalkulacije'!$F$19</f>
        <v>0.25</v>
      </c>
      <c r="O396" s="29">
        <f>O395*N396</f>
        <v>54.034999999999997</v>
      </c>
    </row>
    <row r="397" spans="1:15" ht="25.15" customHeight="1" thickTop="1" thickBot="1">
      <c r="E397" s="840" t="str">
        <f>'Obrazac kalkulacije'!$E$20</f>
        <v>Sveukupno (kn):</v>
      </c>
      <c r="F397" s="840"/>
      <c r="G397" s="29">
        <f>ROUND(SUM(G395:G396),2)</f>
        <v>261.81</v>
      </c>
      <c r="H397" s="271" t="e">
        <f>G389+H396</f>
        <v>#REF!</v>
      </c>
      <c r="M397" s="840" t="str">
        <f>'Obrazac kalkulacije'!$E$20</f>
        <v>Sveukupno (kn):</v>
      </c>
      <c r="N397" s="840"/>
      <c r="O397" s="29">
        <f>ROUND(SUM(O395:O396),2)</f>
        <v>270.18</v>
      </c>
    </row>
    <row r="398" spans="1:15" ht="15" customHeight="1" thickTop="1"/>
    <row r="399" spans="1:15" ht="15" customHeight="1"/>
    <row r="400" spans="1:15" ht="15" customHeight="1"/>
    <row r="401" spans="1:15" ht="15" customHeight="1">
      <c r="C401" s="3" t="str">
        <f>'Obrazac kalkulacije'!$C$24</f>
        <v>IZVODITELJ:</v>
      </c>
      <c r="F401" s="841" t="str">
        <f>'Obrazac kalkulacije'!$F$24</f>
        <v>NARUČITELJ:</v>
      </c>
      <c r="G401" s="841"/>
      <c r="K401" s="3" t="str">
        <f>'Obrazac kalkulacije'!$C$24</f>
        <v>IZVODITELJ:</v>
      </c>
      <c r="N401" s="841" t="str">
        <f>'Obrazac kalkulacije'!$F$24</f>
        <v>NARUČITELJ:</v>
      </c>
      <c r="O401" s="841"/>
    </row>
    <row r="402" spans="1:15" ht="25.15" customHeight="1">
      <c r="C402" s="3" t="str">
        <f>'Obrazac kalkulacije'!$C$25</f>
        <v>__________________</v>
      </c>
      <c r="F402" s="841" t="str">
        <f>'Obrazac kalkulacije'!$F$25</f>
        <v>___________________</v>
      </c>
      <c r="G402" s="841"/>
      <c r="K402" s="3" t="str">
        <f>'Obrazac kalkulacije'!$C$25</f>
        <v>__________________</v>
      </c>
      <c r="N402" s="841" t="str">
        <f>'Obrazac kalkulacije'!$F$25</f>
        <v>___________________</v>
      </c>
      <c r="O402" s="841"/>
    </row>
    <row r="403" spans="1:15" ht="15" customHeight="1">
      <c r="F403" s="841"/>
      <c r="G403" s="841"/>
      <c r="N403" s="841"/>
      <c r="O403" s="841"/>
    </row>
    <row r="404" spans="1:15" ht="15" customHeight="1"/>
    <row r="405" spans="1:15" ht="15" customHeight="1">
      <c r="A405" s="144"/>
      <c r="B405" s="145" t="s">
        <v>31</v>
      </c>
      <c r="C405" s="836" t="s">
        <v>261</v>
      </c>
      <c r="D405" s="836"/>
      <c r="E405" s="836"/>
      <c r="F405" s="836"/>
      <c r="G405" s="836"/>
      <c r="I405" s="144"/>
      <c r="J405" s="145" t="s">
        <v>31</v>
      </c>
      <c r="K405" s="836" t="s">
        <v>261</v>
      </c>
      <c r="L405" s="836"/>
      <c r="M405" s="836"/>
      <c r="N405" s="836"/>
      <c r="O405" s="836"/>
    </row>
    <row r="406" spans="1:15" ht="15" customHeight="1">
      <c r="A406" s="38"/>
      <c r="B406" s="39" t="s">
        <v>283</v>
      </c>
      <c r="C406" s="860" t="s">
        <v>284</v>
      </c>
      <c r="D406" s="860"/>
      <c r="E406" s="860"/>
      <c r="F406" s="860"/>
      <c r="G406" s="860"/>
      <c r="I406" s="38"/>
      <c r="J406" s="39" t="s">
        <v>283</v>
      </c>
      <c r="K406" s="860" t="s">
        <v>284</v>
      </c>
      <c r="L406" s="860"/>
      <c r="M406" s="860"/>
      <c r="N406" s="860"/>
      <c r="O406" s="860"/>
    </row>
    <row r="407" spans="1:15" ht="150" customHeight="1">
      <c r="A407" s="40"/>
      <c r="B407" s="556" t="s">
        <v>310</v>
      </c>
      <c r="C407" s="852" t="s">
        <v>311</v>
      </c>
      <c r="D407" s="852"/>
      <c r="E407" s="852"/>
      <c r="F407" s="852"/>
      <c r="G407" s="852"/>
      <c r="I407" s="40"/>
      <c r="J407" s="41" t="s">
        <v>310</v>
      </c>
      <c r="K407" s="869" t="s">
        <v>312</v>
      </c>
      <c r="L407" s="869"/>
      <c r="M407" s="869"/>
      <c r="N407" s="869"/>
      <c r="O407" s="869"/>
    </row>
    <row r="408" spans="1:15" ht="15" customHeight="1" thickBot="1"/>
    <row r="409" spans="1:15" ht="30" customHeight="1" thickTop="1" thickBot="1">
      <c r="A409" s="10"/>
      <c r="B409" s="835" t="str">
        <f>'Obrazac kalkulacije'!$B$6:$C$6</f>
        <v>Opis</v>
      </c>
      <c r="C409" s="835"/>
      <c r="D409" s="10" t="str">
        <f>'Obrazac kalkulacije'!$D$6</f>
        <v>Jed.
mjere</v>
      </c>
      <c r="E409" s="10" t="str">
        <f>'Obrazac kalkulacije'!$E$6</f>
        <v>Normativ</v>
      </c>
      <c r="F409" s="10" t="str">
        <f>'Obrazac kalkulacije'!$F$6</f>
        <v>Jed.
cijena</v>
      </c>
      <c r="G409" s="10" t="str">
        <f>'Obrazac kalkulacije'!$G$6</f>
        <v>Iznos</v>
      </c>
      <c r="I409" s="10"/>
      <c r="J409" s="835" t="e">
        <f>'Obrazac kalkulacije'!$B$6:$C$6</f>
        <v>#VALUE!</v>
      </c>
      <c r="K409" s="835"/>
      <c r="L409" s="10" t="str">
        <f>'Obrazac kalkulacije'!$D$6</f>
        <v>Jed.
mjere</v>
      </c>
      <c r="M409" s="10" t="str">
        <f>'Obrazac kalkulacije'!$E$6</f>
        <v>Normativ</v>
      </c>
      <c r="N409" s="10" t="str">
        <f>'Obrazac kalkulacije'!$F$6</f>
        <v>Jed.
cijena</v>
      </c>
      <c r="O409" s="10" t="str">
        <f>'Obrazac kalkulacije'!$G$6</f>
        <v>Iznos</v>
      </c>
    </row>
    <row r="410" spans="1:15" ht="4.5" customHeight="1" thickTop="1">
      <c r="B410" s="42"/>
      <c r="C410" s="1"/>
      <c r="D410" s="11"/>
      <c r="E410" s="13"/>
      <c r="F410" s="258"/>
      <c r="G410" s="15"/>
      <c r="J410" s="42"/>
      <c r="K410" s="1"/>
      <c r="L410" s="11"/>
      <c r="M410" s="13"/>
      <c r="N410" s="258"/>
      <c r="O410" s="15"/>
    </row>
    <row r="411" spans="1:15" ht="25.15" customHeight="1">
      <c r="A411" s="16"/>
      <c r="B411" s="837" t="str">
        <f>'Obrazac kalkulacije'!$B$8</f>
        <v>Radna snaga:</v>
      </c>
      <c r="C411" s="837"/>
      <c r="D411" s="16"/>
      <c r="E411" s="16"/>
      <c r="F411" s="44"/>
      <c r="G411" s="18">
        <f>SUM(G412:G412)</f>
        <v>139.28248863000002</v>
      </c>
      <c r="I411" s="16"/>
      <c r="J411" s="837" t="str">
        <f>'Obrazac kalkulacije'!$B$8</f>
        <v>Radna snaga:</v>
      </c>
      <c r="K411" s="837"/>
      <c r="L411" s="16"/>
      <c r="M411" s="16"/>
      <c r="N411" s="44"/>
      <c r="O411" s="18">
        <f>SUM(O412:O412)</f>
        <v>139.28248863000002</v>
      </c>
    </row>
    <row r="412" spans="1:15" ht="25.15" customHeight="1">
      <c r="A412" s="32"/>
      <c r="B412" s="854" t="s">
        <v>57</v>
      </c>
      <c r="C412" s="854"/>
      <c r="D412" s="33" t="s">
        <v>51</v>
      </c>
      <c r="E412" s="34">
        <v>1.3261210000000001</v>
      </c>
      <c r="F412" s="238">
        <f>SUMIF('Cjenik RS'!$C$11:$C$26,$B412,'Cjenik RS'!$D$11:$D$90)</f>
        <v>105.03</v>
      </c>
      <c r="G412" s="35">
        <f>+F412*E412</f>
        <v>139.28248863000002</v>
      </c>
      <c r="I412" s="32"/>
      <c r="J412" s="854" t="s">
        <v>57</v>
      </c>
      <c r="K412" s="854"/>
      <c r="L412" s="33" t="s">
        <v>51</v>
      </c>
      <c r="M412" s="34">
        <v>1.3261210000000001</v>
      </c>
      <c r="N412" s="238">
        <f>SUMIF('Cjenik RS'!$C$11:$C$26,$J412,'Cjenik RS'!$D$11:$D$90)</f>
        <v>105.03</v>
      </c>
      <c r="O412" s="35">
        <f>+N412*M412</f>
        <v>139.28248863000002</v>
      </c>
    </row>
    <row r="413" spans="1:15" ht="25.15" customHeight="1">
      <c r="A413" s="16"/>
      <c r="B413" s="837" t="str">
        <f>'Obrazac kalkulacije'!$B$11</f>
        <v>Vozila, strojevi i oprema:</v>
      </c>
      <c r="C413" s="837"/>
      <c r="D413" s="16"/>
      <c r="E413" s="16"/>
      <c r="F413" s="238"/>
      <c r="G413" s="18">
        <f>SUM(G414:G417)</f>
        <v>36.671432944217067</v>
      </c>
      <c r="I413" s="16"/>
      <c r="J413" s="837" t="str">
        <f>'Obrazac kalkulacije'!$B$11</f>
        <v>Vozila, strojevi i oprema:</v>
      </c>
      <c r="K413" s="837"/>
      <c r="L413" s="16"/>
      <c r="M413" s="16"/>
      <c r="N413" s="238"/>
      <c r="O413" s="18">
        <f>SUM(O414:O417)</f>
        <v>42.041695390000001</v>
      </c>
    </row>
    <row r="414" spans="1:15" ht="25.15" customHeight="1">
      <c r="A414" s="51"/>
      <c r="B414" s="849" t="s">
        <v>73</v>
      </c>
      <c r="C414" s="849"/>
      <c r="D414" s="52" t="s">
        <v>51</v>
      </c>
      <c r="E414" s="135">
        <v>5.348E-2</v>
      </c>
      <c r="F414" s="260">
        <f>SUMIF('Cjenik VSO'!$B$9:$B$85,$B414,'Cjenik VSO'!$C$9:$C$85)</f>
        <v>291.72000000000003</v>
      </c>
      <c r="G414" s="54">
        <f>E414*F414</f>
        <v>15.601185600000001</v>
      </c>
      <c r="I414" s="51"/>
      <c r="J414" s="849" t="s">
        <v>73</v>
      </c>
      <c r="K414" s="849"/>
      <c r="L414" s="52" t="s">
        <v>51</v>
      </c>
      <c r="M414" s="135">
        <v>5.348E-2</v>
      </c>
      <c r="N414" s="260">
        <f>SUMIF('Cjenik VSO'!$B$9:$B$85,$B414,'Cjenik VSO'!$C$9:$C$85)</f>
        <v>291.72000000000003</v>
      </c>
      <c r="O414" s="54">
        <f>M414*N414</f>
        <v>15.601185600000001</v>
      </c>
    </row>
    <row r="415" spans="1:15" ht="25.15" customHeight="1">
      <c r="A415" s="56"/>
      <c r="B415" s="839" t="s">
        <v>97</v>
      </c>
      <c r="C415" s="839"/>
      <c r="D415" s="57" t="s">
        <v>51</v>
      </c>
      <c r="E415" s="136">
        <v>5.2444240055185103E-2</v>
      </c>
      <c r="F415" s="263">
        <f>SUMIF('Cjenik VSO'!$B$9:$B$85,$B415,'Cjenik VSO'!$C$9:$C$85)</f>
        <v>279.37</v>
      </c>
      <c r="G415" s="59">
        <f>E415*F415</f>
        <v>14.651347344217063</v>
      </c>
      <c r="I415" s="56"/>
      <c r="J415" s="839" t="s">
        <v>97</v>
      </c>
      <c r="K415" s="839"/>
      <c r="L415" s="57" t="s">
        <v>51</v>
      </c>
      <c r="M415" s="136">
        <v>7.1666999999999995E-2</v>
      </c>
      <c r="N415" s="263">
        <f>SUMIF('Cjenik VSO'!$B$9:$B$85,$B415,'Cjenik VSO'!$C$9:$C$85)</f>
        <v>279.37</v>
      </c>
      <c r="O415" s="59">
        <f>M415*N415</f>
        <v>20.021609789999999</v>
      </c>
    </row>
    <row r="416" spans="1:15" ht="25.15" customHeight="1">
      <c r="A416" s="77"/>
      <c r="B416" s="877" t="s">
        <v>71</v>
      </c>
      <c r="C416" s="877"/>
      <c r="D416" s="78" t="s">
        <v>51</v>
      </c>
      <c r="E416" s="79">
        <v>0.05</v>
      </c>
      <c r="F416" s="265">
        <f>SUMIF('Cjenik VSO'!$B$9:$B$85,$B416,'Cjenik VSO'!$C$9:$C$85)</f>
        <v>102.17</v>
      </c>
      <c r="G416" s="80">
        <f>E416*F416</f>
        <v>5.1085000000000003</v>
      </c>
      <c r="I416" s="77"/>
      <c r="J416" s="877" t="s">
        <v>71</v>
      </c>
      <c r="K416" s="877"/>
      <c r="L416" s="78" t="s">
        <v>51</v>
      </c>
      <c r="M416" s="79">
        <v>0.05</v>
      </c>
      <c r="N416" s="265">
        <f>SUMIF('Cjenik VSO'!$B$9:$B$85,$B416,'Cjenik VSO'!$C$9:$C$85)</f>
        <v>102.17</v>
      </c>
      <c r="O416" s="80">
        <f>M416*N416</f>
        <v>5.1085000000000003</v>
      </c>
    </row>
    <row r="417" spans="1:15" ht="25.15" customHeight="1">
      <c r="A417" s="61"/>
      <c r="B417" s="855" t="s">
        <v>200</v>
      </c>
      <c r="C417" s="855"/>
      <c r="D417" s="62" t="s">
        <v>51</v>
      </c>
      <c r="E417" s="63">
        <v>0.06</v>
      </c>
      <c r="F417" s="261">
        <f>SUMIF('Cjenik VSO'!$B$9:$B$85,$B417,'Cjenik VSO'!$C$9:$C$85)</f>
        <v>21.84</v>
      </c>
      <c r="G417" s="64">
        <f>E417*F417</f>
        <v>1.3104</v>
      </c>
      <c r="I417" s="61"/>
      <c r="J417" s="855" t="s">
        <v>200</v>
      </c>
      <c r="K417" s="855"/>
      <c r="L417" s="62" t="s">
        <v>51</v>
      </c>
      <c r="M417" s="63">
        <v>0.06</v>
      </c>
      <c r="N417" s="261">
        <f>SUMIF('Cjenik VSO'!$B$9:$B$85,$B417,'Cjenik VSO'!$C$9:$C$85)</f>
        <v>21.84</v>
      </c>
      <c r="O417" s="64">
        <f>M417*N417</f>
        <v>1.3104</v>
      </c>
    </row>
    <row r="418" spans="1:15" ht="25.15" customHeight="1">
      <c r="A418" s="16"/>
      <c r="B418" s="837" t="str">
        <f>'Obrazac kalkulacije'!$B$15</f>
        <v>Materijali:</v>
      </c>
      <c r="C418" s="837"/>
      <c r="D418" s="16"/>
      <c r="E418" s="16"/>
      <c r="F418" s="238"/>
      <c r="G418" s="18">
        <f>SUM(G419:G420)</f>
        <v>0</v>
      </c>
      <c r="I418" s="16"/>
      <c r="J418" s="837" t="str">
        <f>'Obrazac kalkulacije'!$B$15</f>
        <v>Materijali:</v>
      </c>
      <c r="K418" s="837"/>
      <c r="L418" s="16"/>
      <c r="M418" s="16"/>
      <c r="N418" s="238"/>
      <c r="O418" s="18">
        <f>SUM(O419:O420)</f>
        <v>0</v>
      </c>
    </row>
    <row r="419" spans="1:15" ht="25.15" customHeight="1">
      <c r="A419" s="51"/>
      <c r="B419" s="863">
        <f>'Cjenik M'!$B$31</f>
        <v>0</v>
      </c>
      <c r="C419" s="863"/>
      <c r="D419" s="52">
        <f>'Cjenik M'!$C$31</f>
        <v>0</v>
      </c>
      <c r="E419" s="53">
        <v>1.0151E-2</v>
      </c>
      <c r="F419" s="260">
        <f>'Cjenik M'!$D$31</f>
        <v>0</v>
      </c>
      <c r="G419" s="55">
        <f>E419*F419</f>
        <v>0</v>
      </c>
      <c r="I419" s="51"/>
      <c r="J419" s="863">
        <f>'Cjenik M'!$B$31</f>
        <v>0</v>
      </c>
      <c r="K419" s="863"/>
      <c r="L419" s="52">
        <f>'Cjenik M'!$C$31</f>
        <v>0</v>
      </c>
      <c r="M419" s="53">
        <v>1.0151E-2</v>
      </c>
      <c r="N419" s="260">
        <f>'Cjenik M'!$D$31</f>
        <v>0</v>
      </c>
      <c r="O419" s="55">
        <f>M419*N419</f>
        <v>0</v>
      </c>
    </row>
    <row r="420" spans="1:15" ht="25.15" customHeight="1" thickBot="1">
      <c r="A420" s="66"/>
      <c r="B420" s="859">
        <f>'Cjenik M'!$B$35</f>
        <v>0</v>
      </c>
      <c r="C420" s="859"/>
      <c r="D420" s="67">
        <f>'Cjenik M'!$C$35</f>
        <v>0</v>
      </c>
      <c r="E420" s="68">
        <v>0.12</v>
      </c>
      <c r="F420" s="262">
        <f>'Cjenik M'!$D$35</f>
        <v>0</v>
      </c>
      <c r="G420" s="70">
        <f>E420*F420</f>
        <v>0</v>
      </c>
      <c r="I420" s="66"/>
      <c r="J420" s="859">
        <f>'Cjenik M'!$B$35</f>
        <v>0</v>
      </c>
      <c r="K420" s="859"/>
      <c r="L420" s="67">
        <f>'Cjenik M'!$C$35</f>
        <v>0</v>
      </c>
      <c r="M420" s="68">
        <v>0.12</v>
      </c>
      <c r="N420" s="262">
        <f>'Cjenik M'!$D$35</f>
        <v>0</v>
      </c>
      <c r="O420" s="70">
        <f>M420*N420</f>
        <v>0</v>
      </c>
    </row>
    <row r="421" spans="1:15" ht="25.15" customHeight="1" thickTop="1" thickBot="1">
      <c r="B421" s="47"/>
      <c r="C421" s="24"/>
      <c r="D421" s="25"/>
      <c r="E421" s="850" t="str">
        <f>'Obrazac kalkulacije'!$E$18</f>
        <v>Ukupno (kn):</v>
      </c>
      <c r="F421" s="850"/>
      <c r="G421" s="26">
        <f>ROUND(SUM(G411+G413+G418),2)</f>
        <v>175.95</v>
      </c>
      <c r="H421" s="269" t="e">
        <f>SUMIF(#REF!,$B407,#REF!)</f>
        <v>#REF!</v>
      </c>
      <c r="J421" s="47"/>
      <c r="K421" s="24"/>
      <c r="L421" s="25"/>
      <c r="M421" s="850" t="str">
        <f>'Obrazac kalkulacije'!$E$18</f>
        <v>Ukupno (kn):</v>
      </c>
      <c r="N421" s="850"/>
      <c r="O421" s="26">
        <f>ROUND(SUM(O411+O413+O418),2)</f>
        <v>181.32</v>
      </c>
    </row>
    <row r="422" spans="1:15" ht="25.15" customHeight="1" thickTop="1" thickBot="1">
      <c r="E422" s="27" t="str">
        <f>'Obrazac kalkulacije'!$E$19</f>
        <v>PDV:</v>
      </c>
      <c r="F422" s="259">
        <f>'Obrazac kalkulacije'!$F$19</f>
        <v>0.25</v>
      </c>
      <c r="G422" s="29">
        <f>G421*F422</f>
        <v>43.987499999999997</v>
      </c>
      <c r="H422" s="270" t="e">
        <f>H421-G421</f>
        <v>#REF!</v>
      </c>
      <c r="M422" s="27" t="str">
        <f>'Obrazac kalkulacije'!$E$19</f>
        <v>PDV:</v>
      </c>
      <c r="N422" s="259">
        <f>'Obrazac kalkulacije'!$F$19</f>
        <v>0.25</v>
      </c>
      <c r="O422" s="29">
        <f>O421*N422</f>
        <v>45.33</v>
      </c>
    </row>
    <row r="423" spans="1:15" ht="25.15" customHeight="1" thickTop="1" thickBot="1">
      <c r="E423" s="840" t="str">
        <f>'Obrazac kalkulacije'!$E$20</f>
        <v>Sveukupno (kn):</v>
      </c>
      <c r="F423" s="840"/>
      <c r="G423" s="29">
        <f>ROUND(SUM(G421:G422),2)</f>
        <v>219.94</v>
      </c>
      <c r="H423" s="271" t="e">
        <f>G415+H422</f>
        <v>#REF!</v>
      </c>
      <c r="M423" s="840" t="str">
        <f>'Obrazac kalkulacije'!$E$20</f>
        <v>Sveukupno (kn):</v>
      </c>
      <c r="N423" s="840"/>
      <c r="O423" s="29">
        <f>ROUND(SUM(O421:O422),2)</f>
        <v>226.65</v>
      </c>
    </row>
    <row r="424" spans="1:15" ht="15" customHeight="1" thickTop="1"/>
    <row r="425" spans="1:15" ht="15" customHeight="1"/>
    <row r="426" spans="1:15" ht="15" customHeight="1"/>
    <row r="427" spans="1:15" ht="15" customHeight="1">
      <c r="C427" s="3" t="str">
        <f>'Obrazac kalkulacije'!$C$24</f>
        <v>IZVODITELJ:</v>
      </c>
      <c r="F427" s="841" t="str">
        <f>'Obrazac kalkulacije'!$F$24</f>
        <v>NARUČITELJ:</v>
      </c>
      <c r="G427" s="841"/>
      <c r="K427" s="3" t="str">
        <f>'Obrazac kalkulacije'!$C$24</f>
        <v>IZVODITELJ:</v>
      </c>
      <c r="N427" s="841" t="str">
        <f>'Obrazac kalkulacije'!$F$24</f>
        <v>NARUČITELJ:</v>
      </c>
      <c r="O427" s="841"/>
    </row>
    <row r="428" spans="1:15" ht="25.15" customHeight="1">
      <c r="C428" s="3" t="str">
        <f>'Obrazac kalkulacije'!$C$25</f>
        <v>__________________</v>
      </c>
      <c r="F428" s="841" t="str">
        <f>'Obrazac kalkulacije'!$F$25</f>
        <v>___________________</v>
      </c>
      <c r="G428" s="841"/>
      <c r="K428" s="3" t="str">
        <f>'Obrazac kalkulacije'!$C$25</f>
        <v>__________________</v>
      </c>
      <c r="N428" s="841" t="str">
        <f>'Obrazac kalkulacije'!$F$25</f>
        <v>___________________</v>
      </c>
      <c r="O428" s="841"/>
    </row>
    <row r="429" spans="1:15" ht="15" customHeight="1">
      <c r="F429" s="841"/>
      <c r="G429" s="841"/>
      <c r="N429" s="841"/>
      <c r="O429" s="841"/>
    </row>
    <row r="430" spans="1:15" ht="15" customHeight="1"/>
    <row r="431" spans="1:15" ht="15" customHeight="1">
      <c r="A431" s="144"/>
      <c r="B431" s="145" t="s">
        <v>31</v>
      </c>
      <c r="C431" s="836" t="s">
        <v>261</v>
      </c>
      <c r="D431" s="836"/>
      <c r="E431" s="836"/>
      <c r="F431" s="836"/>
      <c r="G431" s="836"/>
      <c r="I431" s="144"/>
      <c r="J431" s="145" t="s">
        <v>31</v>
      </c>
      <c r="K431" s="836" t="s">
        <v>261</v>
      </c>
      <c r="L431" s="836"/>
      <c r="M431" s="836"/>
      <c r="N431" s="836"/>
      <c r="O431" s="836"/>
    </row>
    <row r="432" spans="1:15" ht="15" customHeight="1">
      <c r="A432" s="38"/>
      <c r="B432" s="39" t="s">
        <v>283</v>
      </c>
      <c r="C432" s="860" t="s">
        <v>284</v>
      </c>
      <c r="D432" s="860"/>
      <c r="E432" s="860"/>
      <c r="F432" s="860"/>
      <c r="G432" s="860"/>
      <c r="I432" s="38"/>
      <c r="J432" s="39" t="s">
        <v>283</v>
      </c>
      <c r="K432" s="860" t="s">
        <v>284</v>
      </c>
      <c r="L432" s="860"/>
      <c r="M432" s="860"/>
      <c r="N432" s="860"/>
      <c r="O432" s="860"/>
    </row>
    <row r="433" spans="1:15" ht="150" customHeight="1">
      <c r="A433" s="40"/>
      <c r="B433" s="556" t="s">
        <v>313</v>
      </c>
      <c r="C433" s="852" t="s">
        <v>314</v>
      </c>
      <c r="D433" s="852"/>
      <c r="E433" s="852"/>
      <c r="F433" s="852"/>
      <c r="G433" s="852"/>
      <c r="I433" s="40"/>
      <c r="J433" s="41" t="s">
        <v>313</v>
      </c>
      <c r="K433" s="869" t="s">
        <v>315</v>
      </c>
      <c r="L433" s="869"/>
      <c r="M433" s="869"/>
      <c r="N433" s="869"/>
      <c r="O433" s="869"/>
    </row>
    <row r="434" spans="1:15" ht="15" customHeight="1" thickBot="1"/>
    <row r="435" spans="1:15" ht="30" customHeight="1" thickTop="1" thickBot="1">
      <c r="A435" s="10"/>
      <c r="B435" s="835" t="str">
        <f>'Obrazac kalkulacije'!$B$6:$C$6</f>
        <v>Opis</v>
      </c>
      <c r="C435" s="835"/>
      <c r="D435" s="10" t="str">
        <f>'Obrazac kalkulacije'!$D$6</f>
        <v>Jed.
mjere</v>
      </c>
      <c r="E435" s="10" t="str">
        <f>'Obrazac kalkulacije'!$E$6</f>
        <v>Normativ</v>
      </c>
      <c r="F435" s="10" t="str">
        <f>'Obrazac kalkulacije'!$F$6</f>
        <v>Jed.
cijena</v>
      </c>
      <c r="G435" s="10" t="str">
        <f>'Obrazac kalkulacije'!$G$6</f>
        <v>Iznos</v>
      </c>
      <c r="I435" s="10"/>
      <c r="J435" s="835" t="e">
        <f>'Obrazac kalkulacije'!$B$6:$C$6</f>
        <v>#VALUE!</v>
      </c>
      <c r="K435" s="835"/>
      <c r="L435" s="10" t="str">
        <f>'Obrazac kalkulacije'!$D$6</f>
        <v>Jed.
mjere</v>
      </c>
      <c r="M435" s="10" t="str">
        <f>'Obrazac kalkulacije'!$E$6</f>
        <v>Normativ</v>
      </c>
      <c r="N435" s="10" t="str">
        <f>'Obrazac kalkulacije'!$F$6</f>
        <v>Jed.
cijena</v>
      </c>
      <c r="O435" s="10" t="str">
        <f>'Obrazac kalkulacije'!$G$6</f>
        <v>Iznos</v>
      </c>
    </row>
    <row r="436" spans="1:15" ht="4.5" customHeight="1" thickTop="1">
      <c r="B436" s="42"/>
      <c r="C436" s="1"/>
      <c r="D436" s="11"/>
      <c r="E436" s="13"/>
      <c r="F436" s="258"/>
      <c r="G436" s="15"/>
      <c r="J436" s="42"/>
      <c r="K436" s="1"/>
      <c r="L436" s="11"/>
      <c r="M436" s="13"/>
      <c r="N436" s="258"/>
      <c r="O436" s="15"/>
    </row>
    <row r="437" spans="1:15" ht="25.15" customHeight="1">
      <c r="A437" s="16"/>
      <c r="B437" s="837" t="str">
        <f>'Obrazac kalkulacije'!$B$8</f>
        <v>Radna snaga:</v>
      </c>
      <c r="C437" s="837"/>
      <c r="D437" s="16"/>
      <c r="E437" s="16"/>
      <c r="F437" s="44"/>
      <c r="G437" s="18">
        <f>SUM(G438:G438)</f>
        <v>104.85365463000001</v>
      </c>
      <c r="I437" s="16"/>
      <c r="J437" s="837" t="str">
        <f>'Obrazac kalkulacije'!$B$8</f>
        <v>Radna snaga:</v>
      </c>
      <c r="K437" s="837"/>
      <c r="L437" s="16"/>
      <c r="M437" s="16"/>
      <c r="N437" s="44"/>
      <c r="O437" s="18">
        <f>SUM(O438:O438)</f>
        <v>104.85365463000001</v>
      </c>
    </row>
    <row r="438" spans="1:15" ht="25.15" customHeight="1">
      <c r="A438" s="32"/>
      <c r="B438" s="854" t="s">
        <v>57</v>
      </c>
      <c r="C438" s="854"/>
      <c r="D438" s="33" t="s">
        <v>51</v>
      </c>
      <c r="E438" s="34">
        <v>0.99832100000000001</v>
      </c>
      <c r="F438" s="238">
        <f>SUMIF('Cjenik RS'!$C$11:$C$26,$B438,'Cjenik RS'!$D$11:$D$90)</f>
        <v>105.03</v>
      </c>
      <c r="G438" s="35">
        <f>+F438*E438</f>
        <v>104.85365463000001</v>
      </c>
      <c r="I438" s="32"/>
      <c r="J438" s="854" t="s">
        <v>57</v>
      </c>
      <c r="K438" s="854"/>
      <c r="L438" s="33" t="s">
        <v>51</v>
      </c>
      <c r="M438" s="34">
        <v>0.99832100000000001</v>
      </c>
      <c r="N438" s="238">
        <f>SUMIF('Cjenik RS'!$C$11:$C$26,$J438,'Cjenik RS'!$D$11:$D$90)</f>
        <v>105.03</v>
      </c>
      <c r="O438" s="35">
        <f>+N438*M438</f>
        <v>104.85365463000001</v>
      </c>
    </row>
    <row r="439" spans="1:15" ht="25.15" customHeight="1">
      <c r="A439" s="16"/>
      <c r="B439" s="837" t="str">
        <f>'Obrazac kalkulacije'!$B$11</f>
        <v>Vozila, strojevi i oprema:</v>
      </c>
      <c r="C439" s="837"/>
      <c r="D439" s="16"/>
      <c r="E439" s="16"/>
      <c r="F439" s="238"/>
      <c r="G439" s="18">
        <f>SUM(G440:G442)</f>
        <v>42.963807160836978</v>
      </c>
      <c r="I439" s="16"/>
      <c r="J439" s="837" t="str">
        <f>'Obrazac kalkulacije'!$B$11</f>
        <v>Vozila, strojevi i oprema:</v>
      </c>
      <c r="K439" s="837"/>
      <c r="L439" s="16"/>
      <c r="M439" s="16"/>
      <c r="N439" s="238"/>
      <c r="O439" s="18">
        <f>SUM(O440:O442)</f>
        <v>46.407579310000003</v>
      </c>
    </row>
    <row r="440" spans="1:15" ht="25.15" customHeight="1">
      <c r="A440" s="51"/>
      <c r="B440" s="849" t="s">
        <v>73</v>
      </c>
      <c r="C440" s="849"/>
      <c r="D440" s="52" t="s">
        <v>51</v>
      </c>
      <c r="E440" s="135">
        <v>7.0365999999999998E-2</v>
      </c>
      <c r="F440" s="260">
        <f>SUMIF('Cjenik VSO'!$B$9:$B$85,$B440,'Cjenik VSO'!$C$9:$C$85)</f>
        <v>291.72000000000003</v>
      </c>
      <c r="G440" s="54">
        <f>E440*F440</f>
        <v>20.527169520000001</v>
      </c>
      <c r="I440" s="51"/>
      <c r="J440" s="849" t="s">
        <v>73</v>
      </c>
      <c r="K440" s="849"/>
      <c r="L440" s="52" t="s">
        <v>51</v>
      </c>
      <c r="M440" s="135">
        <v>7.0365999999999998E-2</v>
      </c>
      <c r="N440" s="260">
        <f>SUMIF('Cjenik VSO'!$B$9:$B$85,$B440,'Cjenik VSO'!$C$9:$C$85)</f>
        <v>291.72000000000003</v>
      </c>
      <c r="O440" s="54">
        <f>M440*N440</f>
        <v>20.527169520000001</v>
      </c>
    </row>
    <row r="441" spans="1:15" ht="25.15" customHeight="1">
      <c r="A441" s="56"/>
      <c r="B441" s="839" t="s">
        <v>97</v>
      </c>
      <c r="C441" s="839"/>
      <c r="D441" s="57" t="s">
        <v>51</v>
      </c>
      <c r="E441" s="136">
        <v>6.9340078178891693E-2</v>
      </c>
      <c r="F441" s="263">
        <f>SUMIF('Cjenik VSO'!$B$9:$B$85,$B441,'Cjenik VSO'!$C$9:$C$85)</f>
        <v>279.37</v>
      </c>
      <c r="G441" s="59">
        <f>E441*F441</f>
        <v>19.371537640836973</v>
      </c>
      <c r="I441" s="56"/>
      <c r="J441" s="839" t="s">
        <v>97</v>
      </c>
      <c r="K441" s="839"/>
      <c r="L441" s="57" t="s">
        <v>51</v>
      </c>
      <c r="M441" s="136">
        <v>8.1667000000000003E-2</v>
      </c>
      <c r="N441" s="263">
        <f>SUMIF('Cjenik VSO'!$B$9:$B$85,$B441,'Cjenik VSO'!$C$9:$C$85)</f>
        <v>279.37</v>
      </c>
      <c r="O441" s="59">
        <f>M441*N441</f>
        <v>22.815309790000001</v>
      </c>
    </row>
    <row r="442" spans="1:15" ht="25.15" customHeight="1">
      <c r="A442" s="98"/>
      <c r="B442" s="875" t="s">
        <v>71</v>
      </c>
      <c r="C442" s="875"/>
      <c r="D442" s="57" t="s">
        <v>51</v>
      </c>
      <c r="E442" s="75">
        <v>0.03</v>
      </c>
      <c r="F442" s="263">
        <f>SUMIF('Cjenik VSO'!$B$9:$B$85,$B442,'Cjenik VSO'!$C$9:$C$85)</f>
        <v>102.17</v>
      </c>
      <c r="G442" s="60">
        <f>E442*F442</f>
        <v>3.0651000000000002</v>
      </c>
      <c r="I442" s="98"/>
      <c r="J442" s="875" t="s">
        <v>71</v>
      </c>
      <c r="K442" s="875"/>
      <c r="L442" s="57" t="s">
        <v>51</v>
      </c>
      <c r="M442" s="75">
        <v>0.03</v>
      </c>
      <c r="N442" s="263">
        <f>SUMIF('Cjenik VSO'!$B$9:$B$85,$B442,'Cjenik VSO'!$C$9:$C$85)</f>
        <v>102.17</v>
      </c>
      <c r="O442" s="60">
        <f>M442*N442</f>
        <v>3.0651000000000002</v>
      </c>
    </row>
    <row r="443" spans="1:15" ht="25.15" customHeight="1">
      <c r="A443" s="16"/>
      <c r="B443" s="837" t="str">
        <f>'Obrazac kalkulacije'!$B$15</f>
        <v>Materijali:</v>
      </c>
      <c r="C443" s="837"/>
      <c r="D443" s="16"/>
      <c r="E443" s="16"/>
      <c r="F443" s="238"/>
      <c r="G443" s="18">
        <f>SUM(G444:G446)</f>
        <v>0</v>
      </c>
      <c r="I443" s="16"/>
      <c r="J443" s="837" t="str">
        <f>'Obrazac kalkulacije'!$B$15</f>
        <v>Materijali:</v>
      </c>
      <c r="K443" s="837"/>
      <c r="L443" s="16"/>
      <c r="M443" s="16"/>
      <c r="N443" s="238"/>
      <c r="O443" s="18">
        <f>SUM(O444:O446)</f>
        <v>0</v>
      </c>
    </row>
    <row r="444" spans="1:15" ht="25.15" customHeight="1">
      <c r="A444" s="51"/>
      <c r="B444" s="863">
        <f>'Cjenik M'!$B$33</f>
        <v>0</v>
      </c>
      <c r="C444" s="863"/>
      <c r="D444" s="52">
        <f>'Cjenik M'!$C$33</f>
        <v>0</v>
      </c>
      <c r="E444" s="53">
        <v>7.0000000000000007E-2</v>
      </c>
      <c r="F444" s="260">
        <f>'Cjenik M'!$D$33</f>
        <v>0</v>
      </c>
      <c r="G444" s="55">
        <f>E444*F444</f>
        <v>0</v>
      </c>
      <c r="I444" s="51"/>
      <c r="J444" s="863">
        <f>'Cjenik M'!$B$33</f>
        <v>0</v>
      </c>
      <c r="K444" s="863"/>
      <c r="L444" s="52">
        <f>'Cjenik M'!$C$33</f>
        <v>0</v>
      </c>
      <c r="M444" s="53">
        <v>7.0000000000000007E-2</v>
      </c>
      <c r="N444" s="260">
        <f>'Cjenik M'!$D$33</f>
        <v>0</v>
      </c>
      <c r="O444" s="55">
        <f>M444*N444</f>
        <v>0</v>
      </c>
    </row>
    <row r="445" spans="1:15" ht="25.15" customHeight="1">
      <c r="A445" s="137"/>
      <c r="B445" s="876">
        <f>'Cjenik M'!$B$36</f>
        <v>0</v>
      </c>
      <c r="C445" s="876"/>
      <c r="D445" s="138">
        <f>'Cjenik M'!$C$36</f>
        <v>0</v>
      </c>
      <c r="E445" s="139">
        <v>1.05</v>
      </c>
      <c r="F445" s="266">
        <f>'Cjenik M'!$D$36</f>
        <v>0</v>
      </c>
      <c r="G445" s="140">
        <f>E445*F445</f>
        <v>0</v>
      </c>
      <c r="I445" s="137"/>
      <c r="J445" s="876">
        <f>'Cjenik M'!$B$36</f>
        <v>0</v>
      </c>
      <c r="K445" s="876"/>
      <c r="L445" s="138">
        <f>'Cjenik M'!$C$36</f>
        <v>0</v>
      </c>
      <c r="M445" s="139">
        <v>1.05</v>
      </c>
      <c r="N445" s="266">
        <f>'Cjenik M'!$D$36</f>
        <v>0</v>
      </c>
      <c r="O445" s="140">
        <f>M445*N445</f>
        <v>0</v>
      </c>
    </row>
    <row r="446" spans="1:15" ht="25.15" customHeight="1" thickBot="1">
      <c r="A446" s="66"/>
      <c r="B446" s="859">
        <f>'Cjenik M'!$B$82</f>
        <v>0</v>
      </c>
      <c r="C446" s="859"/>
      <c r="D446" s="67">
        <f>'Cjenik M'!$C$82</f>
        <v>0</v>
      </c>
      <c r="E446" s="68">
        <v>2E-3</v>
      </c>
      <c r="F446" s="262">
        <f>'Cjenik M'!$D$82</f>
        <v>0</v>
      </c>
      <c r="G446" s="70">
        <f>E446*F446</f>
        <v>0</v>
      </c>
      <c r="I446" s="66"/>
      <c r="J446" s="859">
        <f>'Cjenik M'!$B$82</f>
        <v>0</v>
      </c>
      <c r="K446" s="859"/>
      <c r="L446" s="67">
        <f>'Cjenik M'!$C$82</f>
        <v>0</v>
      </c>
      <c r="M446" s="68">
        <v>2E-3</v>
      </c>
      <c r="N446" s="262">
        <f>'Cjenik M'!$D$82</f>
        <v>0</v>
      </c>
      <c r="O446" s="70">
        <f>M446*N446</f>
        <v>0</v>
      </c>
    </row>
    <row r="447" spans="1:15" ht="25.15" customHeight="1" thickTop="1" thickBot="1">
      <c r="B447" s="47"/>
      <c r="C447" s="24"/>
      <c r="D447" s="25"/>
      <c r="E447" s="850" t="str">
        <f>'Obrazac kalkulacije'!$E$18</f>
        <v>Ukupno (kn):</v>
      </c>
      <c r="F447" s="850"/>
      <c r="G447" s="26">
        <f>ROUND(SUM(G437+G439+G443),2)</f>
        <v>147.82</v>
      </c>
      <c r="H447" s="269" t="e">
        <f>SUMIF(#REF!,$B433,#REF!)</f>
        <v>#REF!</v>
      </c>
      <c r="J447" s="47"/>
      <c r="K447" s="24"/>
      <c r="L447" s="25"/>
      <c r="M447" s="850" t="str">
        <f>'Obrazac kalkulacije'!$E$18</f>
        <v>Ukupno (kn):</v>
      </c>
      <c r="N447" s="850"/>
      <c r="O447" s="26">
        <f>ROUND(SUM(O437+O439+O443),2)</f>
        <v>151.26</v>
      </c>
    </row>
    <row r="448" spans="1:15" ht="25.15" customHeight="1" thickTop="1" thickBot="1">
      <c r="E448" s="27" t="str">
        <f>'Obrazac kalkulacije'!$E$19</f>
        <v>PDV:</v>
      </c>
      <c r="F448" s="259">
        <f>'Obrazac kalkulacije'!$F$19</f>
        <v>0.25</v>
      </c>
      <c r="G448" s="29">
        <f>G447*F448</f>
        <v>36.954999999999998</v>
      </c>
      <c r="H448" s="270" t="e">
        <f>H447-G447</f>
        <v>#REF!</v>
      </c>
      <c r="M448" s="27" t="str">
        <f>'Obrazac kalkulacije'!$E$19</f>
        <v>PDV:</v>
      </c>
      <c r="N448" s="259">
        <f>'Obrazac kalkulacije'!$F$19</f>
        <v>0.25</v>
      </c>
      <c r="O448" s="29">
        <f>O447*N448</f>
        <v>37.814999999999998</v>
      </c>
    </row>
    <row r="449" spans="1:15" ht="25.15" customHeight="1" thickTop="1" thickBot="1">
      <c r="E449" s="840" t="str">
        <f>'Obrazac kalkulacije'!$E$20</f>
        <v>Sveukupno (kn):</v>
      </c>
      <c r="F449" s="840"/>
      <c r="G449" s="29">
        <f>ROUND(SUM(G447:G448),2)</f>
        <v>184.78</v>
      </c>
      <c r="H449" s="271" t="e">
        <f>G441+H448</f>
        <v>#REF!</v>
      </c>
      <c r="M449" s="840" t="str">
        <f>'Obrazac kalkulacije'!$E$20</f>
        <v>Sveukupno (kn):</v>
      </c>
      <c r="N449" s="840"/>
      <c r="O449" s="29">
        <f>ROUND(SUM(O447:O448),2)</f>
        <v>189.08</v>
      </c>
    </row>
    <row r="450" spans="1:15" ht="15" customHeight="1" thickTop="1"/>
    <row r="451" spans="1:15" ht="15" customHeight="1"/>
    <row r="452" spans="1:15" ht="15" customHeight="1"/>
    <row r="453" spans="1:15" ht="15" customHeight="1">
      <c r="C453" s="3" t="str">
        <f>'Obrazac kalkulacije'!$C$24</f>
        <v>IZVODITELJ:</v>
      </c>
      <c r="F453" s="841" t="str">
        <f>'Obrazac kalkulacije'!$F$24</f>
        <v>NARUČITELJ:</v>
      </c>
      <c r="G453" s="841"/>
      <c r="K453" s="3" t="str">
        <f>'Obrazac kalkulacije'!$C$24</f>
        <v>IZVODITELJ:</v>
      </c>
      <c r="N453" s="841" t="str">
        <f>'Obrazac kalkulacije'!$F$24</f>
        <v>NARUČITELJ:</v>
      </c>
      <c r="O453" s="841"/>
    </row>
    <row r="454" spans="1:15" ht="25.15" customHeight="1">
      <c r="C454" s="3" t="str">
        <f>'Obrazac kalkulacije'!$C$25</f>
        <v>__________________</v>
      </c>
      <c r="F454" s="841" t="str">
        <f>'Obrazac kalkulacije'!$F$25</f>
        <v>___________________</v>
      </c>
      <c r="G454" s="841"/>
      <c r="K454" s="3" t="str">
        <f>'Obrazac kalkulacije'!$C$25</f>
        <v>__________________</v>
      </c>
      <c r="N454" s="841" t="str">
        <f>'Obrazac kalkulacije'!$F$25</f>
        <v>___________________</v>
      </c>
      <c r="O454" s="841"/>
    </row>
    <row r="455" spans="1:15" ht="15" customHeight="1">
      <c r="F455" s="841"/>
      <c r="G455" s="841"/>
      <c r="N455" s="841"/>
      <c r="O455" s="841"/>
    </row>
    <row r="456" spans="1:15" ht="15" customHeight="1"/>
    <row r="457" spans="1:15" ht="15" customHeight="1">
      <c r="A457" s="144"/>
      <c r="B457" s="145" t="s">
        <v>31</v>
      </c>
      <c r="C457" s="836" t="s">
        <v>261</v>
      </c>
      <c r="D457" s="836"/>
      <c r="E457" s="836"/>
      <c r="F457" s="836"/>
      <c r="G457" s="836"/>
      <c r="I457" s="144"/>
      <c r="J457" s="145" t="s">
        <v>31</v>
      </c>
      <c r="K457" s="836" t="s">
        <v>261</v>
      </c>
      <c r="L457" s="836"/>
      <c r="M457" s="836"/>
      <c r="N457" s="836"/>
      <c r="O457" s="836"/>
    </row>
    <row r="458" spans="1:15" ht="15" customHeight="1">
      <c r="A458" s="38"/>
      <c r="B458" s="39" t="s">
        <v>283</v>
      </c>
      <c r="C458" s="860" t="s">
        <v>284</v>
      </c>
      <c r="D458" s="860"/>
      <c r="E458" s="860"/>
      <c r="F458" s="860"/>
      <c r="G458" s="860"/>
      <c r="I458" s="38"/>
      <c r="J458" s="39" t="s">
        <v>283</v>
      </c>
      <c r="K458" s="860" t="s">
        <v>284</v>
      </c>
      <c r="L458" s="860"/>
      <c r="M458" s="860"/>
      <c r="N458" s="860"/>
      <c r="O458" s="860"/>
    </row>
    <row r="459" spans="1:15" ht="150" customHeight="1">
      <c r="A459" s="40"/>
      <c r="B459" s="556" t="s">
        <v>316</v>
      </c>
      <c r="C459" s="852" t="s">
        <v>317</v>
      </c>
      <c r="D459" s="852"/>
      <c r="E459" s="852"/>
      <c r="F459" s="852"/>
      <c r="G459" s="852"/>
      <c r="I459" s="40"/>
      <c r="J459" s="41" t="s">
        <v>316</v>
      </c>
      <c r="K459" s="869" t="s">
        <v>318</v>
      </c>
      <c r="L459" s="869"/>
      <c r="M459" s="869"/>
      <c r="N459" s="869"/>
      <c r="O459" s="869"/>
    </row>
    <row r="460" spans="1:15" ht="15" customHeight="1" thickBot="1"/>
    <row r="461" spans="1:15" ht="30" customHeight="1" thickTop="1" thickBot="1">
      <c r="A461" s="10"/>
      <c r="B461" s="835" t="str">
        <f>'Obrazac kalkulacije'!$B$6:$C$6</f>
        <v>Opis</v>
      </c>
      <c r="C461" s="835"/>
      <c r="D461" s="10" t="str">
        <f>'Obrazac kalkulacije'!$D$6</f>
        <v>Jed.
mjere</v>
      </c>
      <c r="E461" s="10" t="str">
        <f>'Obrazac kalkulacije'!$E$6</f>
        <v>Normativ</v>
      </c>
      <c r="F461" s="10" t="str">
        <f>'Obrazac kalkulacije'!$F$6</f>
        <v>Jed.
cijena</v>
      </c>
      <c r="G461" s="10" t="str">
        <f>'Obrazac kalkulacije'!$G$6</f>
        <v>Iznos</v>
      </c>
      <c r="I461" s="10"/>
      <c r="J461" s="835" t="e">
        <f>'Obrazac kalkulacije'!$B$6:$C$6</f>
        <v>#VALUE!</v>
      </c>
      <c r="K461" s="835"/>
      <c r="L461" s="10" t="str">
        <f>'Obrazac kalkulacije'!$D$6</f>
        <v>Jed.
mjere</v>
      </c>
      <c r="M461" s="10" t="str">
        <f>'Obrazac kalkulacije'!$E$6</f>
        <v>Normativ</v>
      </c>
      <c r="N461" s="10" t="str">
        <f>'Obrazac kalkulacije'!$F$6</f>
        <v>Jed.
cijena</v>
      </c>
      <c r="O461" s="10" t="str">
        <f>'Obrazac kalkulacije'!$G$6</f>
        <v>Iznos</v>
      </c>
    </row>
    <row r="462" spans="1:15" ht="4.5" customHeight="1" thickTop="1">
      <c r="B462" s="42"/>
      <c r="C462" s="1"/>
      <c r="D462" s="11"/>
      <c r="E462" s="13"/>
      <c r="F462" s="258"/>
      <c r="G462" s="15"/>
      <c r="J462" s="42"/>
      <c r="K462" s="1"/>
      <c r="L462" s="11"/>
      <c r="M462" s="13"/>
      <c r="N462" s="258"/>
      <c r="O462" s="15"/>
    </row>
    <row r="463" spans="1:15" ht="25.15" customHeight="1">
      <c r="A463" s="16"/>
      <c r="B463" s="837" t="str">
        <f>'Obrazac kalkulacije'!$B$8</f>
        <v>Radna snaga:</v>
      </c>
      <c r="C463" s="837"/>
      <c r="D463" s="16"/>
      <c r="E463" s="16"/>
      <c r="F463" s="44"/>
      <c r="G463" s="18">
        <f>SUM(G464:G464)</f>
        <v>91.829934629999997</v>
      </c>
      <c r="I463" s="16"/>
      <c r="J463" s="837" t="str">
        <f>'Obrazac kalkulacije'!$B$8</f>
        <v>Radna snaga:</v>
      </c>
      <c r="K463" s="837"/>
      <c r="L463" s="16"/>
      <c r="M463" s="16"/>
      <c r="N463" s="44"/>
      <c r="O463" s="18">
        <f>SUM(O464:O464)</f>
        <v>91.829934629999997</v>
      </c>
    </row>
    <row r="464" spans="1:15" ht="25.15" customHeight="1">
      <c r="A464" s="32"/>
      <c r="B464" s="854" t="s">
        <v>57</v>
      </c>
      <c r="C464" s="854"/>
      <c r="D464" s="33" t="s">
        <v>51</v>
      </c>
      <c r="E464" s="34">
        <v>0.87432100000000001</v>
      </c>
      <c r="F464" s="238">
        <f>SUMIF('Cjenik RS'!$C$11:$C$26,$B464,'Cjenik RS'!$D$11:$D$90)</f>
        <v>105.03</v>
      </c>
      <c r="G464" s="35">
        <f>+F464*E464</f>
        <v>91.829934629999997</v>
      </c>
      <c r="I464" s="32"/>
      <c r="J464" s="854" t="s">
        <v>57</v>
      </c>
      <c r="K464" s="854"/>
      <c r="L464" s="33" t="s">
        <v>51</v>
      </c>
      <c r="M464" s="34">
        <v>0.87432100000000001</v>
      </c>
      <c r="N464" s="238">
        <f>SUMIF('Cjenik RS'!$C$11:$C$26,$J464,'Cjenik RS'!$D$11:$D$90)</f>
        <v>105.03</v>
      </c>
      <c r="O464" s="35">
        <f>+N464*M464</f>
        <v>91.829934629999997</v>
      </c>
    </row>
    <row r="465" spans="1:15" ht="25.15" customHeight="1">
      <c r="A465" s="16"/>
      <c r="B465" s="837" t="str">
        <f>'Obrazac kalkulacije'!$B$11</f>
        <v>Vozila, strojevi i oprema:</v>
      </c>
      <c r="C465" s="837"/>
      <c r="D465" s="16"/>
      <c r="E465" s="16"/>
      <c r="F465" s="238"/>
      <c r="G465" s="18">
        <f>SUM(G466:G468)</f>
        <v>24.459931917893769</v>
      </c>
      <c r="I465" s="16"/>
      <c r="J465" s="837" t="str">
        <f>'Obrazac kalkulacije'!$B$11</f>
        <v>Vozila, strojevi i oprema:</v>
      </c>
      <c r="K465" s="837"/>
      <c r="L465" s="16"/>
      <c r="M465" s="16"/>
      <c r="N465" s="238"/>
      <c r="O465" s="18">
        <f>SUM(O466:O468)</f>
        <v>26.68223708</v>
      </c>
    </row>
    <row r="466" spans="1:15" ht="25.15" customHeight="1">
      <c r="A466" s="51"/>
      <c r="B466" s="849" t="s">
        <v>73</v>
      </c>
      <c r="C466" s="849"/>
      <c r="D466" s="52" t="s">
        <v>51</v>
      </c>
      <c r="E466" s="135">
        <v>3.1788999999999998E-2</v>
      </c>
      <c r="F466" s="260">
        <f>SUMIF('Cjenik VSO'!$B$9:$B$85,$B466,'Cjenik VSO'!$C$9:$C$85)</f>
        <v>291.72000000000003</v>
      </c>
      <c r="G466" s="54">
        <f>E466*F466</f>
        <v>9.2734870800000007</v>
      </c>
      <c r="I466" s="51"/>
      <c r="J466" s="849" t="s">
        <v>73</v>
      </c>
      <c r="K466" s="849"/>
      <c r="L466" s="52" t="s">
        <v>51</v>
      </c>
      <c r="M466" s="135">
        <v>3.1788999999999998E-2</v>
      </c>
      <c r="N466" s="260">
        <f>SUMIF('Cjenik VSO'!$B$9:$B$85,$B466,'Cjenik VSO'!$C$9:$C$85)</f>
        <v>291.72000000000003</v>
      </c>
      <c r="O466" s="54">
        <f>M466*N466</f>
        <v>9.2734870800000007</v>
      </c>
    </row>
    <row r="467" spans="1:15" ht="25.15" customHeight="1">
      <c r="A467" s="56"/>
      <c r="B467" s="839" t="s">
        <v>97</v>
      </c>
      <c r="C467" s="839"/>
      <c r="D467" s="57" t="s">
        <v>51</v>
      </c>
      <c r="E467" s="58">
        <v>4.7045297769602208E-2</v>
      </c>
      <c r="F467" s="263">
        <f>SUMIF('Cjenik VSO'!$B$9:$B$85,$B467,'Cjenik VSO'!$C$9:$C$85)</f>
        <v>279.37</v>
      </c>
      <c r="G467" s="59">
        <f>E467*F467</f>
        <v>13.143044837893768</v>
      </c>
      <c r="I467" s="56"/>
      <c r="J467" s="839" t="s">
        <v>97</v>
      </c>
      <c r="K467" s="839"/>
      <c r="L467" s="57" t="s">
        <v>51</v>
      </c>
      <c r="M467" s="58">
        <v>5.5E-2</v>
      </c>
      <c r="N467" s="263">
        <f>SUMIF('Cjenik VSO'!$B$9:$B$85,$B467,'Cjenik VSO'!$C$9:$C$85)</f>
        <v>279.37</v>
      </c>
      <c r="O467" s="59">
        <f>M467*N467</f>
        <v>15.365350000000001</v>
      </c>
    </row>
    <row r="468" spans="1:15" ht="25.15" customHeight="1">
      <c r="A468" s="98"/>
      <c r="B468" s="875" t="s">
        <v>71</v>
      </c>
      <c r="C468" s="875"/>
      <c r="D468" s="57" t="s">
        <v>51</v>
      </c>
      <c r="E468" s="75">
        <v>0.02</v>
      </c>
      <c r="F468" s="263">
        <f>SUMIF('Cjenik VSO'!$B$9:$B$85,$B468,'Cjenik VSO'!$C$9:$C$85)</f>
        <v>102.17</v>
      </c>
      <c r="G468" s="60">
        <f>E468*F468</f>
        <v>2.0434000000000001</v>
      </c>
      <c r="I468" s="98"/>
      <c r="J468" s="875" t="s">
        <v>71</v>
      </c>
      <c r="K468" s="875"/>
      <c r="L468" s="57" t="s">
        <v>51</v>
      </c>
      <c r="M468" s="75">
        <v>0.02</v>
      </c>
      <c r="N468" s="263">
        <f>SUMIF('Cjenik VSO'!$B$9:$B$85,$B468,'Cjenik VSO'!$C$9:$C$85)</f>
        <v>102.17</v>
      </c>
      <c r="O468" s="60">
        <f>M468*N468</f>
        <v>2.0434000000000001</v>
      </c>
    </row>
    <row r="469" spans="1:15" ht="25.15" customHeight="1">
      <c r="A469" s="16"/>
      <c r="B469" s="837" t="str">
        <f>'Obrazac kalkulacije'!$B$15</f>
        <v>Materijali:</v>
      </c>
      <c r="C469" s="837"/>
      <c r="D469" s="16"/>
      <c r="E469" s="16"/>
      <c r="F469" s="238"/>
      <c r="G469" s="18">
        <f>SUM(G470:G472)</f>
        <v>0</v>
      </c>
      <c r="I469" s="16"/>
      <c r="J469" s="837" t="str">
        <f>'Obrazac kalkulacije'!$B$15</f>
        <v>Materijali:</v>
      </c>
      <c r="K469" s="837"/>
      <c r="L469" s="16"/>
      <c r="M469" s="16"/>
      <c r="N469" s="238"/>
      <c r="O469" s="18">
        <f>SUM(O470:O472)</f>
        <v>0</v>
      </c>
    </row>
    <row r="470" spans="1:15" ht="25.15" customHeight="1">
      <c r="A470" s="51"/>
      <c r="B470" s="863">
        <f>'Cjenik M'!$B$33</f>
        <v>0</v>
      </c>
      <c r="C470" s="863"/>
      <c r="D470" s="52">
        <f>'Cjenik M'!$C$33</f>
        <v>0</v>
      </c>
      <c r="E470" s="53">
        <v>7.0000000000000007E-2</v>
      </c>
      <c r="F470" s="260">
        <f>'Cjenik M'!$D$33</f>
        <v>0</v>
      </c>
      <c r="G470" s="55">
        <f>E470*F470</f>
        <v>0</v>
      </c>
      <c r="I470" s="51"/>
      <c r="J470" s="863">
        <f>'Cjenik M'!$B$33</f>
        <v>0</v>
      </c>
      <c r="K470" s="863"/>
      <c r="L470" s="52">
        <f>'Cjenik M'!$C$33</f>
        <v>0</v>
      </c>
      <c r="M470" s="53">
        <v>7.0000000000000007E-2</v>
      </c>
      <c r="N470" s="260">
        <f>'Cjenik M'!$D$33</f>
        <v>0</v>
      </c>
      <c r="O470" s="55">
        <f>M470*N470</f>
        <v>0</v>
      </c>
    </row>
    <row r="471" spans="1:15" ht="25.15" customHeight="1">
      <c r="A471" s="137"/>
      <c r="B471" s="876">
        <f>'Cjenik M'!$B$36</f>
        <v>0</v>
      </c>
      <c r="C471" s="876"/>
      <c r="D471" s="138">
        <f>'Cjenik M'!$C$36</f>
        <v>0</v>
      </c>
      <c r="E471" s="139">
        <v>1.05</v>
      </c>
      <c r="F471" s="266">
        <f>'Cjenik M'!$D$36</f>
        <v>0</v>
      </c>
      <c r="G471" s="140">
        <f>E471*F471</f>
        <v>0</v>
      </c>
      <c r="I471" s="137"/>
      <c r="J471" s="876">
        <f>'Cjenik M'!$B$36</f>
        <v>0</v>
      </c>
      <c r="K471" s="876"/>
      <c r="L471" s="138">
        <f>'Cjenik M'!$C$36</f>
        <v>0</v>
      </c>
      <c r="M471" s="139">
        <v>1.05</v>
      </c>
      <c r="N471" s="266">
        <f>'Cjenik M'!$D$36</f>
        <v>0</v>
      </c>
      <c r="O471" s="140">
        <f>M471*N471</f>
        <v>0</v>
      </c>
    </row>
    <row r="472" spans="1:15" ht="25.15" customHeight="1" thickBot="1">
      <c r="A472" s="66"/>
      <c r="B472" s="859">
        <f>'Cjenik M'!$B$82</f>
        <v>0</v>
      </c>
      <c r="C472" s="859"/>
      <c r="D472" s="67">
        <f>'Cjenik M'!$C$82</f>
        <v>0</v>
      </c>
      <c r="E472" s="68">
        <v>2E-3</v>
      </c>
      <c r="F472" s="262">
        <f>'Cjenik M'!$D$82</f>
        <v>0</v>
      </c>
      <c r="G472" s="70">
        <f>E472*F472</f>
        <v>0</v>
      </c>
      <c r="I472" s="66"/>
      <c r="J472" s="859">
        <f>'Cjenik M'!$B$82</f>
        <v>0</v>
      </c>
      <c r="K472" s="859"/>
      <c r="L472" s="67">
        <f>'Cjenik M'!$C$82</f>
        <v>0</v>
      </c>
      <c r="M472" s="68">
        <v>2E-3</v>
      </c>
      <c r="N472" s="262">
        <f>'Cjenik M'!$D$82</f>
        <v>0</v>
      </c>
      <c r="O472" s="70">
        <f>M472*N472</f>
        <v>0</v>
      </c>
    </row>
    <row r="473" spans="1:15" ht="25.15" customHeight="1" thickTop="1" thickBot="1">
      <c r="B473" s="47"/>
      <c r="C473" s="24"/>
      <c r="D473" s="25"/>
      <c r="E473" s="850" t="str">
        <f>'Obrazac kalkulacije'!$E$18</f>
        <v>Ukupno (kn):</v>
      </c>
      <c r="F473" s="850"/>
      <c r="G473" s="26">
        <f>ROUND(SUM(G463+G465+G469),2)</f>
        <v>116.29</v>
      </c>
      <c r="H473" s="269" t="e">
        <f>SUMIF(#REF!,$B459,#REF!)</f>
        <v>#REF!</v>
      </c>
      <c r="J473" s="47"/>
      <c r="K473" s="24"/>
      <c r="L473" s="25"/>
      <c r="M473" s="850" t="str">
        <f>'Obrazac kalkulacije'!$E$18</f>
        <v>Ukupno (kn):</v>
      </c>
      <c r="N473" s="850"/>
      <c r="O473" s="26">
        <f>ROUND(SUM(O463+O465+O469),2)</f>
        <v>118.51</v>
      </c>
    </row>
    <row r="474" spans="1:15" ht="25.15" customHeight="1" thickTop="1" thickBot="1">
      <c r="E474" s="27" t="str">
        <f>'Obrazac kalkulacije'!$E$19</f>
        <v>PDV:</v>
      </c>
      <c r="F474" s="259">
        <f>'Obrazac kalkulacije'!$F$19</f>
        <v>0.25</v>
      </c>
      <c r="G474" s="29">
        <f>G473*F474</f>
        <v>29.072500000000002</v>
      </c>
      <c r="H474" s="270" t="e">
        <f>H473-G473</f>
        <v>#REF!</v>
      </c>
      <c r="M474" s="27" t="str">
        <f>'Obrazac kalkulacije'!$E$19</f>
        <v>PDV:</v>
      </c>
      <c r="N474" s="259">
        <f>'Obrazac kalkulacije'!$F$19</f>
        <v>0.25</v>
      </c>
      <c r="O474" s="29">
        <f>O473*N474</f>
        <v>29.627500000000001</v>
      </c>
    </row>
    <row r="475" spans="1:15" ht="25.15" customHeight="1" thickTop="1" thickBot="1">
      <c r="E475" s="840" t="str">
        <f>'Obrazac kalkulacije'!$E$20</f>
        <v>Sveukupno (kn):</v>
      </c>
      <c r="F475" s="840"/>
      <c r="G475" s="29">
        <f>ROUND(SUM(G473:G474),2)</f>
        <v>145.36000000000001</v>
      </c>
      <c r="H475" s="271" t="e">
        <f>G467+H474</f>
        <v>#REF!</v>
      </c>
      <c r="M475" s="840" t="str">
        <f>'Obrazac kalkulacije'!$E$20</f>
        <v>Sveukupno (kn):</v>
      </c>
      <c r="N475" s="840"/>
      <c r="O475" s="29">
        <f>ROUND(SUM(O473:O474),2)</f>
        <v>148.13999999999999</v>
      </c>
    </row>
    <row r="476" spans="1:15" ht="15" customHeight="1" thickTop="1"/>
    <row r="477" spans="1:15" ht="15" customHeight="1"/>
    <row r="478" spans="1:15" ht="15" customHeight="1"/>
    <row r="479" spans="1:15" ht="15" customHeight="1">
      <c r="C479" s="3" t="str">
        <f>'Obrazac kalkulacije'!$C$24</f>
        <v>IZVODITELJ:</v>
      </c>
      <c r="F479" s="841" t="str">
        <f>'Obrazac kalkulacije'!$F$24</f>
        <v>NARUČITELJ:</v>
      </c>
      <c r="G479" s="841"/>
      <c r="K479" s="3" t="str">
        <f>'Obrazac kalkulacije'!$C$24</f>
        <v>IZVODITELJ:</v>
      </c>
      <c r="N479" s="841" t="str">
        <f>'Obrazac kalkulacije'!$F$24</f>
        <v>NARUČITELJ:</v>
      </c>
      <c r="O479" s="841"/>
    </row>
    <row r="480" spans="1:15" ht="25.15" customHeight="1">
      <c r="C480" s="3" t="str">
        <f>'Obrazac kalkulacije'!$C$25</f>
        <v>__________________</v>
      </c>
      <c r="F480" s="841" t="str">
        <f>'Obrazac kalkulacije'!$F$25</f>
        <v>___________________</v>
      </c>
      <c r="G480" s="841"/>
      <c r="K480" s="3" t="str">
        <f>'Obrazac kalkulacije'!$C$25</f>
        <v>__________________</v>
      </c>
      <c r="N480" s="841" t="str">
        <f>'Obrazac kalkulacije'!$F$25</f>
        <v>___________________</v>
      </c>
      <c r="O480" s="841"/>
    </row>
    <row r="481" spans="1:15" ht="15" customHeight="1">
      <c r="F481" s="841"/>
      <c r="G481" s="841"/>
      <c r="N481" s="841"/>
      <c r="O481" s="841"/>
    </row>
    <row r="482" spans="1:15" ht="15" customHeight="1"/>
    <row r="483" spans="1:15" ht="15" customHeight="1">
      <c r="A483" s="144"/>
      <c r="B483" s="145" t="s">
        <v>31</v>
      </c>
      <c r="C483" s="836" t="s">
        <v>261</v>
      </c>
      <c r="D483" s="836"/>
      <c r="E483" s="836"/>
      <c r="F483" s="836"/>
      <c r="G483" s="836"/>
      <c r="I483" s="144"/>
      <c r="J483" s="145" t="s">
        <v>31</v>
      </c>
      <c r="K483" s="836" t="s">
        <v>261</v>
      </c>
      <c r="L483" s="836"/>
      <c r="M483" s="836"/>
      <c r="N483" s="836"/>
      <c r="O483" s="836"/>
    </row>
    <row r="484" spans="1:15" ht="15" customHeight="1">
      <c r="A484" s="38"/>
      <c r="B484" s="39" t="s">
        <v>283</v>
      </c>
      <c r="C484" s="860" t="s">
        <v>284</v>
      </c>
      <c r="D484" s="860"/>
      <c r="E484" s="860"/>
      <c r="F484" s="860"/>
      <c r="G484" s="860"/>
      <c r="I484" s="38"/>
      <c r="J484" s="39" t="s">
        <v>283</v>
      </c>
      <c r="K484" s="860" t="s">
        <v>284</v>
      </c>
      <c r="L484" s="860"/>
      <c r="M484" s="860"/>
      <c r="N484" s="860"/>
      <c r="O484" s="860"/>
    </row>
    <row r="485" spans="1:15" ht="150" customHeight="1">
      <c r="A485" s="40"/>
      <c r="B485" s="556" t="s">
        <v>319</v>
      </c>
      <c r="C485" s="852" t="s">
        <v>320</v>
      </c>
      <c r="D485" s="852"/>
      <c r="E485" s="852"/>
      <c r="F485" s="852"/>
      <c r="G485" s="852"/>
      <c r="I485" s="40"/>
      <c r="J485" s="41" t="s">
        <v>319</v>
      </c>
      <c r="K485" s="869" t="s">
        <v>321</v>
      </c>
      <c r="L485" s="869"/>
      <c r="M485" s="869"/>
      <c r="N485" s="869"/>
      <c r="O485" s="869"/>
    </row>
    <row r="486" spans="1:15" ht="15" customHeight="1" thickBot="1"/>
    <row r="487" spans="1:15" ht="30" customHeight="1" thickTop="1" thickBot="1">
      <c r="A487" s="10"/>
      <c r="B487" s="835" t="str">
        <f>'Obrazac kalkulacije'!$B$6:$C$6</f>
        <v>Opis</v>
      </c>
      <c r="C487" s="835"/>
      <c r="D487" s="10" t="str">
        <f>'Obrazac kalkulacije'!$D$6</f>
        <v>Jed.
mjere</v>
      </c>
      <c r="E487" s="10" t="str">
        <f>'Obrazac kalkulacije'!$E$6</f>
        <v>Normativ</v>
      </c>
      <c r="F487" s="10" t="str">
        <f>'Obrazac kalkulacije'!$F$6</f>
        <v>Jed.
cijena</v>
      </c>
      <c r="G487" s="10" t="str">
        <f>'Obrazac kalkulacije'!$G$6</f>
        <v>Iznos</v>
      </c>
      <c r="I487" s="10"/>
      <c r="J487" s="835" t="e">
        <f>'Obrazac kalkulacije'!$B$6:$C$6</f>
        <v>#VALUE!</v>
      </c>
      <c r="K487" s="835"/>
      <c r="L487" s="10" t="str">
        <f>'Obrazac kalkulacije'!$D$6</f>
        <v>Jed.
mjere</v>
      </c>
      <c r="M487" s="10" t="str">
        <f>'Obrazac kalkulacije'!$E$6</f>
        <v>Normativ</v>
      </c>
      <c r="N487" s="10" t="str">
        <f>'Obrazac kalkulacije'!$F$6</f>
        <v>Jed.
cijena</v>
      </c>
      <c r="O487" s="10" t="str">
        <f>'Obrazac kalkulacije'!$G$6</f>
        <v>Iznos</v>
      </c>
    </row>
    <row r="488" spans="1:15" ht="4.5" customHeight="1" thickTop="1">
      <c r="B488" s="42"/>
      <c r="C488" s="1"/>
      <c r="D488" s="11"/>
      <c r="E488" s="13"/>
      <c r="F488" s="258"/>
      <c r="G488" s="15"/>
      <c r="J488" s="42"/>
      <c r="K488" s="1"/>
      <c r="L488" s="11"/>
      <c r="M488" s="13"/>
      <c r="N488" s="258"/>
      <c r="O488" s="15"/>
    </row>
    <row r="489" spans="1:15" ht="25.15" customHeight="1">
      <c r="A489" s="16"/>
      <c r="B489" s="837" t="str">
        <f>'Obrazac kalkulacije'!$B$8</f>
        <v>Radna snaga:</v>
      </c>
      <c r="C489" s="837"/>
      <c r="D489" s="16"/>
      <c r="E489" s="16"/>
      <c r="F489" s="44"/>
      <c r="G489" s="18">
        <f>SUM(G490:G490)</f>
        <v>287.85488076000001</v>
      </c>
      <c r="I489" s="16"/>
      <c r="J489" s="837" t="str">
        <f>'Obrazac kalkulacije'!$B$8</f>
        <v>Radna snaga:</v>
      </c>
      <c r="K489" s="837"/>
      <c r="L489" s="16"/>
      <c r="M489" s="16"/>
      <c r="N489" s="44"/>
      <c r="O489" s="18">
        <f>SUM(O490:O490)</f>
        <v>287.85488076000001</v>
      </c>
    </row>
    <row r="490" spans="1:15" ht="25.15" customHeight="1">
      <c r="A490" s="32"/>
      <c r="B490" s="854" t="s">
        <v>57</v>
      </c>
      <c r="C490" s="854"/>
      <c r="D490" s="33" t="s">
        <v>51</v>
      </c>
      <c r="E490" s="34">
        <v>2.7406920000000001</v>
      </c>
      <c r="F490" s="238">
        <f>SUMIF('Cjenik RS'!$C$11:$C$26,$B490,'Cjenik RS'!$D$11:$D$90)</f>
        <v>105.03</v>
      </c>
      <c r="G490" s="35">
        <f>+F490*E490</f>
        <v>287.85488076000001</v>
      </c>
      <c r="I490" s="32"/>
      <c r="J490" s="854" t="s">
        <v>57</v>
      </c>
      <c r="K490" s="854"/>
      <c r="L490" s="33" t="s">
        <v>51</v>
      </c>
      <c r="M490" s="34">
        <v>2.7406920000000001</v>
      </c>
      <c r="N490" s="238">
        <f>SUMIF('Cjenik RS'!$C$11:$C$26,$J490,'Cjenik RS'!$D$11:$D$90)</f>
        <v>105.03</v>
      </c>
      <c r="O490" s="35">
        <f>+N490*M490</f>
        <v>287.85488076000001</v>
      </c>
    </row>
    <row r="491" spans="1:15" ht="25.15" customHeight="1">
      <c r="A491" s="16"/>
      <c r="B491" s="837" t="str">
        <f>'Obrazac kalkulacije'!$B$11</f>
        <v>Vozila, strojevi i oprema:</v>
      </c>
      <c r="C491" s="837"/>
      <c r="D491" s="16"/>
      <c r="E491" s="16"/>
      <c r="F491" s="238"/>
      <c r="G491" s="18">
        <f>SUM(G492:G493)</f>
        <v>25.973703543573048</v>
      </c>
      <c r="I491" s="16"/>
      <c r="J491" s="837" t="str">
        <f>'Obrazac kalkulacije'!$B$11</f>
        <v>Vozila, strojevi i oprema:</v>
      </c>
      <c r="K491" s="837"/>
      <c r="L491" s="16"/>
      <c r="M491" s="16"/>
      <c r="N491" s="238"/>
      <c r="O491" s="18">
        <f>SUM(O492:O493)</f>
        <v>29.145005870000002</v>
      </c>
    </row>
    <row r="492" spans="1:15" ht="25.15" customHeight="1">
      <c r="A492" s="51"/>
      <c r="B492" s="849" t="s">
        <v>73</v>
      </c>
      <c r="C492" s="849"/>
      <c r="D492" s="52" t="s">
        <v>51</v>
      </c>
      <c r="E492" s="626">
        <v>7.5790951301155374E-2</v>
      </c>
      <c r="F492" s="260">
        <f>SUMIF('Cjenik VSO'!$B$9:$B$85,$B492,'Cjenik VSO'!$C$9:$C$85)</f>
        <v>291.72000000000003</v>
      </c>
      <c r="G492" s="54">
        <f>E492*F492</f>
        <v>22.109736313573048</v>
      </c>
      <c r="I492" s="51"/>
      <c r="J492" s="849" t="s">
        <v>73</v>
      </c>
      <c r="K492" s="849"/>
      <c r="L492" s="52" t="s">
        <v>51</v>
      </c>
      <c r="M492" s="135">
        <v>8.6662000000000003E-2</v>
      </c>
      <c r="N492" s="260">
        <f>SUMIF('Cjenik VSO'!$B$9:$B$85,$B492,'Cjenik VSO'!$C$9:$C$85)</f>
        <v>291.72000000000003</v>
      </c>
      <c r="O492" s="54">
        <f>M492*N492</f>
        <v>25.281038640000002</v>
      </c>
    </row>
    <row r="493" spans="1:15" ht="25.15" customHeight="1">
      <c r="A493" s="98"/>
      <c r="B493" s="875" t="s">
        <v>71</v>
      </c>
      <c r="C493" s="875"/>
      <c r="D493" s="57" t="s">
        <v>51</v>
      </c>
      <c r="E493" s="75">
        <v>3.7818999999999998E-2</v>
      </c>
      <c r="F493" s="263">
        <f>SUMIF('Cjenik VSO'!$B$9:$B$85,$B493,'Cjenik VSO'!$C$9:$C$85)</f>
        <v>102.17</v>
      </c>
      <c r="G493" s="60">
        <f>E493*F493</f>
        <v>3.8639672300000001</v>
      </c>
      <c r="I493" s="98"/>
      <c r="J493" s="875" t="s">
        <v>71</v>
      </c>
      <c r="K493" s="875"/>
      <c r="L493" s="57" t="s">
        <v>51</v>
      </c>
      <c r="M493" s="75">
        <v>3.7818999999999998E-2</v>
      </c>
      <c r="N493" s="263">
        <f>SUMIF('Cjenik VSO'!$B$9:$B$85,$B493,'Cjenik VSO'!$C$9:$C$85)</f>
        <v>102.17</v>
      </c>
      <c r="O493" s="60">
        <f>M493*N493</f>
        <v>3.8639672300000001</v>
      </c>
    </row>
    <row r="494" spans="1:15" ht="25.15" customHeight="1">
      <c r="A494" s="16"/>
      <c r="B494" s="837" t="str">
        <f>'Obrazac kalkulacije'!$B$15</f>
        <v>Materijali:</v>
      </c>
      <c r="C494" s="837"/>
      <c r="D494" s="16"/>
      <c r="E494" s="16"/>
      <c r="F494" s="238"/>
      <c r="G494" s="18" t="e">
        <f>SUM(G495:G499)</f>
        <v>#VALUE!</v>
      </c>
      <c r="I494" s="16"/>
      <c r="J494" s="837" t="str">
        <f>'Obrazac kalkulacije'!$B$15</f>
        <v>Materijali:</v>
      </c>
      <c r="K494" s="837"/>
      <c r="L494" s="16"/>
      <c r="M494" s="16"/>
      <c r="N494" s="238"/>
      <c r="O494" s="18" t="e">
        <f>SUM(O495:O499)</f>
        <v>#VALUE!</v>
      </c>
    </row>
    <row r="495" spans="1:15" ht="25.15" customHeight="1">
      <c r="A495" s="51"/>
      <c r="B495" s="863" t="str">
        <f>'Cjenik M'!$B$27</f>
        <v>____________</v>
      </c>
      <c r="C495" s="863"/>
      <c r="D495" s="52">
        <f>'Cjenik M'!$C$27</f>
        <v>0</v>
      </c>
      <c r="E495" s="53">
        <v>6.25E-2</v>
      </c>
      <c r="F495" s="260" t="str">
        <f>'Cjenik M'!$D$27</f>
        <v>___________</v>
      </c>
      <c r="G495" s="55" t="e">
        <f>E495*F495</f>
        <v>#VALUE!</v>
      </c>
      <c r="I495" s="51"/>
      <c r="J495" s="863" t="str">
        <f>'Cjenik M'!$B$27</f>
        <v>____________</v>
      </c>
      <c r="K495" s="863"/>
      <c r="L495" s="52">
        <f>'Cjenik M'!$C$27</f>
        <v>0</v>
      </c>
      <c r="M495" s="53">
        <v>6.25E-2</v>
      </c>
      <c r="N495" s="260" t="str">
        <f>'Cjenik M'!$D$27</f>
        <v>___________</v>
      </c>
      <c r="O495" s="55" t="e">
        <f>M495*N495</f>
        <v>#VALUE!</v>
      </c>
    </row>
    <row r="496" spans="1:15" ht="25.15" customHeight="1">
      <c r="A496" s="56"/>
      <c r="B496" s="834">
        <f>'Cjenik M'!$B$31</f>
        <v>0</v>
      </c>
      <c r="C496" s="834"/>
      <c r="D496" s="57">
        <f>'Cjenik M'!$C$31</f>
        <v>0</v>
      </c>
      <c r="E496" s="58">
        <v>2.6800000000000001E-3</v>
      </c>
      <c r="F496" s="263">
        <f>'Cjenik M'!$D$31</f>
        <v>0</v>
      </c>
      <c r="G496" s="60">
        <f>E496*F496</f>
        <v>0</v>
      </c>
      <c r="I496" s="56"/>
      <c r="J496" s="834">
        <f>'Cjenik M'!$B$31</f>
        <v>0</v>
      </c>
      <c r="K496" s="834"/>
      <c r="L496" s="57">
        <f>'Cjenik M'!$C$31</f>
        <v>0</v>
      </c>
      <c r="M496" s="58">
        <v>2.6800000000000001E-3</v>
      </c>
      <c r="N496" s="263">
        <f>'Cjenik M'!$D$31</f>
        <v>0</v>
      </c>
      <c r="O496" s="60">
        <f>M496*N496</f>
        <v>0</v>
      </c>
    </row>
    <row r="497" spans="1:15" ht="25.15" customHeight="1">
      <c r="A497" s="56"/>
      <c r="B497" s="834">
        <f>'Cjenik M'!$B$105</f>
        <v>0</v>
      </c>
      <c r="C497" s="834"/>
      <c r="D497" s="57">
        <f>'Cjenik M'!$C$105</f>
        <v>0</v>
      </c>
      <c r="E497" s="58">
        <v>0.1</v>
      </c>
      <c r="F497" s="263">
        <f>'Cjenik M'!$D$105</f>
        <v>0</v>
      </c>
      <c r="G497" s="60">
        <f>E497*F497</f>
        <v>0</v>
      </c>
      <c r="I497" s="56"/>
      <c r="J497" s="834">
        <f>'Cjenik M'!$B$105</f>
        <v>0</v>
      </c>
      <c r="K497" s="834"/>
      <c r="L497" s="57">
        <f>'Cjenik M'!$C$105</f>
        <v>0</v>
      </c>
      <c r="M497" s="58">
        <v>0.1</v>
      </c>
      <c r="N497" s="263">
        <f>'Cjenik M'!$D$105</f>
        <v>0</v>
      </c>
      <c r="O497" s="60">
        <f>M497*N497</f>
        <v>0</v>
      </c>
    </row>
    <row r="498" spans="1:15" ht="25.15" customHeight="1">
      <c r="A498" s="84"/>
      <c r="B498" s="834">
        <f>'Cjenik M'!$B$30</f>
        <v>0</v>
      </c>
      <c r="C498" s="834"/>
      <c r="D498" s="57">
        <f>'Cjenik M'!$C$30</f>
        <v>0</v>
      </c>
      <c r="E498" s="58">
        <v>6.25E-2</v>
      </c>
      <c r="F498" s="263">
        <f>'Cjenik M'!$D$30</f>
        <v>0</v>
      </c>
      <c r="G498" s="60">
        <f>E498*F498</f>
        <v>0</v>
      </c>
      <c r="I498" s="84"/>
      <c r="J498" s="834">
        <f>'Cjenik M'!$B$30</f>
        <v>0</v>
      </c>
      <c r="K498" s="834"/>
      <c r="L498" s="57">
        <f>'Cjenik M'!$C$30</f>
        <v>0</v>
      </c>
      <c r="M498" s="58">
        <v>6.25E-2</v>
      </c>
      <c r="N498" s="263">
        <f>'Cjenik M'!$D$30</f>
        <v>0</v>
      </c>
      <c r="O498" s="60">
        <f>M498*N498</f>
        <v>0</v>
      </c>
    </row>
    <row r="499" spans="1:15" ht="25.15" customHeight="1" thickBot="1">
      <c r="A499" s="66"/>
      <c r="B499" s="859">
        <f>'Cjenik M'!$B$82</f>
        <v>0</v>
      </c>
      <c r="C499" s="859"/>
      <c r="D499" s="67">
        <f>'Cjenik M'!$C$82</f>
        <v>0</v>
      </c>
      <c r="E499" s="68">
        <v>7.0000000000000001E-3</v>
      </c>
      <c r="F499" s="262">
        <f>'Cjenik M'!$D$82</f>
        <v>0</v>
      </c>
      <c r="G499" s="70">
        <f>E499*F499</f>
        <v>0</v>
      </c>
      <c r="I499" s="66"/>
      <c r="J499" s="859">
        <f>'Cjenik M'!$B$82</f>
        <v>0</v>
      </c>
      <c r="K499" s="859"/>
      <c r="L499" s="67">
        <f>'Cjenik M'!$C$82</f>
        <v>0</v>
      </c>
      <c r="M499" s="68">
        <v>7.0000000000000001E-3</v>
      </c>
      <c r="N499" s="262">
        <f>'Cjenik M'!$D$82</f>
        <v>0</v>
      </c>
      <c r="O499" s="70">
        <f>M499*N499</f>
        <v>0</v>
      </c>
    </row>
    <row r="500" spans="1:15" ht="25.15" customHeight="1" thickTop="1" thickBot="1">
      <c r="B500" s="47"/>
      <c r="C500" s="24"/>
      <c r="D500" s="25"/>
      <c r="E500" s="850" t="str">
        <f>'Obrazac kalkulacije'!$E$18</f>
        <v>Ukupno (kn):</v>
      </c>
      <c r="F500" s="850"/>
      <c r="G500" s="26" t="e">
        <f>ROUND(SUM(G489+G491+G494),2)</f>
        <v>#VALUE!</v>
      </c>
      <c r="H500" s="269" t="e">
        <f>SUMIF(#REF!,$B485,#REF!)</f>
        <v>#REF!</v>
      </c>
      <c r="J500" s="47"/>
      <c r="K500" s="24"/>
      <c r="L500" s="25"/>
      <c r="M500" s="850" t="str">
        <f>'Obrazac kalkulacije'!$E$18</f>
        <v>Ukupno (kn):</v>
      </c>
      <c r="N500" s="850"/>
      <c r="O500" s="26" t="e">
        <f>ROUND(SUM(O489+O491+O494),2)</f>
        <v>#VALUE!</v>
      </c>
    </row>
    <row r="501" spans="1:15" ht="25.15" customHeight="1" thickTop="1" thickBot="1">
      <c r="E501" s="27" t="str">
        <f>'Obrazac kalkulacije'!$E$19</f>
        <v>PDV:</v>
      </c>
      <c r="F501" s="259">
        <f>'Obrazac kalkulacije'!$F$19</f>
        <v>0.25</v>
      </c>
      <c r="G501" s="29" t="e">
        <f>G500*F501</f>
        <v>#VALUE!</v>
      </c>
      <c r="H501" s="270" t="e">
        <f>H500-G500</f>
        <v>#REF!</v>
      </c>
      <c r="M501" s="27" t="str">
        <f>'Obrazac kalkulacije'!$E$19</f>
        <v>PDV:</v>
      </c>
      <c r="N501" s="259">
        <f>'Obrazac kalkulacije'!$F$19</f>
        <v>0.25</v>
      </c>
      <c r="O501" s="29" t="e">
        <f>O500*N501</f>
        <v>#VALUE!</v>
      </c>
    </row>
    <row r="502" spans="1:15" ht="25.15" customHeight="1" thickTop="1" thickBot="1">
      <c r="E502" s="840" t="str">
        <f>'Obrazac kalkulacije'!$E$20</f>
        <v>Sveukupno (kn):</v>
      </c>
      <c r="F502" s="840"/>
      <c r="G502" s="29" t="e">
        <f>ROUND(SUM(G500:G501),2)</f>
        <v>#VALUE!</v>
      </c>
      <c r="H502" s="271" t="e">
        <f>G492+H501</f>
        <v>#REF!</v>
      </c>
      <c r="M502" s="840" t="str">
        <f>'Obrazac kalkulacije'!$E$20</f>
        <v>Sveukupno (kn):</v>
      </c>
      <c r="N502" s="840"/>
      <c r="O502" s="29" t="e">
        <f>ROUND(SUM(O500:O501),2)</f>
        <v>#VALUE!</v>
      </c>
    </row>
    <row r="503" spans="1:15" ht="15" customHeight="1" thickTop="1"/>
    <row r="504" spans="1:15" ht="15" customHeight="1"/>
    <row r="505" spans="1:15" ht="15" customHeight="1"/>
    <row r="506" spans="1:15" ht="15" customHeight="1">
      <c r="C506" s="3" t="str">
        <f>'Obrazac kalkulacije'!$C$24</f>
        <v>IZVODITELJ:</v>
      </c>
      <c r="F506" s="841" t="str">
        <f>'Obrazac kalkulacije'!$F$24</f>
        <v>NARUČITELJ:</v>
      </c>
      <c r="G506" s="841"/>
      <c r="K506" s="3" t="str">
        <f>'Obrazac kalkulacije'!$C$24</f>
        <v>IZVODITELJ:</v>
      </c>
      <c r="N506" s="841" t="str">
        <f>'Obrazac kalkulacije'!$F$24</f>
        <v>NARUČITELJ:</v>
      </c>
      <c r="O506" s="841"/>
    </row>
    <row r="507" spans="1:15" ht="25.15" customHeight="1">
      <c r="C507" s="3" t="str">
        <f>'Obrazac kalkulacije'!$C$25</f>
        <v>__________________</v>
      </c>
      <c r="F507" s="841" t="str">
        <f>'Obrazac kalkulacije'!$F$25</f>
        <v>___________________</v>
      </c>
      <c r="G507" s="841"/>
      <c r="K507" s="3" t="str">
        <f>'Obrazac kalkulacije'!$C$25</f>
        <v>__________________</v>
      </c>
      <c r="N507" s="841" t="str">
        <f>'Obrazac kalkulacije'!$F$25</f>
        <v>___________________</v>
      </c>
      <c r="O507" s="841"/>
    </row>
    <row r="508" spans="1:15" ht="15" customHeight="1">
      <c r="F508" s="841"/>
      <c r="G508" s="841"/>
      <c r="N508" s="841"/>
      <c r="O508" s="841"/>
    </row>
    <row r="509" spans="1:15" ht="15" customHeight="1"/>
    <row r="510" spans="1:15" ht="15" customHeight="1">
      <c r="A510" s="144"/>
      <c r="B510" s="145" t="s">
        <v>31</v>
      </c>
      <c r="C510" s="836" t="s">
        <v>261</v>
      </c>
      <c r="D510" s="836"/>
      <c r="E510" s="836"/>
      <c r="F510" s="836"/>
      <c r="G510" s="836"/>
      <c r="I510" s="144"/>
      <c r="J510" s="145" t="s">
        <v>31</v>
      </c>
      <c r="K510" s="836" t="s">
        <v>261</v>
      </c>
      <c r="L510" s="836"/>
      <c r="M510" s="836"/>
      <c r="N510" s="836"/>
      <c r="O510" s="836"/>
    </row>
    <row r="511" spans="1:15" ht="15" customHeight="1">
      <c r="A511" s="38"/>
      <c r="B511" s="39" t="s">
        <v>283</v>
      </c>
      <c r="C511" s="860" t="s">
        <v>284</v>
      </c>
      <c r="D511" s="860"/>
      <c r="E511" s="860"/>
      <c r="F511" s="860"/>
      <c r="G511" s="860"/>
      <c r="I511" s="38"/>
      <c r="J511" s="39" t="s">
        <v>283</v>
      </c>
      <c r="K511" s="860" t="s">
        <v>284</v>
      </c>
      <c r="L511" s="860"/>
      <c r="M511" s="860"/>
      <c r="N511" s="860"/>
      <c r="O511" s="860"/>
    </row>
    <row r="512" spans="1:15" ht="150" customHeight="1">
      <c r="A512" s="40"/>
      <c r="B512" s="556" t="s">
        <v>322</v>
      </c>
      <c r="C512" s="852" t="s">
        <v>323</v>
      </c>
      <c r="D512" s="852"/>
      <c r="E512" s="852"/>
      <c r="F512" s="852"/>
      <c r="G512" s="852"/>
      <c r="I512" s="40"/>
      <c r="J512" s="41" t="s">
        <v>324</v>
      </c>
      <c r="K512" s="869" t="s">
        <v>325</v>
      </c>
      <c r="L512" s="869"/>
      <c r="M512" s="869"/>
      <c r="N512" s="869"/>
      <c r="O512" s="869"/>
    </row>
    <row r="513" spans="1:15" ht="15" customHeight="1" thickBot="1"/>
    <row r="514" spans="1:15" ht="30" customHeight="1" thickTop="1" thickBot="1">
      <c r="A514" s="10"/>
      <c r="B514" s="835" t="str">
        <f>'Obrazac kalkulacije'!$B$6:$C$6</f>
        <v>Opis</v>
      </c>
      <c r="C514" s="835"/>
      <c r="D514" s="10" t="str">
        <f>'Obrazac kalkulacije'!$D$6</f>
        <v>Jed.
mjere</v>
      </c>
      <c r="E514" s="10" t="str">
        <f>'Obrazac kalkulacije'!$E$6</f>
        <v>Normativ</v>
      </c>
      <c r="F514" s="10" t="str">
        <f>'Obrazac kalkulacije'!$F$6</f>
        <v>Jed.
cijena</v>
      </c>
      <c r="G514" s="10" t="str">
        <f>'Obrazac kalkulacije'!$G$6</f>
        <v>Iznos</v>
      </c>
      <c r="I514" s="10"/>
      <c r="J514" s="835" t="e">
        <f>'Obrazac kalkulacije'!$B$6:$C$6</f>
        <v>#VALUE!</v>
      </c>
      <c r="K514" s="835"/>
      <c r="L514" s="10" t="str">
        <f>'Obrazac kalkulacije'!$D$6</f>
        <v>Jed.
mjere</v>
      </c>
      <c r="M514" s="10" t="str">
        <f>'Obrazac kalkulacije'!$E$6</f>
        <v>Normativ</v>
      </c>
      <c r="N514" s="10" t="str">
        <f>'Obrazac kalkulacije'!$F$6</f>
        <v>Jed.
cijena</v>
      </c>
      <c r="O514" s="10" t="str">
        <f>'Obrazac kalkulacije'!$G$6</f>
        <v>Iznos</v>
      </c>
    </row>
    <row r="515" spans="1:15" ht="4.5" customHeight="1" thickTop="1">
      <c r="B515" s="42"/>
      <c r="C515" s="1"/>
      <c r="D515" s="11"/>
      <c r="E515" s="13"/>
      <c r="F515" s="258"/>
      <c r="G515" s="15"/>
      <c r="J515" s="42"/>
      <c r="K515" s="1"/>
      <c r="L515" s="11"/>
      <c r="M515" s="13"/>
      <c r="N515" s="258"/>
      <c r="O515" s="15"/>
    </row>
    <row r="516" spans="1:15" ht="25.15" customHeight="1">
      <c r="A516" s="16"/>
      <c r="B516" s="837" t="str">
        <f>'Obrazac kalkulacije'!$B$8</f>
        <v>Radna snaga:</v>
      </c>
      <c r="C516" s="837"/>
      <c r="D516" s="16"/>
      <c r="E516" s="16"/>
      <c r="F516" s="44"/>
      <c r="G516" s="18">
        <f>SUM(G517:G517)</f>
        <v>601.07870772000001</v>
      </c>
      <c r="I516" s="16"/>
      <c r="J516" s="837" t="str">
        <f>'Obrazac kalkulacije'!$B$8</f>
        <v>Radna snaga:</v>
      </c>
      <c r="K516" s="837"/>
      <c r="L516" s="16"/>
      <c r="M516" s="16"/>
      <c r="N516" s="44"/>
      <c r="O516" s="18">
        <f>SUM(O517:O517)</f>
        <v>601.07870772000001</v>
      </c>
    </row>
    <row r="517" spans="1:15" ht="25.15" customHeight="1">
      <c r="A517" s="32"/>
      <c r="B517" s="854" t="s">
        <v>57</v>
      </c>
      <c r="C517" s="854"/>
      <c r="D517" s="33" t="s">
        <v>51</v>
      </c>
      <c r="E517" s="34">
        <v>5.7229239999999999</v>
      </c>
      <c r="F517" s="238">
        <f>SUMIF('Cjenik RS'!$C$11:$C$26,$B517,'Cjenik RS'!$D$11:$D$90)</f>
        <v>105.03</v>
      </c>
      <c r="G517" s="35">
        <f>+F517*E517</f>
        <v>601.07870772000001</v>
      </c>
      <c r="I517" s="32"/>
      <c r="J517" s="854" t="s">
        <v>57</v>
      </c>
      <c r="K517" s="854"/>
      <c r="L517" s="33" t="s">
        <v>51</v>
      </c>
      <c r="M517" s="34">
        <v>5.7229239999999999</v>
      </c>
      <c r="N517" s="238">
        <f>SUMIF('Cjenik RS'!$C$11:$C$26,$J517,'Cjenik RS'!$D$11:$D$90)</f>
        <v>105.03</v>
      </c>
      <c r="O517" s="35">
        <f>+N517*M517</f>
        <v>601.07870772000001</v>
      </c>
    </row>
    <row r="518" spans="1:15" ht="25.15" customHeight="1">
      <c r="A518" s="16"/>
      <c r="B518" s="837" t="str">
        <f>'Obrazac kalkulacije'!$B$11</f>
        <v>Vozila, strojevi i oprema:</v>
      </c>
      <c r="C518" s="837"/>
      <c r="D518" s="16"/>
      <c r="E518" s="16"/>
      <c r="F518" s="238"/>
      <c r="G518" s="18">
        <f>SUM(G519:G521)</f>
        <v>129.41148993224675</v>
      </c>
      <c r="I518" s="16"/>
      <c r="J518" s="837" t="str">
        <f>'Obrazac kalkulacije'!$B$11</f>
        <v>Vozila, strojevi i oprema:</v>
      </c>
      <c r="K518" s="837"/>
      <c r="L518" s="16"/>
      <c r="M518" s="16"/>
      <c r="N518" s="238"/>
      <c r="O518" s="18">
        <f>SUM(O519:O521)</f>
        <v>184.79821680000001</v>
      </c>
    </row>
    <row r="519" spans="1:15" ht="25.15" customHeight="1">
      <c r="A519" s="51"/>
      <c r="B519" s="849" t="s">
        <v>69</v>
      </c>
      <c r="C519" s="849"/>
      <c r="D519" s="52" t="s">
        <v>51</v>
      </c>
      <c r="E519" s="86">
        <v>0.40660040923706531</v>
      </c>
      <c r="F519" s="260">
        <f>SUMIF('Cjenik VSO'!$B$9:$B$85,$B519,'Cjenik VSO'!$C$9:$C$85)</f>
        <v>179.6</v>
      </c>
      <c r="G519" s="54">
        <f>E519*F519</f>
        <v>73.025433498976923</v>
      </c>
      <c r="I519" s="51"/>
      <c r="J519" s="849" t="s">
        <v>69</v>
      </c>
      <c r="K519" s="849"/>
      <c r="L519" s="52" t="s">
        <v>51</v>
      </c>
      <c r="M519" s="135">
        <v>0.53960300000000005</v>
      </c>
      <c r="N519" s="260">
        <f>SUMIF('Cjenik VSO'!$B$9:$B$85,$B519,'Cjenik VSO'!$C$9:$C$85)</f>
        <v>179.6</v>
      </c>
      <c r="O519" s="54">
        <f>M519*N519</f>
        <v>96.912698800000001</v>
      </c>
    </row>
    <row r="520" spans="1:15" ht="25.15" customHeight="1">
      <c r="A520" s="98"/>
      <c r="B520" s="878" t="s">
        <v>288</v>
      </c>
      <c r="C520" s="878"/>
      <c r="D520" s="57" t="s">
        <v>51</v>
      </c>
      <c r="E520" s="75">
        <v>0.2981619229114158</v>
      </c>
      <c r="F520" s="263">
        <f>SUMIF('Cjenik VSO'!$B$9:$B$85,$B520,'Cjenik VSO'!$C$9:$C$85)</f>
        <v>170.8</v>
      </c>
      <c r="G520" s="60">
        <f>E520*F520</f>
        <v>50.926056433269821</v>
      </c>
      <c r="I520" s="98"/>
      <c r="J520" s="878" t="s">
        <v>288</v>
      </c>
      <c r="K520" s="878"/>
      <c r="L520" s="57" t="s">
        <v>51</v>
      </c>
      <c r="M520" s="75">
        <v>0.48258499999999999</v>
      </c>
      <c r="N520" s="263">
        <f>SUMIF('Cjenik VSO'!$B$9:$B$85,$B520,'Cjenik VSO'!$C$9:$C$85)</f>
        <v>170.8</v>
      </c>
      <c r="O520" s="60">
        <f>M520*N520</f>
        <v>82.425517999999997</v>
      </c>
    </row>
    <row r="521" spans="1:15" ht="25.15" customHeight="1">
      <c r="A521" s="90"/>
      <c r="B521" s="875" t="s">
        <v>200</v>
      </c>
      <c r="C521" s="875"/>
      <c r="D521" s="62" t="s">
        <v>51</v>
      </c>
      <c r="E521" s="131">
        <v>0.25</v>
      </c>
      <c r="F521" s="261">
        <f>SUMIF('Cjenik VSO'!$B$9:$B$85,$B521,'Cjenik VSO'!$C$9:$C$85)</f>
        <v>21.84</v>
      </c>
      <c r="G521" s="65">
        <f>E521*F521</f>
        <v>5.46</v>
      </c>
      <c r="I521" s="90"/>
      <c r="J521" s="875" t="s">
        <v>200</v>
      </c>
      <c r="K521" s="875"/>
      <c r="L521" s="62" t="s">
        <v>51</v>
      </c>
      <c r="M521" s="131">
        <v>0.25</v>
      </c>
      <c r="N521" s="261">
        <f>SUMIF('Cjenik VSO'!$B$9:$B$85,$B521,'Cjenik VSO'!$C$9:$C$85)</f>
        <v>21.84</v>
      </c>
      <c r="O521" s="65">
        <f>M521*N521</f>
        <v>5.46</v>
      </c>
    </row>
    <row r="522" spans="1:15" ht="25.15" customHeight="1">
      <c r="A522" s="16"/>
      <c r="B522" s="837" t="str">
        <f>'Obrazac kalkulacije'!$B$15</f>
        <v>Materijali:</v>
      </c>
      <c r="C522" s="837"/>
      <c r="D522" s="16"/>
      <c r="E522" s="16"/>
      <c r="F522" s="238"/>
      <c r="G522" s="18">
        <f>SUM(G523:G525)</f>
        <v>0</v>
      </c>
      <c r="I522" s="16"/>
      <c r="J522" s="837" t="str">
        <f>'Obrazac kalkulacije'!$B$15</f>
        <v>Materijali:</v>
      </c>
      <c r="K522" s="837"/>
      <c r="L522" s="16"/>
      <c r="M522" s="16"/>
      <c r="N522" s="238"/>
      <c r="O522" s="18">
        <f>SUM(O523:O525)</f>
        <v>0</v>
      </c>
    </row>
    <row r="523" spans="1:15" ht="25.15" customHeight="1">
      <c r="A523" s="51"/>
      <c r="B523" s="863">
        <f>'Cjenik M'!$B$65</f>
        <v>0</v>
      </c>
      <c r="C523" s="863"/>
      <c r="D523" s="52">
        <f>'Cjenik M'!$C$65</f>
        <v>0</v>
      </c>
      <c r="E523" s="53">
        <v>10</v>
      </c>
      <c r="F523" s="260">
        <f>'Cjenik M'!$D$65</f>
        <v>0</v>
      </c>
      <c r="G523" s="55">
        <f>E523*F523</f>
        <v>0</v>
      </c>
      <c r="I523" s="51"/>
      <c r="J523" s="863">
        <f>'Cjenik M'!$B$65</f>
        <v>0</v>
      </c>
      <c r="K523" s="863"/>
      <c r="L523" s="52">
        <f>'Cjenik M'!$C$65</f>
        <v>0</v>
      </c>
      <c r="M523" s="53">
        <v>10</v>
      </c>
      <c r="N523" s="260">
        <f>'Cjenik M'!$D$65</f>
        <v>0</v>
      </c>
      <c r="O523" s="55">
        <f>M523*N523</f>
        <v>0</v>
      </c>
    </row>
    <row r="524" spans="1:15" ht="25.15" customHeight="1">
      <c r="A524" s="56"/>
      <c r="B524" s="834">
        <f>'Cjenik M'!$B$31</f>
        <v>0</v>
      </c>
      <c r="C524" s="834"/>
      <c r="D524" s="57">
        <f>'Cjenik M'!$C$31</f>
        <v>0</v>
      </c>
      <c r="E524" s="58">
        <v>2.6800000000000001E-2</v>
      </c>
      <c r="F524" s="263">
        <f>'Cjenik M'!$D$31</f>
        <v>0</v>
      </c>
      <c r="G524" s="60">
        <f>E524*F524</f>
        <v>0</v>
      </c>
      <c r="I524" s="56"/>
      <c r="J524" s="834">
        <f>'Cjenik M'!$B$31</f>
        <v>0</v>
      </c>
      <c r="K524" s="834"/>
      <c r="L524" s="57">
        <f>'Cjenik M'!$C$31</f>
        <v>0</v>
      </c>
      <c r="M524" s="58">
        <v>2.6800000000000001E-2</v>
      </c>
      <c r="N524" s="263">
        <f>'Cjenik M'!$D$31</f>
        <v>0</v>
      </c>
      <c r="O524" s="60">
        <f>M524*N524</f>
        <v>0</v>
      </c>
    </row>
    <row r="525" spans="1:15" ht="25.15" customHeight="1" thickBot="1">
      <c r="A525" s="66"/>
      <c r="B525" s="834">
        <f>'Cjenik M'!$B$34</f>
        <v>0</v>
      </c>
      <c r="C525" s="834"/>
      <c r="D525" s="57">
        <f>'Cjenik M'!$C$34</f>
        <v>0</v>
      </c>
      <c r="E525" s="58">
        <v>1</v>
      </c>
      <c r="F525" s="263">
        <f>'Cjenik M'!$D$34</f>
        <v>0</v>
      </c>
      <c r="G525" s="60">
        <f>E525*F525</f>
        <v>0</v>
      </c>
      <c r="I525" s="66"/>
      <c r="J525" s="834">
        <f>'Cjenik M'!$B$34</f>
        <v>0</v>
      </c>
      <c r="K525" s="834"/>
      <c r="L525" s="57">
        <f>'Cjenik M'!$C$34</f>
        <v>0</v>
      </c>
      <c r="M525" s="58">
        <v>1</v>
      </c>
      <c r="N525" s="263">
        <f>'Cjenik M'!$D$34</f>
        <v>0</v>
      </c>
      <c r="O525" s="60">
        <f>M525*N525</f>
        <v>0</v>
      </c>
    </row>
    <row r="526" spans="1:15" ht="25.15" customHeight="1" thickTop="1" thickBot="1">
      <c r="B526" s="47"/>
      <c r="C526" s="24"/>
      <c r="D526" s="25"/>
      <c r="E526" s="850" t="str">
        <f>'Obrazac kalkulacije'!$E$18</f>
        <v>Ukupno (kn):</v>
      </c>
      <c r="F526" s="850"/>
      <c r="G526" s="26">
        <f>ROUND(SUM(G516+G518+G522),2)</f>
        <v>730.49</v>
      </c>
      <c r="H526" s="269" t="e">
        <f>SUMIF(#REF!,$B512,#REF!)</f>
        <v>#REF!</v>
      </c>
      <c r="J526" s="47"/>
      <c r="K526" s="24"/>
      <c r="L526" s="25"/>
      <c r="M526" s="850" t="str">
        <f>'Obrazac kalkulacije'!$E$18</f>
        <v>Ukupno (kn):</v>
      </c>
      <c r="N526" s="850"/>
      <c r="O526" s="26">
        <f>ROUND(SUM(O516+O518+O522),2)</f>
        <v>785.88</v>
      </c>
    </row>
    <row r="527" spans="1:15" ht="25.15" customHeight="1" thickTop="1" thickBot="1">
      <c r="E527" s="27" t="str">
        <f>'Obrazac kalkulacije'!$E$19</f>
        <v>PDV:</v>
      </c>
      <c r="F527" s="259">
        <f>'Obrazac kalkulacije'!$F$19</f>
        <v>0.25</v>
      </c>
      <c r="G527" s="29">
        <f>G526*F527</f>
        <v>182.6225</v>
      </c>
      <c r="H527" s="270" t="e">
        <f>H526-G526</f>
        <v>#REF!</v>
      </c>
      <c r="M527" s="27" t="str">
        <f>'Obrazac kalkulacije'!$E$19</f>
        <v>PDV:</v>
      </c>
      <c r="N527" s="259">
        <f>'Obrazac kalkulacije'!$F$19</f>
        <v>0.25</v>
      </c>
      <c r="O527" s="29">
        <f>O526*N527</f>
        <v>196.47</v>
      </c>
    </row>
    <row r="528" spans="1:15" ht="25.15" customHeight="1" thickTop="1" thickBot="1">
      <c r="E528" s="840" t="str">
        <f>'Obrazac kalkulacije'!$E$20</f>
        <v>Sveukupno (kn):</v>
      </c>
      <c r="F528" s="840"/>
      <c r="G528" s="29">
        <f>ROUND(SUM(G526:G527),2)</f>
        <v>913.11</v>
      </c>
      <c r="H528" s="271" t="e">
        <f>G520+H527</f>
        <v>#REF!</v>
      </c>
      <c r="M528" s="840" t="str">
        <f>'Obrazac kalkulacije'!$E$20</f>
        <v>Sveukupno (kn):</v>
      </c>
      <c r="N528" s="840"/>
      <c r="O528" s="29">
        <f>ROUND(SUM(O526:O527),2)</f>
        <v>982.35</v>
      </c>
    </row>
    <row r="529" spans="1:15" ht="15" customHeight="1" thickTop="1"/>
    <row r="530" spans="1:15" ht="15" customHeight="1"/>
    <row r="531" spans="1:15" ht="15" customHeight="1"/>
    <row r="532" spans="1:15" ht="15" customHeight="1">
      <c r="C532" s="3" t="str">
        <f>'Obrazac kalkulacije'!$C$24</f>
        <v>IZVODITELJ:</v>
      </c>
      <c r="F532" s="841" t="str">
        <f>'Obrazac kalkulacije'!$F$24</f>
        <v>NARUČITELJ:</v>
      </c>
      <c r="G532" s="841"/>
      <c r="K532" s="3" t="str">
        <f>'Obrazac kalkulacije'!$C$24</f>
        <v>IZVODITELJ:</v>
      </c>
      <c r="N532" s="841" t="str">
        <f>'Obrazac kalkulacije'!$F$24</f>
        <v>NARUČITELJ:</v>
      </c>
      <c r="O532" s="841"/>
    </row>
    <row r="533" spans="1:15" ht="25.15" customHeight="1">
      <c r="C533" s="3" t="str">
        <f>'Obrazac kalkulacije'!$C$25</f>
        <v>__________________</v>
      </c>
      <c r="F533" s="841" t="str">
        <f>'Obrazac kalkulacije'!$F$25</f>
        <v>___________________</v>
      </c>
      <c r="G533" s="841"/>
      <c r="K533" s="3" t="str">
        <f>'Obrazac kalkulacije'!$C$25</f>
        <v>__________________</v>
      </c>
      <c r="N533" s="841" t="str">
        <f>'Obrazac kalkulacije'!$F$25</f>
        <v>___________________</v>
      </c>
      <c r="O533" s="841"/>
    </row>
    <row r="534" spans="1:15" ht="15" customHeight="1">
      <c r="F534" s="841"/>
      <c r="G534" s="841"/>
      <c r="N534" s="841"/>
      <c r="O534" s="841"/>
    </row>
    <row r="535" spans="1:15" ht="15" customHeight="1"/>
    <row r="536" spans="1:15" ht="15" customHeight="1">
      <c r="A536" s="144"/>
      <c r="B536" s="145" t="s">
        <v>31</v>
      </c>
      <c r="C536" s="836" t="s">
        <v>261</v>
      </c>
      <c r="D536" s="836"/>
      <c r="E536" s="836"/>
      <c r="F536" s="836"/>
      <c r="G536" s="836"/>
      <c r="I536" s="144"/>
      <c r="J536" s="145" t="s">
        <v>31</v>
      </c>
      <c r="K536" s="836" t="s">
        <v>261</v>
      </c>
      <c r="L536" s="836"/>
      <c r="M536" s="836"/>
      <c r="N536" s="836"/>
      <c r="O536" s="836"/>
    </row>
    <row r="537" spans="1:15" ht="15" customHeight="1">
      <c r="A537" s="38"/>
      <c r="B537" s="39" t="s">
        <v>326</v>
      </c>
      <c r="C537" s="860" t="s">
        <v>327</v>
      </c>
      <c r="D537" s="860"/>
      <c r="E537" s="860"/>
      <c r="F537" s="860"/>
      <c r="G537" s="860"/>
      <c r="I537" s="38"/>
      <c r="J537" s="39" t="s">
        <v>326</v>
      </c>
      <c r="K537" s="860" t="s">
        <v>327</v>
      </c>
      <c r="L537" s="860"/>
      <c r="M537" s="860"/>
      <c r="N537" s="860"/>
      <c r="O537" s="860"/>
    </row>
    <row r="538" spans="1:15" ht="150" customHeight="1">
      <c r="A538" s="40"/>
      <c r="B538" s="556" t="s">
        <v>328</v>
      </c>
      <c r="C538" s="852" t="s">
        <v>329</v>
      </c>
      <c r="D538" s="852"/>
      <c r="E538" s="852"/>
      <c r="F538" s="852"/>
      <c r="G538" s="852"/>
      <c r="I538" s="40"/>
      <c r="J538" s="41" t="s">
        <v>328</v>
      </c>
      <c r="K538" s="869" t="s">
        <v>330</v>
      </c>
      <c r="L538" s="869"/>
      <c r="M538" s="869"/>
      <c r="N538" s="869"/>
      <c r="O538" s="869"/>
    </row>
    <row r="539" spans="1:15" ht="15" customHeight="1" thickBot="1"/>
    <row r="540" spans="1:15" ht="30" customHeight="1" thickTop="1" thickBot="1">
      <c r="A540" s="10"/>
      <c r="B540" s="835" t="str">
        <f>'Obrazac kalkulacije'!$B$6:$C$6</f>
        <v>Opis</v>
      </c>
      <c r="C540" s="835"/>
      <c r="D540" s="10" t="str">
        <f>'Obrazac kalkulacije'!$D$6</f>
        <v>Jed.
mjere</v>
      </c>
      <c r="E540" s="10" t="str">
        <f>'Obrazac kalkulacije'!$E$6</f>
        <v>Normativ</v>
      </c>
      <c r="F540" s="10" t="str">
        <f>'Obrazac kalkulacije'!$F$6</f>
        <v>Jed.
cijena</v>
      </c>
      <c r="G540" s="10" t="str">
        <f>'Obrazac kalkulacije'!$G$6</f>
        <v>Iznos</v>
      </c>
      <c r="I540" s="10"/>
      <c r="J540" s="835" t="e">
        <f>'Obrazac kalkulacije'!$B$6:$C$6</f>
        <v>#VALUE!</v>
      </c>
      <c r="K540" s="835"/>
      <c r="L540" s="10" t="str">
        <f>'Obrazac kalkulacije'!$D$6</f>
        <v>Jed.
mjere</v>
      </c>
      <c r="M540" s="10" t="str">
        <f>'Obrazac kalkulacije'!$E$6</f>
        <v>Normativ</v>
      </c>
      <c r="N540" s="10" t="str">
        <f>'Obrazac kalkulacije'!$F$6</f>
        <v>Jed.
cijena</v>
      </c>
      <c r="O540" s="10" t="str">
        <f>'Obrazac kalkulacije'!$G$6</f>
        <v>Iznos</v>
      </c>
    </row>
    <row r="541" spans="1:15" ht="4.5" customHeight="1" thickTop="1">
      <c r="B541" s="42"/>
      <c r="C541" s="1"/>
      <c r="D541" s="11"/>
      <c r="E541" s="13"/>
      <c r="F541" s="258"/>
      <c r="G541" s="15"/>
      <c r="J541" s="42"/>
      <c r="K541" s="1"/>
      <c r="L541" s="11"/>
      <c r="M541" s="13"/>
      <c r="N541" s="258"/>
      <c r="O541" s="15"/>
    </row>
    <row r="542" spans="1:15" ht="25.15" customHeight="1">
      <c r="A542" s="16"/>
      <c r="B542" s="837" t="str">
        <f>'Obrazac kalkulacije'!$B$8</f>
        <v>Radna snaga:</v>
      </c>
      <c r="C542" s="837"/>
      <c r="D542" s="16"/>
      <c r="E542" s="16"/>
      <c r="F542" s="44"/>
      <c r="G542" s="18">
        <f>SUM(G543:G543)</f>
        <v>1898.4687147</v>
      </c>
      <c r="I542" s="16"/>
      <c r="J542" s="837" t="str">
        <f>'Obrazac kalkulacije'!$B$8</f>
        <v>Radna snaga:</v>
      </c>
      <c r="K542" s="837"/>
      <c r="L542" s="16"/>
      <c r="M542" s="16"/>
      <c r="N542" s="44"/>
      <c r="O542" s="18">
        <f>SUM(O543:O543)</f>
        <v>1898.4687147</v>
      </c>
    </row>
    <row r="543" spans="1:15" ht="25.15" customHeight="1">
      <c r="A543" s="32"/>
      <c r="B543" s="854" t="s">
        <v>57</v>
      </c>
      <c r="C543" s="854"/>
      <c r="D543" s="33" t="s">
        <v>51</v>
      </c>
      <c r="E543" s="34">
        <v>18.075489999999999</v>
      </c>
      <c r="F543" s="238">
        <f>SUMIF('Cjenik RS'!$C$11:$C$26,$B543,'Cjenik RS'!$D$11:$D$90)</f>
        <v>105.03</v>
      </c>
      <c r="G543" s="35">
        <f>+F543*E543</f>
        <v>1898.4687147</v>
      </c>
      <c r="I543" s="32"/>
      <c r="J543" s="854" t="s">
        <v>57</v>
      </c>
      <c r="K543" s="854"/>
      <c r="L543" s="33" t="s">
        <v>51</v>
      </c>
      <c r="M543" s="34">
        <v>18.075489999999999</v>
      </c>
      <c r="N543" s="238">
        <f>SUMIF('Cjenik RS'!$C$11:$C$26,$J543,'Cjenik RS'!$D$11:$D$90)</f>
        <v>105.03</v>
      </c>
      <c r="O543" s="35">
        <f>+N543*M543</f>
        <v>1898.4687147</v>
      </c>
    </row>
    <row r="544" spans="1:15" ht="25.15" customHeight="1">
      <c r="A544" s="16"/>
      <c r="B544" s="837" t="str">
        <f>'Obrazac kalkulacije'!$B$11</f>
        <v>Vozila, strojevi i oprema:</v>
      </c>
      <c r="C544" s="837"/>
      <c r="D544" s="16"/>
      <c r="E544" s="16"/>
      <c r="F544" s="238"/>
      <c r="G544" s="18">
        <f>SUM(G545:G548)</f>
        <v>611.02275093761568</v>
      </c>
      <c r="I544" s="16"/>
      <c r="J544" s="837" t="str">
        <f>'Obrazac kalkulacije'!$B$11</f>
        <v>Vozila, strojevi i oprema:</v>
      </c>
      <c r="K544" s="837"/>
      <c r="L544" s="16"/>
      <c r="M544" s="16"/>
      <c r="N544" s="238"/>
      <c r="O544" s="18">
        <f>SUM(O545:O548)</f>
        <v>714.81035510000004</v>
      </c>
    </row>
    <row r="545" spans="1:15" ht="25.15" customHeight="1">
      <c r="A545" s="51"/>
      <c r="B545" s="849" t="s">
        <v>73</v>
      </c>
      <c r="C545" s="849"/>
      <c r="D545" s="52" t="s">
        <v>51</v>
      </c>
      <c r="E545" s="135">
        <v>0.83873299999999995</v>
      </c>
      <c r="F545" s="260">
        <f>SUMIF('Cjenik VSO'!$B$9:$B$85,$B545,'Cjenik VSO'!$C$9:$C$85)</f>
        <v>291.72000000000003</v>
      </c>
      <c r="G545" s="54">
        <f>E545*F545</f>
        <v>244.67519076000002</v>
      </c>
      <c r="I545" s="51"/>
      <c r="J545" s="849" t="s">
        <v>73</v>
      </c>
      <c r="K545" s="849"/>
      <c r="L545" s="52" t="s">
        <v>51</v>
      </c>
      <c r="M545" s="135">
        <v>0.83873299999999995</v>
      </c>
      <c r="N545" s="260">
        <f>SUMIF('Cjenik VSO'!$B$9:$B$85,$B545,'Cjenik VSO'!$C$9:$C$85)</f>
        <v>291.72000000000003</v>
      </c>
      <c r="O545" s="54">
        <f>M545*N545</f>
        <v>244.67519076000002</v>
      </c>
    </row>
    <row r="546" spans="1:15" ht="25.15" customHeight="1">
      <c r="A546" s="56"/>
      <c r="B546" s="839" t="s">
        <v>97</v>
      </c>
      <c r="C546" s="839"/>
      <c r="D546" s="57" t="s">
        <v>51</v>
      </c>
      <c r="E546" s="136">
        <v>1.1938820000000001</v>
      </c>
      <c r="F546" s="263">
        <f>SUMIF('Cjenik VSO'!$B$9:$B$85,$B546,'Cjenik VSO'!$C$9:$C$85)</f>
        <v>279.37</v>
      </c>
      <c r="G546" s="59">
        <f>E546*F546</f>
        <v>333.53481434000003</v>
      </c>
      <c r="I546" s="56"/>
      <c r="J546" s="839" t="s">
        <v>97</v>
      </c>
      <c r="K546" s="839"/>
      <c r="L546" s="57" t="s">
        <v>51</v>
      </c>
      <c r="M546" s="136">
        <v>1.1938820000000001</v>
      </c>
      <c r="N546" s="263">
        <f>SUMIF('Cjenik VSO'!$B$9:$B$85,$B546,'Cjenik VSO'!$C$9:$C$85)</f>
        <v>279.37</v>
      </c>
      <c r="O546" s="59">
        <f>M546*N546</f>
        <v>333.53481434000003</v>
      </c>
    </row>
    <row r="547" spans="1:15" ht="25.15" customHeight="1">
      <c r="A547" s="98"/>
      <c r="B547" s="878" t="s">
        <v>71</v>
      </c>
      <c r="C547" s="878"/>
      <c r="D547" s="57" t="s">
        <v>51</v>
      </c>
      <c r="E547" s="75">
        <v>0.25916752312435765</v>
      </c>
      <c r="F547" s="263">
        <f>SUMIF('Cjenik VSO'!$B$9:$B$85,$B547,'Cjenik VSO'!$C$9:$C$85)</f>
        <v>102.17</v>
      </c>
      <c r="G547" s="60">
        <f>E547*F547</f>
        <v>26.479145837615622</v>
      </c>
      <c r="I547" s="98"/>
      <c r="J547" s="878" t="s">
        <v>71</v>
      </c>
      <c r="K547" s="878"/>
      <c r="L547" s="57" t="s">
        <v>51</v>
      </c>
      <c r="M547" s="75">
        <v>1.2749999999999999</v>
      </c>
      <c r="N547" s="263">
        <f>SUMIF('Cjenik VSO'!$B$9:$B$85,$B547,'Cjenik VSO'!$C$9:$C$85)</f>
        <v>102.17</v>
      </c>
      <c r="O547" s="60">
        <f>M547*N547</f>
        <v>130.26675</v>
      </c>
    </row>
    <row r="548" spans="1:15" ht="25.15" customHeight="1">
      <c r="A548" s="90"/>
      <c r="B548" s="875" t="s">
        <v>200</v>
      </c>
      <c r="C548" s="875"/>
      <c r="D548" s="62" t="s">
        <v>51</v>
      </c>
      <c r="E548" s="131">
        <v>0.28999999999999998</v>
      </c>
      <c r="F548" s="261">
        <f>SUMIF('Cjenik VSO'!$B$9:$B$85,$B548,'Cjenik VSO'!$C$9:$C$85)</f>
        <v>21.84</v>
      </c>
      <c r="G548" s="65">
        <f>E548*F548</f>
        <v>6.3335999999999997</v>
      </c>
      <c r="I548" s="90"/>
      <c r="J548" s="875" t="s">
        <v>200</v>
      </c>
      <c r="K548" s="875"/>
      <c r="L548" s="62" t="s">
        <v>51</v>
      </c>
      <c r="M548" s="131">
        <v>0.28999999999999998</v>
      </c>
      <c r="N548" s="261">
        <f>SUMIF('Cjenik VSO'!$B$9:$B$85,$B548,'Cjenik VSO'!$C$9:$C$85)</f>
        <v>21.84</v>
      </c>
      <c r="O548" s="65">
        <f>M548*N548</f>
        <v>6.3335999999999997</v>
      </c>
    </row>
    <row r="549" spans="1:15" ht="25.15" customHeight="1">
      <c r="A549" s="16"/>
      <c r="B549" s="837" t="str">
        <f>'Obrazac kalkulacije'!$B$15</f>
        <v>Materijali:</v>
      </c>
      <c r="C549" s="837"/>
      <c r="D549" s="16"/>
      <c r="E549" s="16"/>
      <c r="F549" s="238"/>
      <c r="G549" s="18">
        <f>SUM(G550:G552)</f>
        <v>0</v>
      </c>
      <c r="I549" s="16"/>
      <c r="J549" s="837" t="str">
        <f>'Obrazac kalkulacije'!$B$15</f>
        <v>Materijali:</v>
      </c>
      <c r="K549" s="837"/>
      <c r="L549" s="16"/>
      <c r="M549" s="16"/>
      <c r="N549" s="238"/>
      <c r="O549" s="18">
        <f>SUM(O550:O552)</f>
        <v>0</v>
      </c>
    </row>
    <row r="550" spans="1:15" ht="25.15" customHeight="1">
      <c r="A550" s="93"/>
      <c r="B550" s="880">
        <f>'Cjenik M'!$B$31</f>
        <v>0</v>
      </c>
      <c r="C550" s="880"/>
      <c r="D550" s="82">
        <f>'Cjenik M'!$C$31</f>
        <v>0</v>
      </c>
      <c r="E550" s="101">
        <v>0.13668</v>
      </c>
      <c r="F550" s="267">
        <f>'Cjenik M'!$D$31</f>
        <v>0</v>
      </c>
      <c r="G550" s="102">
        <f>E550*F550</f>
        <v>0</v>
      </c>
      <c r="I550" s="51"/>
      <c r="J550" s="863">
        <f>'Cjenik M'!$B$31</f>
        <v>0</v>
      </c>
      <c r="K550" s="863"/>
      <c r="L550" s="52">
        <f>'Cjenik M'!$C$31</f>
        <v>0</v>
      </c>
      <c r="M550" s="53">
        <v>0.13668</v>
      </c>
      <c r="N550" s="260">
        <f>'Cjenik M'!$D$31</f>
        <v>0</v>
      </c>
      <c r="O550" s="55">
        <f>M550*N550</f>
        <v>0</v>
      </c>
    </row>
    <row r="551" spans="1:15" ht="25.15" customHeight="1" thickBot="1">
      <c r="A551" s="16"/>
      <c r="B551" s="838">
        <f>'Cjenik M'!$B$34</f>
        <v>0</v>
      </c>
      <c r="C551" s="838"/>
      <c r="D551" s="44">
        <f>'Cjenik M'!$C$34</f>
        <v>0</v>
      </c>
      <c r="E551" s="45">
        <v>1.1599999999999999</v>
      </c>
      <c r="F551" s="238">
        <f>'Cjenik M'!$D$34</f>
        <v>0</v>
      </c>
      <c r="G551" s="46">
        <f>E551*F551</f>
        <v>0</v>
      </c>
      <c r="I551" s="66"/>
      <c r="J551" s="859">
        <f>'Cjenik M'!$B$34</f>
        <v>0</v>
      </c>
      <c r="K551" s="859"/>
      <c r="L551" s="67">
        <f>'Cjenik M'!$C$34</f>
        <v>0</v>
      </c>
      <c r="M551" s="68">
        <v>1.1599999999999999</v>
      </c>
      <c r="N551" s="262">
        <f>'Cjenik M'!$D$34</f>
        <v>0</v>
      </c>
      <c r="O551" s="70">
        <f>M551*N551</f>
        <v>0</v>
      </c>
    </row>
    <row r="552" spans="1:15" ht="25.15" customHeight="1" thickTop="1" thickBot="1">
      <c r="A552" s="632"/>
      <c r="B552" s="881">
        <f>'Cjenik M'!$B$45</f>
        <v>0</v>
      </c>
      <c r="C552" s="881"/>
      <c r="D552" s="633">
        <f>'Cjenik M'!$C$45</f>
        <v>0</v>
      </c>
      <c r="E552" s="634">
        <v>1</v>
      </c>
      <c r="F552" s="635">
        <f>'Cjenik M'!$D$45</f>
        <v>0</v>
      </c>
      <c r="G552" s="636">
        <f>E552*F552</f>
        <v>0</v>
      </c>
      <c r="I552" s="66"/>
      <c r="J552" s="859">
        <f>'Cjenik M'!$B$34</f>
        <v>0</v>
      </c>
      <c r="K552" s="859"/>
      <c r="L552" s="67">
        <f>'Cjenik M'!$C$34</f>
        <v>0</v>
      </c>
      <c r="M552" s="68">
        <v>1.1599999999999999</v>
      </c>
      <c r="N552" s="262">
        <f>'Cjenik M'!$D$34</f>
        <v>0</v>
      </c>
      <c r="O552" s="70">
        <f>M552*N552</f>
        <v>0</v>
      </c>
    </row>
    <row r="553" spans="1:15" ht="25.15" customHeight="1" thickTop="1" thickBot="1">
      <c r="B553" s="47"/>
      <c r="C553" s="24"/>
      <c r="D553" s="25"/>
      <c r="E553" s="850" t="str">
        <f>'Obrazac kalkulacije'!$E$18</f>
        <v>Ukupno (kn):</v>
      </c>
      <c r="F553" s="850"/>
      <c r="G553" s="26">
        <f>ROUND(SUM(G542+G544+G549),2)</f>
        <v>2509.4899999999998</v>
      </c>
      <c r="H553" s="269" t="e">
        <f>SUMIF(#REF!,$B538,#REF!)</f>
        <v>#REF!</v>
      </c>
      <c r="J553" s="47"/>
      <c r="K553" s="24"/>
      <c r="L553" s="25"/>
      <c r="M553" s="850" t="str">
        <f>'Obrazac kalkulacije'!$E$18</f>
        <v>Ukupno (kn):</v>
      </c>
      <c r="N553" s="850"/>
      <c r="O553" s="26">
        <f>ROUND(SUM(O542+O544+O549),2)</f>
        <v>2613.2800000000002</v>
      </c>
    </row>
    <row r="554" spans="1:15" ht="25.15" customHeight="1" thickTop="1" thickBot="1">
      <c r="E554" s="27" t="str">
        <f>'Obrazac kalkulacije'!$E$19</f>
        <v>PDV:</v>
      </c>
      <c r="F554" s="259">
        <f>'Obrazac kalkulacije'!$F$19</f>
        <v>0.25</v>
      </c>
      <c r="G554" s="29">
        <f>G553*F554</f>
        <v>627.37249999999995</v>
      </c>
      <c r="H554" s="270" t="e">
        <f>H553-G553</f>
        <v>#REF!</v>
      </c>
      <c r="M554" s="27" t="str">
        <f>'Obrazac kalkulacije'!$E$19</f>
        <v>PDV:</v>
      </c>
      <c r="N554" s="259">
        <f>'Obrazac kalkulacije'!$F$19</f>
        <v>0.25</v>
      </c>
      <c r="O554" s="29">
        <f>O553*N554</f>
        <v>653.32000000000005</v>
      </c>
    </row>
    <row r="555" spans="1:15" ht="25.15" customHeight="1" thickTop="1" thickBot="1">
      <c r="E555" s="840" t="str">
        <f>'Obrazac kalkulacije'!$E$20</f>
        <v>Sveukupno (kn):</v>
      </c>
      <c r="F555" s="840"/>
      <c r="G555" s="29">
        <f>ROUND(SUM(G553:G554),2)</f>
        <v>3136.86</v>
      </c>
      <c r="H555" s="271" t="e">
        <f>G547+H554</f>
        <v>#REF!</v>
      </c>
      <c r="M555" s="840" t="str">
        <f>'Obrazac kalkulacije'!$E$20</f>
        <v>Sveukupno (kn):</v>
      </c>
      <c r="N555" s="840"/>
      <c r="O555" s="29">
        <f>ROUND(SUM(O553:O554),2)</f>
        <v>3266.6</v>
      </c>
    </row>
    <row r="556" spans="1:15" ht="15" customHeight="1" thickTop="1"/>
    <row r="557" spans="1:15" ht="15" customHeight="1"/>
    <row r="558" spans="1:15" ht="15" customHeight="1"/>
    <row r="559" spans="1:15" ht="15" customHeight="1">
      <c r="C559" s="3" t="str">
        <f>'Obrazac kalkulacije'!$C$24</f>
        <v>IZVODITELJ:</v>
      </c>
      <c r="F559" s="841" t="str">
        <f>'Obrazac kalkulacije'!$F$24</f>
        <v>NARUČITELJ:</v>
      </c>
      <c r="G559" s="841"/>
      <c r="K559" s="3" t="str">
        <f>'Obrazac kalkulacije'!$C$24</f>
        <v>IZVODITELJ:</v>
      </c>
      <c r="N559" s="841" t="str">
        <f>'Obrazac kalkulacije'!$F$24</f>
        <v>NARUČITELJ:</v>
      </c>
      <c r="O559" s="841"/>
    </row>
    <row r="560" spans="1:15" ht="25.15" customHeight="1">
      <c r="C560" s="3" t="str">
        <f>'Obrazac kalkulacije'!$C$25</f>
        <v>__________________</v>
      </c>
      <c r="F560" s="841" t="str">
        <f>'Obrazac kalkulacije'!$F$25</f>
        <v>___________________</v>
      </c>
      <c r="G560" s="841"/>
      <c r="K560" s="3" t="str">
        <f>'Obrazac kalkulacije'!$C$25</f>
        <v>__________________</v>
      </c>
      <c r="N560" s="841" t="str">
        <f>'Obrazac kalkulacije'!$F$25</f>
        <v>___________________</v>
      </c>
      <c r="O560" s="841"/>
    </row>
    <row r="561" spans="1:15" ht="15" customHeight="1">
      <c r="F561" s="841"/>
      <c r="G561" s="841"/>
      <c r="N561" s="841"/>
      <c r="O561" s="841"/>
    </row>
    <row r="562" spans="1:15" ht="15" customHeight="1"/>
    <row r="563" spans="1:15" ht="15" customHeight="1">
      <c r="A563" s="144"/>
      <c r="B563" s="145" t="s">
        <v>31</v>
      </c>
      <c r="C563" s="836" t="s">
        <v>261</v>
      </c>
      <c r="D563" s="836"/>
      <c r="E563" s="836"/>
      <c r="F563" s="836"/>
      <c r="G563" s="836"/>
      <c r="I563" s="144"/>
      <c r="J563" s="145" t="s">
        <v>31</v>
      </c>
      <c r="K563" s="836" t="s">
        <v>261</v>
      </c>
      <c r="L563" s="836"/>
      <c r="M563" s="836"/>
      <c r="N563" s="836"/>
      <c r="O563" s="836"/>
    </row>
    <row r="564" spans="1:15" ht="15" customHeight="1">
      <c r="A564" s="38"/>
      <c r="B564" s="39" t="s">
        <v>326</v>
      </c>
      <c r="C564" s="860" t="s">
        <v>327</v>
      </c>
      <c r="D564" s="860"/>
      <c r="E564" s="860"/>
      <c r="F564" s="860"/>
      <c r="G564" s="860"/>
      <c r="I564" s="38"/>
      <c r="J564" s="39" t="s">
        <v>326</v>
      </c>
      <c r="K564" s="860" t="s">
        <v>327</v>
      </c>
      <c r="L564" s="860"/>
      <c r="M564" s="860"/>
      <c r="N564" s="860"/>
      <c r="O564" s="860"/>
    </row>
    <row r="565" spans="1:15" ht="150" customHeight="1">
      <c r="A565" s="40"/>
      <c r="B565" s="556" t="s">
        <v>331</v>
      </c>
      <c r="C565" s="852" t="s">
        <v>332</v>
      </c>
      <c r="D565" s="852"/>
      <c r="E565" s="852"/>
      <c r="F565" s="852"/>
      <c r="G565" s="852"/>
      <c r="I565" s="40"/>
      <c r="J565" s="41" t="s">
        <v>331</v>
      </c>
      <c r="K565" s="869" t="s">
        <v>333</v>
      </c>
      <c r="L565" s="869"/>
      <c r="M565" s="869"/>
      <c r="N565" s="869"/>
      <c r="O565" s="869"/>
    </row>
    <row r="566" spans="1:15" ht="15" customHeight="1" thickBot="1"/>
    <row r="567" spans="1:15" ht="30" customHeight="1" thickTop="1" thickBot="1">
      <c r="A567" s="10"/>
      <c r="B567" s="835" t="str">
        <f>'Obrazac kalkulacije'!$B$6:$C$6</f>
        <v>Opis</v>
      </c>
      <c r="C567" s="835"/>
      <c r="D567" s="10" t="str">
        <f>'Obrazac kalkulacije'!$D$6</f>
        <v>Jed.
mjere</v>
      </c>
      <c r="E567" s="10" t="str">
        <f>'Obrazac kalkulacije'!$E$6</f>
        <v>Normativ</v>
      </c>
      <c r="F567" s="10" t="str">
        <f>'Obrazac kalkulacije'!$F$6</f>
        <v>Jed.
cijena</v>
      </c>
      <c r="G567" s="10" t="str">
        <f>'Obrazac kalkulacije'!$G$6</f>
        <v>Iznos</v>
      </c>
      <c r="I567" s="10"/>
      <c r="J567" s="835" t="e">
        <f>'Obrazac kalkulacije'!$B$6:$C$6</f>
        <v>#VALUE!</v>
      </c>
      <c r="K567" s="835"/>
      <c r="L567" s="10" t="str">
        <f>'Obrazac kalkulacije'!$D$6</f>
        <v>Jed.
mjere</v>
      </c>
      <c r="M567" s="10" t="str">
        <f>'Obrazac kalkulacije'!$E$6</f>
        <v>Normativ</v>
      </c>
      <c r="N567" s="10" t="str">
        <f>'Obrazac kalkulacije'!$F$6</f>
        <v>Jed.
cijena</v>
      </c>
      <c r="O567" s="10" t="str">
        <f>'Obrazac kalkulacije'!$G$6</f>
        <v>Iznos</v>
      </c>
    </row>
    <row r="568" spans="1:15" ht="4.5" customHeight="1" thickTop="1">
      <c r="B568" s="42"/>
      <c r="C568" s="1"/>
      <c r="D568" s="11"/>
      <c r="E568" s="13"/>
      <c r="F568" s="258"/>
      <c r="G568" s="15"/>
      <c r="J568" s="42"/>
      <c r="K568" s="1"/>
      <c r="L568" s="11"/>
      <c r="M568" s="13"/>
      <c r="N568" s="258"/>
      <c r="O568" s="15"/>
    </row>
    <row r="569" spans="1:15" ht="25.15" customHeight="1">
      <c r="A569" s="16"/>
      <c r="B569" s="837" t="str">
        <f>'Obrazac kalkulacije'!$B$8</f>
        <v>Radna snaga:</v>
      </c>
      <c r="C569" s="837"/>
      <c r="D569" s="16"/>
      <c r="E569" s="16"/>
      <c r="F569" s="44"/>
      <c r="G569" s="18">
        <f>SUM(G570:G570)</f>
        <v>981.04227273000004</v>
      </c>
      <c r="I569" s="16"/>
      <c r="J569" s="837" t="str">
        <f>'Obrazac kalkulacije'!$B$8</f>
        <v>Radna snaga:</v>
      </c>
      <c r="K569" s="837"/>
      <c r="L569" s="16"/>
      <c r="M569" s="16"/>
      <c r="N569" s="44"/>
      <c r="O569" s="18">
        <f>SUM(O570:O570)</f>
        <v>981.04227273000004</v>
      </c>
    </row>
    <row r="570" spans="1:15" ht="25.15" customHeight="1">
      <c r="A570" s="32"/>
      <c r="B570" s="854" t="s">
        <v>57</v>
      </c>
      <c r="C570" s="854"/>
      <c r="D570" s="33" t="s">
        <v>51</v>
      </c>
      <c r="E570" s="34">
        <v>9.3405909999999999</v>
      </c>
      <c r="F570" s="238">
        <f>SUMIF('Cjenik RS'!$C$11:$C$26,$B570,'Cjenik RS'!$D$11:$D$90)</f>
        <v>105.03</v>
      </c>
      <c r="G570" s="35">
        <f>+F570*E570</f>
        <v>981.04227273000004</v>
      </c>
      <c r="I570" s="32"/>
      <c r="J570" s="854" t="s">
        <v>57</v>
      </c>
      <c r="K570" s="854"/>
      <c r="L570" s="33" t="s">
        <v>51</v>
      </c>
      <c r="M570" s="34">
        <v>9.3405909999999999</v>
      </c>
      <c r="N570" s="238">
        <f>SUMIF('Cjenik RS'!$C$11:$C$26,$J570,'Cjenik RS'!$D$11:$D$90)</f>
        <v>105.03</v>
      </c>
      <c r="O570" s="35">
        <f>+N570*M570</f>
        <v>981.04227273000004</v>
      </c>
    </row>
    <row r="571" spans="1:15" ht="25.15" customHeight="1">
      <c r="A571" s="16"/>
      <c r="B571" s="837" t="str">
        <f>'Obrazac kalkulacije'!$B$11</f>
        <v>Vozila, strojevi i oprema:</v>
      </c>
      <c r="C571" s="837"/>
      <c r="D571" s="16"/>
      <c r="E571" s="16"/>
      <c r="F571" s="238"/>
      <c r="G571" s="18">
        <f>SUM(G572:G574)</f>
        <v>241.29977096245548</v>
      </c>
      <c r="I571" s="16"/>
      <c r="J571" s="837" t="str">
        <f>'Obrazac kalkulacije'!$B$11</f>
        <v>Vozila, strojevi i oprema:</v>
      </c>
      <c r="K571" s="837"/>
      <c r="L571" s="16"/>
      <c r="M571" s="16"/>
      <c r="N571" s="238"/>
      <c r="O571" s="18">
        <f>SUM(O572:O574)</f>
        <v>262.68867269999998</v>
      </c>
    </row>
    <row r="572" spans="1:15" ht="25.15" customHeight="1">
      <c r="A572" s="51"/>
      <c r="B572" s="849" t="s">
        <v>73</v>
      </c>
      <c r="C572" s="849"/>
      <c r="D572" s="52" t="s">
        <v>51</v>
      </c>
      <c r="E572" s="86">
        <v>0.35622502969441749</v>
      </c>
      <c r="F572" s="260">
        <f>SUMIF('Cjenik VSO'!$B$9:$B$85,$B572,'Cjenik VSO'!$C$9:$C$85)</f>
        <v>291.72000000000003</v>
      </c>
      <c r="G572" s="54">
        <f>E572*F572</f>
        <v>103.91796566245549</v>
      </c>
      <c r="I572" s="51"/>
      <c r="J572" s="849" t="s">
        <v>73</v>
      </c>
      <c r="K572" s="849"/>
      <c r="L572" s="52" t="s">
        <v>51</v>
      </c>
      <c r="M572" s="135">
        <v>0.42954500000000001</v>
      </c>
      <c r="N572" s="260">
        <f>SUMIF('Cjenik VSO'!$B$9:$B$85,$B572,'Cjenik VSO'!$C$9:$C$85)</f>
        <v>291.72000000000003</v>
      </c>
      <c r="O572" s="54">
        <f>M572*N572</f>
        <v>125.30686740000002</v>
      </c>
    </row>
    <row r="573" spans="1:15" ht="25.15" customHeight="1">
      <c r="A573" s="56"/>
      <c r="B573" s="839" t="s">
        <v>97</v>
      </c>
      <c r="C573" s="839"/>
      <c r="D573" s="57" t="s">
        <v>51</v>
      </c>
      <c r="E573" s="136">
        <v>0.40251599999999998</v>
      </c>
      <c r="F573" s="263">
        <f>SUMIF('Cjenik VSO'!$B$9:$B$85,$B573,'Cjenik VSO'!$C$9:$C$85)</f>
        <v>279.37</v>
      </c>
      <c r="G573" s="59">
        <f>E573*F573</f>
        <v>112.45089492</v>
      </c>
      <c r="I573" s="56"/>
      <c r="J573" s="839" t="s">
        <v>97</v>
      </c>
      <c r="K573" s="839"/>
      <c r="L573" s="57" t="s">
        <v>51</v>
      </c>
      <c r="M573" s="136">
        <v>0.40251599999999998</v>
      </c>
      <c r="N573" s="263">
        <f>SUMIF('Cjenik VSO'!$B$9:$B$85,$B573,'Cjenik VSO'!$C$9:$C$85)</f>
        <v>279.37</v>
      </c>
      <c r="O573" s="59">
        <f>M573*N573</f>
        <v>112.45089492</v>
      </c>
    </row>
    <row r="574" spans="1:15" ht="25.15" customHeight="1">
      <c r="A574" s="98"/>
      <c r="B574" s="875" t="s">
        <v>71</v>
      </c>
      <c r="C574" s="875"/>
      <c r="D574" s="57" t="s">
        <v>51</v>
      </c>
      <c r="E574" s="75">
        <v>0.24401400000000001</v>
      </c>
      <c r="F574" s="263">
        <f>SUMIF('Cjenik VSO'!$B$9:$B$85,$B574,'Cjenik VSO'!$C$9:$C$85)</f>
        <v>102.17</v>
      </c>
      <c r="G574" s="60">
        <f>E574*F574</f>
        <v>24.93091038</v>
      </c>
      <c r="I574" s="98"/>
      <c r="J574" s="875" t="s">
        <v>71</v>
      </c>
      <c r="K574" s="875"/>
      <c r="L574" s="57" t="s">
        <v>51</v>
      </c>
      <c r="M574" s="75">
        <v>0.24401400000000001</v>
      </c>
      <c r="N574" s="263">
        <f>SUMIF('Cjenik VSO'!$B$9:$B$85,$B574,'Cjenik VSO'!$C$9:$C$85)</f>
        <v>102.17</v>
      </c>
      <c r="O574" s="60">
        <f>M574*N574</f>
        <v>24.93091038</v>
      </c>
    </row>
    <row r="575" spans="1:15" ht="25.15" customHeight="1">
      <c r="A575" s="16"/>
      <c r="B575" s="837" t="str">
        <f>'Obrazac kalkulacije'!$B$15</f>
        <v>Materijali:</v>
      </c>
      <c r="C575" s="837"/>
      <c r="D575" s="16"/>
      <c r="E575" s="16"/>
      <c r="F575" s="238"/>
      <c r="G575" s="18" t="e">
        <f>SUM(G576:G580)</f>
        <v>#VALUE!</v>
      </c>
      <c r="I575" s="16"/>
      <c r="J575" s="837" t="str">
        <f>'Obrazac kalkulacije'!$B$15</f>
        <v>Materijali:</v>
      </c>
      <c r="K575" s="837"/>
      <c r="L575" s="16"/>
      <c r="M575" s="16"/>
      <c r="N575" s="238"/>
      <c r="O575" s="18" t="e">
        <f>SUM(O576:O580)</f>
        <v>#VALUE!</v>
      </c>
    </row>
    <row r="576" spans="1:15" ht="25.15" customHeight="1">
      <c r="A576" s="56"/>
      <c r="B576" s="834">
        <f>'Cjenik M'!$B$31</f>
        <v>0</v>
      </c>
      <c r="C576" s="834"/>
      <c r="D576" s="57">
        <f>'Cjenik M'!$C$31</f>
        <v>0</v>
      </c>
      <c r="E576" s="58">
        <v>6.4376000000000003E-2</v>
      </c>
      <c r="F576" s="263">
        <f>'Cjenik M'!$D$31</f>
        <v>0</v>
      </c>
      <c r="G576" s="60">
        <f>E576*F576</f>
        <v>0</v>
      </c>
      <c r="I576" s="56"/>
      <c r="J576" s="834">
        <f>'Cjenik M'!$B$31</f>
        <v>0</v>
      </c>
      <c r="K576" s="834"/>
      <c r="L576" s="57">
        <f>'Cjenik M'!$C$31</f>
        <v>0</v>
      </c>
      <c r="M576" s="58">
        <v>6.4376000000000003E-2</v>
      </c>
      <c r="N576" s="263">
        <f>'Cjenik M'!$D$31</f>
        <v>0</v>
      </c>
      <c r="O576" s="60">
        <f>M576*N576</f>
        <v>0</v>
      </c>
    </row>
    <row r="577" spans="1:15" ht="25.15" customHeight="1">
      <c r="A577" s="56"/>
      <c r="B577" s="834">
        <f>'Cjenik M'!$B$105</f>
        <v>0</v>
      </c>
      <c r="C577" s="834"/>
      <c r="D577" s="57">
        <f>'Cjenik M'!$C$105</f>
        <v>0</v>
      </c>
      <c r="E577" s="58">
        <v>0.55106999999999995</v>
      </c>
      <c r="F577" s="263">
        <f>'Cjenik M'!$D$105</f>
        <v>0</v>
      </c>
      <c r="G577" s="60">
        <f>E577*F577</f>
        <v>0</v>
      </c>
      <c r="I577" s="56"/>
      <c r="J577" s="834">
        <f>'Cjenik M'!$B$105</f>
        <v>0</v>
      </c>
      <c r="K577" s="834"/>
      <c r="L577" s="57">
        <f>'Cjenik M'!$C$105</f>
        <v>0</v>
      </c>
      <c r="M577" s="58">
        <v>0.55106999999999995</v>
      </c>
      <c r="N577" s="263">
        <f>'Cjenik M'!$D$105</f>
        <v>0</v>
      </c>
      <c r="O577" s="60">
        <f>M577*N577</f>
        <v>0</v>
      </c>
    </row>
    <row r="578" spans="1:15" ht="25.15" customHeight="1">
      <c r="A578" s="56"/>
      <c r="B578" s="834">
        <f>'Cjenik M'!$B$41</f>
        <v>0</v>
      </c>
      <c r="C578" s="834"/>
      <c r="D578" s="57">
        <f>'Cjenik M'!$C$41</f>
        <v>0</v>
      </c>
      <c r="E578" s="58">
        <v>1.6</v>
      </c>
      <c r="F578" s="263">
        <f>'Cjenik M'!$D$41</f>
        <v>0</v>
      </c>
      <c r="G578" s="60">
        <f>E578*F578</f>
        <v>0</v>
      </c>
      <c r="I578" s="56"/>
      <c r="J578" s="834">
        <f>'Cjenik M'!$B$41</f>
        <v>0</v>
      </c>
      <c r="K578" s="834"/>
      <c r="L578" s="57">
        <f>'Cjenik M'!$C$41</f>
        <v>0</v>
      </c>
      <c r="M578" s="58">
        <v>1.6</v>
      </c>
      <c r="N578" s="263">
        <f>'Cjenik M'!$D$41</f>
        <v>0</v>
      </c>
      <c r="O578" s="60">
        <f>M578*N578</f>
        <v>0</v>
      </c>
    </row>
    <row r="579" spans="1:15" ht="25.15" customHeight="1">
      <c r="A579" s="56"/>
      <c r="B579" s="834">
        <f>'Cjenik M'!$B$44</f>
        <v>0</v>
      </c>
      <c r="C579" s="834"/>
      <c r="D579" s="57">
        <f>'Cjenik M'!$C$44</f>
        <v>0</v>
      </c>
      <c r="E579" s="58">
        <v>1</v>
      </c>
      <c r="F579" s="263">
        <f>'Cjenik M'!$D$44</f>
        <v>0</v>
      </c>
      <c r="G579" s="60">
        <f>E579*F579</f>
        <v>0</v>
      </c>
      <c r="I579" s="56"/>
      <c r="J579" s="834">
        <f>'Cjenik M'!$B$41</f>
        <v>0</v>
      </c>
      <c r="K579" s="834"/>
      <c r="L579" s="57">
        <f>'Cjenik M'!$C$41</f>
        <v>0</v>
      </c>
      <c r="M579" s="58">
        <v>1.6</v>
      </c>
      <c r="N579" s="263">
        <f>'Cjenik M'!$D$41</f>
        <v>0</v>
      </c>
      <c r="O579" s="60">
        <f>M579*N579</f>
        <v>0</v>
      </c>
    </row>
    <row r="580" spans="1:15" ht="25.15" customHeight="1" thickBot="1">
      <c r="A580" s="66"/>
      <c r="B580" s="834" t="str">
        <f>'Cjenik M'!$B$27</f>
        <v>____________</v>
      </c>
      <c r="C580" s="834"/>
      <c r="D580" s="57">
        <f>'Cjenik M'!$C$27</f>
        <v>0</v>
      </c>
      <c r="E580" s="58">
        <v>1.2200690000000001</v>
      </c>
      <c r="F580" s="263" t="str">
        <f>'Cjenik M'!$D$27</f>
        <v>___________</v>
      </c>
      <c r="G580" s="60" t="e">
        <f>E580*F580</f>
        <v>#VALUE!</v>
      </c>
      <c r="I580" s="66"/>
      <c r="J580" s="834" t="str">
        <f>'Cjenik M'!$B$27</f>
        <v>____________</v>
      </c>
      <c r="K580" s="834"/>
      <c r="L580" s="57">
        <f>'Cjenik M'!$C$27</f>
        <v>0</v>
      </c>
      <c r="M580" s="58">
        <v>1.2200690000000001</v>
      </c>
      <c r="N580" s="263" t="str">
        <f>'Cjenik M'!$D$27</f>
        <v>___________</v>
      </c>
      <c r="O580" s="60" t="e">
        <f>M580*N580</f>
        <v>#VALUE!</v>
      </c>
    </row>
    <row r="581" spans="1:15" ht="25.15" customHeight="1" thickTop="1" thickBot="1">
      <c r="B581" s="47"/>
      <c r="C581" s="24"/>
      <c r="D581" s="25"/>
      <c r="E581" s="850" t="str">
        <f>'Obrazac kalkulacije'!$E$18</f>
        <v>Ukupno (kn):</v>
      </c>
      <c r="F581" s="850"/>
      <c r="G581" s="26" t="e">
        <f>ROUND(SUM(G569+G571+G575),2)</f>
        <v>#VALUE!</v>
      </c>
      <c r="H581" s="269" t="e">
        <f>SUMIF(#REF!,$B565,#REF!)</f>
        <v>#REF!</v>
      </c>
      <c r="J581" s="47"/>
      <c r="K581" s="24"/>
      <c r="L581" s="25"/>
      <c r="M581" s="850" t="str">
        <f>'Obrazac kalkulacije'!$E$18</f>
        <v>Ukupno (kn):</v>
      </c>
      <c r="N581" s="850"/>
      <c r="O581" s="26" t="e">
        <f>ROUND(SUM(O569+O571+O575),2)</f>
        <v>#VALUE!</v>
      </c>
    </row>
    <row r="582" spans="1:15" ht="25.15" customHeight="1" thickTop="1" thickBot="1">
      <c r="E582" s="27" t="str">
        <f>'Obrazac kalkulacije'!$E$19</f>
        <v>PDV:</v>
      </c>
      <c r="F582" s="259">
        <f>'Obrazac kalkulacije'!$F$19</f>
        <v>0.25</v>
      </c>
      <c r="G582" s="29" t="e">
        <f>G581*F582</f>
        <v>#VALUE!</v>
      </c>
      <c r="H582" s="270" t="e">
        <f>H581-G581</f>
        <v>#REF!</v>
      </c>
      <c r="M582" s="27" t="str">
        <f>'Obrazac kalkulacije'!$E$19</f>
        <v>PDV:</v>
      </c>
      <c r="N582" s="259">
        <f>'Obrazac kalkulacije'!$F$19</f>
        <v>0.25</v>
      </c>
      <c r="O582" s="29" t="e">
        <f>O581*N582</f>
        <v>#VALUE!</v>
      </c>
    </row>
    <row r="583" spans="1:15" ht="25.15" customHeight="1" thickTop="1" thickBot="1">
      <c r="E583" s="840" t="str">
        <f>'Obrazac kalkulacije'!$E$20</f>
        <v>Sveukupno (kn):</v>
      </c>
      <c r="F583" s="840"/>
      <c r="G583" s="29" t="e">
        <f>ROUND(SUM(G581:G582),2)</f>
        <v>#VALUE!</v>
      </c>
      <c r="H583" s="271" t="e">
        <f>G572+H582</f>
        <v>#REF!</v>
      </c>
      <c r="M583" s="840" t="str">
        <f>'Obrazac kalkulacije'!$E$20</f>
        <v>Sveukupno (kn):</v>
      </c>
      <c r="N583" s="840"/>
      <c r="O583" s="29" t="e">
        <f>ROUND(SUM(O581:O582),2)</f>
        <v>#VALUE!</v>
      </c>
    </row>
    <row r="584" spans="1:15" ht="15" customHeight="1" thickTop="1"/>
    <row r="585" spans="1:15" ht="15" customHeight="1"/>
    <row r="586" spans="1:15" ht="15" customHeight="1"/>
    <row r="587" spans="1:15" ht="15" customHeight="1">
      <c r="C587" s="3" t="str">
        <f>'Obrazac kalkulacije'!$C$24</f>
        <v>IZVODITELJ:</v>
      </c>
      <c r="F587" s="841" t="str">
        <f>'Obrazac kalkulacije'!$F$24</f>
        <v>NARUČITELJ:</v>
      </c>
      <c r="G587" s="841"/>
      <c r="K587" s="3" t="str">
        <f>'Obrazac kalkulacije'!$C$24</f>
        <v>IZVODITELJ:</v>
      </c>
      <c r="N587" s="841" t="str">
        <f>'Obrazac kalkulacije'!$F$24</f>
        <v>NARUČITELJ:</v>
      </c>
      <c r="O587" s="841"/>
    </row>
    <row r="588" spans="1:15" ht="25.15" customHeight="1">
      <c r="C588" s="3" t="str">
        <f>'Obrazac kalkulacije'!$C$25</f>
        <v>__________________</v>
      </c>
      <c r="F588" s="841" t="str">
        <f>'Obrazac kalkulacije'!$F$25</f>
        <v>___________________</v>
      </c>
      <c r="G588" s="841"/>
      <c r="K588" s="3" t="str">
        <f>'Obrazac kalkulacije'!$C$25</f>
        <v>__________________</v>
      </c>
      <c r="N588" s="841" t="str">
        <f>'Obrazac kalkulacije'!$F$25</f>
        <v>___________________</v>
      </c>
      <c r="O588" s="841"/>
    </row>
    <row r="589" spans="1:15" ht="15" customHeight="1">
      <c r="F589" s="841"/>
      <c r="G589" s="841"/>
      <c r="N589" s="841"/>
      <c r="O589" s="841"/>
    </row>
    <row r="590" spans="1:15" ht="15" customHeight="1"/>
    <row r="591" spans="1:15" ht="15" customHeight="1">
      <c r="A591" s="144"/>
      <c r="B591" s="145" t="s">
        <v>31</v>
      </c>
      <c r="C591" s="836" t="s">
        <v>261</v>
      </c>
      <c r="D591" s="836"/>
      <c r="E591" s="836"/>
      <c r="F591" s="836"/>
      <c r="G591" s="836"/>
      <c r="I591" s="144"/>
      <c r="J591" s="145" t="s">
        <v>31</v>
      </c>
      <c r="K591" s="836" t="s">
        <v>261</v>
      </c>
      <c r="L591" s="836"/>
      <c r="M591" s="836"/>
      <c r="N591" s="836"/>
      <c r="O591" s="836"/>
    </row>
    <row r="592" spans="1:15" ht="15" customHeight="1">
      <c r="A592" s="38"/>
      <c r="B592" s="39" t="s">
        <v>326</v>
      </c>
      <c r="C592" s="860" t="s">
        <v>327</v>
      </c>
      <c r="D592" s="860"/>
      <c r="E592" s="860"/>
      <c r="F592" s="860"/>
      <c r="G592" s="860"/>
      <c r="I592" s="38"/>
      <c r="J592" s="39" t="s">
        <v>326</v>
      </c>
      <c r="K592" s="860" t="s">
        <v>327</v>
      </c>
      <c r="L592" s="860"/>
      <c r="M592" s="860"/>
      <c r="N592" s="860"/>
      <c r="O592" s="860"/>
    </row>
    <row r="593" spans="1:15" ht="150" customHeight="1">
      <c r="A593" s="40"/>
      <c r="B593" s="556" t="s">
        <v>334</v>
      </c>
      <c r="C593" s="852" t="s">
        <v>335</v>
      </c>
      <c r="D593" s="852"/>
      <c r="E593" s="852"/>
      <c r="F593" s="852"/>
      <c r="G593" s="852"/>
      <c r="I593" s="40"/>
      <c r="J593" s="41" t="s">
        <v>334</v>
      </c>
      <c r="K593" s="869" t="s">
        <v>336</v>
      </c>
      <c r="L593" s="869"/>
      <c r="M593" s="869"/>
      <c r="N593" s="869"/>
      <c r="O593" s="869"/>
    </row>
    <row r="594" spans="1:15" ht="15" customHeight="1" thickBot="1"/>
    <row r="595" spans="1:15" ht="30" customHeight="1" thickTop="1" thickBot="1">
      <c r="A595" s="10"/>
      <c r="B595" s="835" t="str">
        <f>'Obrazac kalkulacije'!$B$6:$C$6</f>
        <v>Opis</v>
      </c>
      <c r="C595" s="835"/>
      <c r="D595" s="10" t="str">
        <f>'Obrazac kalkulacije'!$D$6</f>
        <v>Jed.
mjere</v>
      </c>
      <c r="E595" s="10" t="str">
        <f>'Obrazac kalkulacije'!$E$6</f>
        <v>Normativ</v>
      </c>
      <c r="F595" s="10" t="str">
        <f>'Obrazac kalkulacije'!$F$6</f>
        <v>Jed.
cijena</v>
      </c>
      <c r="G595" s="10" t="str">
        <f>'Obrazac kalkulacije'!$G$6</f>
        <v>Iznos</v>
      </c>
      <c r="I595" s="10"/>
      <c r="J595" s="835" t="e">
        <f>'Obrazac kalkulacije'!$B$6:$C$6</f>
        <v>#VALUE!</v>
      </c>
      <c r="K595" s="835"/>
      <c r="L595" s="10" t="str">
        <f>'Obrazac kalkulacije'!$D$6</f>
        <v>Jed.
mjere</v>
      </c>
      <c r="M595" s="10" t="str">
        <f>'Obrazac kalkulacije'!$E$6</f>
        <v>Normativ</v>
      </c>
      <c r="N595" s="10" t="str">
        <f>'Obrazac kalkulacije'!$F$6</f>
        <v>Jed.
cijena</v>
      </c>
      <c r="O595" s="10" t="str">
        <f>'Obrazac kalkulacije'!$G$6</f>
        <v>Iznos</v>
      </c>
    </row>
    <row r="596" spans="1:15" ht="4.5" customHeight="1" thickTop="1">
      <c r="B596" s="42"/>
      <c r="C596" s="1"/>
      <c r="D596" s="11"/>
      <c r="E596" s="13"/>
      <c r="F596" s="258"/>
      <c r="G596" s="15"/>
      <c r="J596" s="42"/>
      <c r="K596" s="1"/>
      <c r="L596" s="11"/>
      <c r="M596" s="13"/>
      <c r="N596" s="258"/>
      <c r="O596" s="15"/>
    </row>
    <row r="597" spans="1:15" ht="25.15" customHeight="1">
      <c r="A597" s="16"/>
      <c r="B597" s="837" t="str">
        <f>'Obrazac kalkulacije'!$B$8</f>
        <v>Radna snaga:</v>
      </c>
      <c r="C597" s="837"/>
      <c r="D597" s="16"/>
      <c r="E597" s="16"/>
      <c r="F597" s="44"/>
      <c r="G597" s="18">
        <f>SUM(G598:G598)</f>
        <v>118.62256248</v>
      </c>
      <c r="I597" s="16"/>
      <c r="J597" s="837" t="str">
        <f>'Obrazac kalkulacije'!$B$8</f>
        <v>Radna snaga:</v>
      </c>
      <c r="K597" s="837"/>
      <c r="L597" s="16"/>
      <c r="M597" s="16"/>
      <c r="N597" s="44"/>
      <c r="O597" s="18">
        <f>SUM(O598:O598)</f>
        <v>118.62256248</v>
      </c>
    </row>
    <row r="598" spans="1:15" ht="25.15" customHeight="1">
      <c r="A598" s="32"/>
      <c r="B598" s="854" t="s">
        <v>57</v>
      </c>
      <c r="C598" s="854"/>
      <c r="D598" s="33" t="s">
        <v>51</v>
      </c>
      <c r="E598" s="34">
        <v>1.129416</v>
      </c>
      <c r="F598" s="238">
        <f>SUMIF('Cjenik RS'!$C$11:$C$26,$B598,'Cjenik RS'!$D$11:$D$90)</f>
        <v>105.03</v>
      </c>
      <c r="G598" s="35">
        <f>+F598*E598</f>
        <v>118.62256248</v>
      </c>
      <c r="I598" s="32"/>
      <c r="J598" s="854" t="s">
        <v>57</v>
      </c>
      <c r="K598" s="854"/>
      <c r="L598" s="33" t="s">
        <v>51</v>
      </c>
      <c r="M598" s="34">
        <v>1.129416</v>
      </c>
      <c r="N598" s="238">
        <f>SUMIF('Cjenik RS'!$C$11:$C$26,$J598,'Cjenik RS'!$D$11:$D$90)</f>
        <v>105.03</v>
      </c>
      <c r="O598" s="35">
        <f>+N598*M598</f>
        <v>118.62256248</v>
      </c>
    </row>
    <row r="599" spans="1:15" ht="25.15" customHeight="1">
      <c r="A599" s="16"/>
      <c r="B599" s="837" t="str">
        <f>'Obrazac kalkulacije'!$B$11</f>
        <v>Vozila, strojevi i oprema:</v>
      </c>
      <c r="C599" s="837"/>
      <c r="D599" s="16"/>
      <c r="E599" s="16"/>
      <c r="F599" s="238"/>
      <c r="G599" s="18">
        <f>SUM(G600:G602)</f>
        <v>7.6277718767202565</v>
      </c>
      <c r="I599" s="16"/>
      <c r="J599" s="837" t="str">
        <f>'Obrazac kalkulacije'!$B$11</f>
        <v>Vozila, strojevi i oprema:</v>
      </c>
      <c r="K599" s="837"/>
      <c r="L599" s="16"/>
      <c r="M599" s="16"/>
      <c r="N599" s="238"/>
      <c r="O599" s="18">
        <f>SUM(O600:O602)</f>
        <v>10.084823460000001</v>
      </c>
    </row>
    <row r="600" spans="1:15" ht="25.15" customHeight="1">
      <c r="A600" s="51"/>
      <c r="B600" s="849" t="s">
        <v>69</v>
      </c>
      <c r="C600" s="849"/>
      <c r="D600" s="52" t="s">
        <v>51</v>
      </c>
      <c r="E600" s="86">
        <v>2.5273311897106108E-2</v>
      </c>
      <c r="F600" s="260">
        <f>SUMIF('Cjenik VSO'!$B$9:$B$85,$B600,'Cjenik VSO'!$C$9:$C$85)</f>
        <v>179.6</v>
      </c>
      <c r="G600" s="54">
        <f>E600*F600</f>
        <v>4.5390868167202569</v>
      </c>
      <c r="I600" s="51"/>
      <c r="J600" s="849" t="s">
        <v>69</v>
      </c>
      <c r="K600" s="849"/>
      <c r="L600" s="52" t="s">
        <v>51</v>
      </c>
      <c r="M600" s="135">
        <v>3.8954000000000003E-2</v>
      </c>
      <c r="N600" s="260">
        <f>SUMIF('Cjenik VSO'!$B$9:$B$85,$B600,'Cjenik VSO'!$C$9:$C$85)</f>
        <v>179.6</v>
      </c>
      <c r="O600" s="54">
        <f>M600*N600</f>
        <v>6.9961384000000004</v>
      </c>
    </row>
    <row r="601" spans="1:15" ht="25.15" customHeight="1">
      <c r="A601" s="56"/>
      <c r="B601" s="839" t="s">
        <v>71</v>
      </c>
      <c r="C601" s="839"/>
      <c r="D601" s="57" t="s">
        <v>51</v>
      </c>
      <c r="E601" s="136">
        <v>2.3817999999999999E-2</v>
      </c>
      <c r="F601" s="263">
        <f>SUMIF('Cjenik VSO'!$B$9:$B$85,$B601,'Cjenik VSO'!$C$9:$C$85)</f>
        <v>102.17</v>
      </c>
      <c r="G601" s="59">
        <f>E601*F601</f>
        <v>2.4334850599999998</v>
      </c>
      <c r="I601" s="56"/>
      <c r="J601" s="839" t="s">
        <v>71</v>
      </c>
      <c r="K601" s="839"/>
      <c r="L601" s="57" t="s">
        <v>51</v>
      </c>
      <c r="M601" s="136">
        <v>2.3817999999999999E-2</v>
      </c>
      <c r="N601" s="263">
        <f>SUMIF('Cjenik VSO'!$B$9:$B$85,$B601,'Cjenik VSO'!$C$9:$C$85)</f>
        <v>102.17</v>
      </c>
      <c r="O601" s="59">
        <f>M601*N601</f>
        <v>2.4334850599999998</v>
      </c>
    </row>
    <row r="602" spans="1:15" ht="25.15" customHeight="1">
      <c r="A602" s="98"/>
      <c r="B602" s="875" t="s">
        <v>200</v>
      </c>
      <c r="C602" s="875"/>
      <c r="D602" s="57" t="s">
        <v>51</v>
      </c>
      <c r="E602" s="75">
        <v>0.03</v>
      </c>
      <c r="F602" s="263">
        <f>SUMIF('Cjenik VSO'!$B$9:$B$85,$B602,'Cjenik VSO'!$C$9:$C$85)</f>
        <v>21.84</v>
      </c>
      <c r="G602" s="60">
        <f>E602*F602</f>
        <v>0.6552</v>
      </c>
      <c r="I602" s="98"/>
      <c r="J602" s="875" t="s">
        <v>200</v>
      </c>
      <c r="K602" s="875"/>
      <c r="L602" s="57" t="s">
        <v>51</v>
      </c>
      <c r="M602" s="75">
        <v>0.03</v>
      </c>
      <c r="N602" s="263">
        <f>SUMIF('Cjenik VSO'!$B$9:$B$85,$B602,'Cjenik VSO'!$C$9:$C$85)</f>
        <v>21.84</v>
      </c>
      <c r="O602" s="60">
        <f>M602*N602</f>
        <v>0.6552</v>
      </c>
    </row>
    <row r="603" spans="1:15" ht="25.15" customHeight="1">
      <c r="A603" s="16"/>
      <c r="B603" s="837" t="str">
        <f>'Obrazac kalkulacije'!$B$15</f>
        <v>Materijali:</v>
      </c>
      <c r="C603" s="837"/>
      <c r="D603" s="16"/>
      <c r="E603" s="16"/>
      <c r="F603" s="238"/>
      <c r="G603" s="18">
        <f>SUM(G604:G605)</f>
        <v>0</v>
      </c>
      <c r="I603" s="16"/>
      <c r="J603" s="837" t="str">
        <f>'Obrazac kalkulacije'!$B$15</f>
        <v>Materijali:</v>
      </c>
      <c r="K603" s="837"/>
      <c r="L603" s="16"/>
      <c r="M603" s="16"/>
      <c r="N603" s="238"/>
      <c r="O603" s="18">
        <f>SUM(O604:O605)</f>
        <v>0</v>
      </c>
    </row>
    <row r="604" spans="1:15" ht="25.15" customHeight="1">
      <c r="A604" s="51"/>
      <c r="B604" s="863">
        <f>'Cjenik M'!$B$31</f>
        <v>0</v>
      </c>
      <c r="C604" s="863"/>
      <c r="D604" s="52">
        <f>'Cjenik M'!$C$31</f>
        <v>0</v>
      </c>
      <c r="E604" s="53">
        <v>1.0151E-2</v>
      </c>
      <c r="F604" s="260">
        <f>'Cjenik M'!$D$31</f>
        <v>0</v>
      </c>
      <c r="G604" s="55">
        <f>E604*F604</f>
        <v>0</v>
      </c>
      <c r="I604" s="51"/>
      <c r="J604" s="863">
        <f>'Cjenik M'!$B$31</f>
        <v>0</v>
      </c>
      <c r="K604" s="863"/>
      <c r="L604" s="52">
        <f>'Cjenik M'!$C$31</f>
        <v>0</v>
      </c>
      <c r="M604" s="53">
        <v>1.0151E-2</v>
      </c>
      <c r="N604" s="260">
        <f>'Cjenik M'!$D$31</f>
        <v>0</v>
      </c>
      <c r="O604" s="55">
        <f>M604*N604</f>
        <v>0</v>
      </c>
    </row>
    <row r="605" spans="1:15" ht="25.15" customHeight="1" thickBot="1">
      <c r="A605" s="66"/>
      <c r="B605" s="859">
        <f>'Cjenik M'!$B$35</f>
        <v>0</v>
      </c>
      <c r="C605" s="859"/>
      <c r="D605" s="67">
        <f>'Cjenik M'!$C$35</f>
        <v>0</v>
      </c>
      <c r="E605" s="68">
        <v>0.12</v>
      </c>
      <c r="F605" s="262">
        <f>'Cjenik M'!$D$35</f>
        <v>0</v>
      </c>
      <c r="G605" s="70">
        <f>E605*F605</f>
        <v>0</v>
      </c>
      <c r="I605" s="66"/>
      <c r="J605" s="859">
        <f>'Cjenik M'!$B$35</f>
        <v>0</v>
      </c>
      <c r="K605" s="859"/>
      <c r="L605" s="67">
        <f>'Cjenik M'!$C$35</f>
        <v>0</v>
      </c>
      <c r="M605" s="68">
        <v>0.12</v>
      </c>
      <c r="N605" s="262">
        <f>'Cjenik M'!$D$35</f>
        <v>0</v>
      </c>
      <c r="O605" s="70">
        <f>M605*N605</f>
        <v>0</v>
      </c>
    </row>
    <row r="606" spans="1:15" ht="25.15" customHeight="1" thickTop="1" thickBot="1">
      <c r="B606" s="47"/>
      <c r="C606" s="24"/>
      <c r="D606" s="25"/>
      <c r="E606" s="850" t="str">
        <f>'Obrazac kalkulacije'!$E$18</f>
        <v>Ukupno (kn):</v>
      </c>
      <c r="F606" s="850"/>
      <c r="G606" s="26">
        <f>ROUND(SUM(G597+G599+G603),2)</f>
        <v>126.25</v>
      </c>
      <c r="H606" s="269" t="e">
        <f>SUMIF(#REF!,$B593,#REF!)</f>
        <v>#REF!</v>
      </c>
      <c r="J606" s="47"/>
      <c r="K606" s="24"/>
      <c r="L606" s="25"/>
      <c r="M606" s="850" t="str">
        <f>'Obrazac kalkulacije'!$E$18</f>
        <v>Ukupno (kn):</v>
      </c>
      <c r="N606" s="850"/>
      <c r="O606" s="26">
        <f>ROUND(SUM(O597+O599+O603),2)</f>
        <v>128.71</v>
      </c>
    </row>
    <row r="607" spans="1:15" ht="25.15" customHeight="1" thickTop="1" thickBot="1">
      <c r="E607" s="27" t="str">
        <f>'Obrazac kalkulacije'!$E$19</f>
        <v>PDV:</v>
      </c>
      <c r="F607" s="259">
        <f>'Obrazac kalkulacije'!$F$19</f>
        <v>0.25</v>
      </c>
      <c r="G607" s="29">
        <f>G606*F607</f>
        <v>31.5625</v>
      </c>
      <c r="H607" s="270" t="e">
        <f>H606-G606</f>
        <v>#REF!</v>
      </c>
      <c r="M607" s="27" t="str">
        <f>'Obrazac kalkulacije'!$E$19</f>
        <v>PDV:</v>
      </c>
      <c r="N607" s="259">
        <f>'Obrazac kalkulacije'!$F$19</f>
        <v>0.25</v>
      </c>
      <c r="O607" s="29">
        <f>O606*N607</f>
        <v>32.177500000000002</v>
      </c>
    </row>
    <row r="608" spans="1:15" ht="25.15" customHeight="1" thickTop="1" thickBot="1">
      <c r="E608" s="840" t="str">
        <f>'Obrazac kalkulacije'!$E$20</f>
        <v>Sveukupno (kn):</v>
      </c>
      <c r="F608" s="840"/>
      <c r="G608" s="29">
        <f>ROUND(SUM(G606:G607),2)</f>
        <v>157.81</v>
      </c>
      <c r="H608" s="271" t="e">
        <f>G600+H607</f>
        <v>#REF!</v>
      </c>
      <c r="M608" s="840" t="str">
        <f>'Obrazac kalkulacije'!$E$20</f>
        <v>Sveukupno (kn):</v>
      </c>
      <c r="N608" s="840"/>
      <c r="O608" s="29">
        <f>ROUND(SUM(O606:O607),2)</f>
        <v>160.88999999999999</v>
      </c>
    </row>
    <row r="609" spans="1:15" ht="15" customHeight="1" thickTop="1"/>
    <row r="610" spans="1:15" ht="15" customHeight="1"/>
    <row r="611" spans="1:15" ht="15" customHeight="1"/>
    <row r="612" spans="1:15" ht="15" customHeight="1">
      <c r="C612" s="3" t="str">
        <f>'Obrazac kalkulacije'!$C$24</f>
        <v>IZVODITELJ:</v>
      </c>
      <c r="F612" s="841" t="str">
        <f>'Obrazac kalkulacije'!$F$24</f>
        <v>NARUČITELJ:</v>
      </c>
      <c r="G612" s="841"/>
      <c r="K612" s="3" t="str">
        <f>'Obrazac kalkulacije'!$C$24</f>
        <v>IZVODITELJ:</v>
      </c>
      <c r="N612" s="841" t="str">
        <f>'Obrazac kalkulacije'!$F$24</f>
        <v>NARUČITELJ:</v>
      </c>
      <c r="O612" s="841"/>
    </row>
    <row r="613" spans="1:15" ht="25.15" customHeight="1">
      <c r="C613" s="3" t="str">
        <f>'Obrazac kalkulacije'!$C$25</f>
        <v>__________________</v>
      </c>
      <c r="F613" s="841" t="str">
        <f>'Obrazac kalkulacije'!$F$25</f>
        <v>___________________</v>
      </c>
      <c r="G613" s="841"/>
      <c r="K613" s="3" t="str">
        <f>'Obrazac kalkulacije'!$C$25</f>
        <v>__________________</v>
      </c>
      <c r="N613" s="841" t="str">
        <f>'Obrazac kalkulacije'!$F$25</f>
        <v>___________________</v>
      </c>
      <c r="O613" s="841"/>
    </row>
    <row r="614" spans="1:15" ht="15" customHeight="1">
      <c r="F614" s="841"/>
      <c r="G614" s="841"/>
      <c r="N614" s="841"/>
      <c r="O614" s="841"/>
    </row>
    <row r="615" spans="1:15" ht="15" customHeight="1"/>
    <row r="616" spans="1:15" ht="15" customHeight="1">
      <c r="A616" s="144"/>
      <c r="B616" s="145" t="s">
        <v>31</v>
      </c>
      <c r="C616" s="836" t="s">
        <v>261</v>
      </c>
      <c r="D616" s="836"/>
      <c r="E616" s="836"/>
      <c r="F616" s="836"/>
      <c r="G616" s="836"/>
      <c r="I616" s="144"/>
      <c r="J616" s="145" t="s">
        <v>31</v>
      </c>
      <c r="K616" s="836" t="s">
        <v>261</v>
      </c>
      <c r="L616" s="836"/>
      <c r="M616" s="836"/>
      <c r="N616" s="836"/>
      <c r="O616" s="836"/>
    </row>
    <row r="617" spans="1:15" ht="15" customHeight="1">
      <c r="A617" s="38"/>
      <c r="B617" s="39" t="s">
        <v>326</v>
      </c>
      <c r="C617" s="860" t="s">
        <v>327</v>
      </c>
      <c r="D617" s="860"/>
      <c r="E617" s="860"/>
      <c r="F617" s="860"/>
      <c r="G617" s="860"/>
      <c r="I617" s="38"/>
      <c r="J617" s="39" t="s">
        <v>326</v>
      </c>
      <c r="K617" s="860" t="s">
        <v>327</v>
      </c>
      <c r="L617" s="860"/>
      <c r="M617" s="860"/>
      <c r="N617" s="860"/>
      <c r="O617" s="860"/>
    </row>
    <row r="618" spans="1:15" ht="150" customHeight="1">
      <c r="A618" s="40"/>
      <c r="B618" s="556" t="s">
        <v>337</v>
      </c>
      <c r="C618" s="852" t="s">
        <v>338</v>
      </c>
      <c r="D618" s="852"/>
      <c r="E618" s="852"/>
      <c r="F618" s="852"/>
      <c r="G618" s="852"/>
      <c r="I618" s="40"/>
      <c r="J618" s="41" t="s">
        <v>337</v>
      </c>
      <c r="K618" s="869" t="s">
        <v>339</v>
      </c>
      <c r="L618" s="869"/>
      <c r="M618" s="869"/>
      <c r="N618" s="869"/>
      <c r="O618" s="869"/>
    </row>
    <row r="619" spans="1:15" ht="15" customHeight="1" thickBot="1"/>
    <row r="620" spans="1:15" ht="30" customHeight="1" thickTop="1" thickBot="1">
      <c r="A620" s="10"/>
      <c r="B620" s="835" t="str">
        <f>'Obrazac kalkulacije'!$B$6:$C$6</f>
        <v>Opis</v>
      </c>
      <c r="C620" s="835"/>
      <c r="D620" s="10" t="str">
        <f>'Obrazac kalkulacije'!$D$6</f>
        <v>Jed.
mjere</v>
      </c>
      <c r="E620" s="10" t="str">
        <f>'Obrazac kalkulacije'!$E$6</f>
        <v>Normativ</v>
      </c>
      <c r="F620" s="10" t="str">
        <f>'Obrazac kalkulacije'!$F$6</f>
        <v>Jed.
cijena</v>
      </c>
      <c r="G620" s="10" t="str">
        <f>'Obrazac kalkulacije'!$G$6</f>
        <v>Iznos</v>
      </c>
      <c r="I620" s="10"/>
      <c r="J620" s="835" t="e">
        <f>'Obrazac kalkulacije'!$B$6:$C$6</f>
        <v>#VALUE!</v>
      </c>
      <c r="K620" s="835"/>
      <c r="L620" s="10" t="str">
        <f>'Obrazac kalkulacije'!$D$6</f>
        <v>Jed.
mjere</v>
      </c>
      <c r="M620" s="10" t="str">
        <f>'Obrazac kalkulacije'!$E$6</f>
        <v>Normativ</v>
      </c>
      <c r="N620" s="10" t="str">
        <f>'Obrazac kalkulacije'!$F$6</f>
        <v>Jed.
cijena</v>
      </c>
      <c r="O620" s="10" t="str">
        <f>'Obrazac kalkulacije'!$G$6</f>
        <v>Iznos</v>
      </c>
    </row>
    <row r="621" spans="1:15" ht="4.5" customHeight="1" thickTop="1">
      <c r="B621" s="42"/>
      <c r="C621" s="1"/>
      <c r="D621" s="11"/>
      <c r="E621" s="13"/>
      <c r="F621" s="258"/>
      <c r="G621" s="15"/>
      <c r="J621" s="42"/>
      <c r="K621" s="1"/>
      <c r="L621" s="11"/>
      <c r="M621" s="13"/>
      <c r="N621" s="258"/>
      <c r="O621" s="15"/>
    </row>
    <row r="622" spans="1:15" ht="25.15" customHeight="1">
      <c r="A622" s="16"/>
      <c r="B622" s="837" t="str">
        <f>'Obrazac kalkulacije'!$B$8</f>
        <v>Radna snaga:</v>
      </c>
      <c r="C622" s="837"/>
      <c r="D622" s="16"/>
      <c r="E622" s="16"/>
      <c r="F622" s="44"/>
      <c r="G622" s="18">
        <f>SUM(G623:G623)</f>
        <v>61.645257899999997</v>
      </c>
      <c r="I622" s="16"/>
      <c r="J622" s="837" t="str">
        <f>'Obrazac kalkulacije'!$B$8</f>
        <v>Radna snaga:</v>
      </c>
      <c r="K622" s="837"/>
      <c r="L622" s="16"/>
      <c r="M622" s="16"/>
      <c r="N622" s="44"/>
      <c r="O622" s="18">
        <f>SUM(O623:O623)</f>
        <v>61.645257899999997</v>
      </c>
    </row>
    <row r="623" spans="1:15" ht="25.15" customHeight="1">
      <c r="A623" s="32"/>
      <c r="B623" s="854" t="s">
        <v>57</v>
      </c>
      <c r="C623" s="854"/>
      <c r="D623" s="33" t="s">
        <v>51</v>
      </c>
      <c r="E623" s="34">
        <v>0.58692999999999995</v>
      </c>
      <c r="F623" s="238">
        <f>SUMIF('Cjenik RS'!$C$11:$C$26,$B623,'Cjenik RS'!$D$11:$D$90)</f>
        <v>105.03</v>
      </c>
      <c r="G623" s="35">
        <f>E623*F623</f>
        <v>61.645257899999997</v>
      </c>
      <c r="H623" s="2">
        <f>32/E623</f>
        <v>54.520982059189343</v>
      </c>
      <c r="I623" s="32"/>
      <c r="J623" s="854" t="s">
        <v>57</v>
      </c>
      <c r="K623" s="854"/>
      <c r="L623" s="33" t="s">
        <v>51</v>
      </c>
      <c r="M623" s="34">
        <v>0.58692999999999995</v>
      </c>
      <c r="N623" s="238">
        <f>SUMIF('Cjenik RS'!$C$11:$C$26,$J623,'Cjenik RS'!$D$11:$D$90)</f>
        <v>105.03</v>
      </c>
      <c r="O623" s="35">
        <f>M623*N623</f>
        <v>61.645257899999997</v>
      </c>
    </row>
    <row r="624" spans="1:15" ht="25.15" customHeight="1">
      <c r="A624" s="16"/>
      <c r="B624" s="837" t="str">
        <f>'Obrazac kalkulacije'!$B$11</f>
        <v>Vozila, strojevi i oprema:</v>
      </c>
      <c r="C624" s="837"/>
      <c r="D624" s="16"/>
      <c r="E624" s="16"/>
      <c r="F624" s="238"/>
      <c r="G624" s="18">
        <f>SUM(G625)</f>
        <v>6.0710687830687844</v>
      </c>
      <c r="I624" s="16"/>
      <c r="J624" s="837" t="str">
        <f>'Obrazac kalkulacije'!$B$11</f>
        <v>Vozila, strojevi i oprema:</v>
      </c>
      <c r="K624" s="837"/>
      <c r="L624" s="16"/>
      <c r="M624" s="16"/>
      <c r="N624" s="238"/>
      <c r="O624" s="18">
        <f>SUM(O625)</f>
        <v>6.1552920000000011</v>
      </c>
    </row>
    <row r="625" spans="1:15" ht="25.15" customHeight="1">
      <c r="A625" s="16"/>
      <c r="B625" s="838" t="s">
        <v>73</v>
      </c>
      <c r="C625" s="838"/>
      <c r="D625" s="44" t="s">
        <v>51</v>
      </c>
      <c r="E625" s="45">
        <v>2.0811287477954146E-2</v>
      </c>
      <c r="F625" s="260">
        <f>SUMIF('Cjenik VSO'!$B$9:$B$85,$B625,'Cjenik VSO'!$C$9:$C$85)</f>
        <v>291.72000000000003</v>
      </c>
      <c r="G625" s="46">
        <f>E625*F625</f>
        <v>6.0710687830687844</v>
      </c>
      <c r="I625" s="16"/>
      <c r="J625" s="838" t="s">
        <v>73</v>
      </c>
      <c r="K625" s="838"/>
      <c r="L625" s="44" t="s">
        <v>51</v>
      </c>
      <c r="M625" s="45">
        <v>2.1100000000000001E-2</v>
      </c>
      <c r="N625" s="260">
        <f>SUMIF('Cjenik VSO'!$B$9:$B$85,$B625,'Cjenik VSO'!$C$9:$C$85)</f>
        <v>291.72000000000003</v>
      </c>
      <c r="O625" s="46">
        <f>M625*N625</f>
        <v>6.1552920000000011</v>
      </c>
    </row>
    <row r="626" spans="1:15" ht="25.15" customHeight="1">
      <c r="A626" s="16"/>
      <c r="B626" s="837" t="str">
        <f>'Obrazac kalkulacije'!$B$15</f>
        <v>Materijali:</v>
      </c>
      <c r="C626" s="837"/>
      <c r="D626" s="16"/>
      <c r="E626" s="16"/>
      <c r="F626" s="238"/>
      <c r="G626" s="18">
        <f>SUM(G627:G629)</f>
        <v>0</v>
      </c>
      <c r="I626" s="16"/>
      <c r="J626" s="837" t="str">
        <f>'Obrazac kalkulacije'!$B$15</f>
        <v>Materijali:</v>
      </c>
      <c r="K626" s="837"/>
      <c r="L626" s="16"/>
      <c r="M626" s="16"/>
      <c r="N626" s="238"/>
      <c r="O626" s="18">
        <f>SUM(O627:O629)</f>
        <v>0</v>
      </c>
    </row>
    <row r="627" spans="1:15" ht="25.15" customHeight="1">
      <c r="A627" s="51"/>
      <c r="B627" s="863">
        <f>'Cjenik M'!$B$33</f>
        <v>0</v>
      </c>
      <c r="C627" s="863"/>
      <c r="D627" s="52">
        <f>'Cjenik M'!$C$33</f>
        <v>0</v>
      </c>
      <c r="E627" s="53">
        <v>7.0000000000000007E-2</v>
      </c>
      <c r="F627" s="260">
        <f>'Cjenik M'!$D$33</f>
        <v>0</v>
      </c>
      <c r="G627" s="55">
        <f>E627*F627</f>
        <v>0</v>
      </c>
      <c r="I627" s="51"/>
      <c r="J627" s="863">
        <f>'Cjenik M'!$B$33</f>
        <v>0</v>
      </c>
      <c r="K627" s="863"/>
      <c r="L627" s="52">
        <f>'Cjenik M'!$C$33</f>
        <v>0</v>
      </c>
      <c r="M627" s="53">
        <v>7.0000000000000007E-2</v>
      </c>
      <c r="N627" s="260">
        <f>'Cjenik M'!$D$33</f>
        <v>0</v>
      </c>
      <c r="O627" s="55">
        <f>M627*N627</f>
        <v>0</v>
      </c>
    </row>
    <row r="628" spans="1:15" ht="25.15" customHeight="1">
      <c r="A628" s="56"/>
      <c r="B628" s="834">
        <f>'Cjenik M'!$B$36</f>
        <v>0</v>
      </c>
      <c r="C628" s="834"/>
      <c r="D628" s="57">
        <f>'Cjenik M'!$C$36</f>
        <v>0</v>
      </c>
      <c r="E628" s="58">
        <v>1.05</v>
      </c>
      <c r="F628" s="263">
        <f>'Cjenik M'!$D$36</f>
        <v>0</v>
      </c>
      <c r="G628" s="60">
        <f>E628*F628</f>
        <v>0</v>
      </c>
      <c r="I628" s="56"/>
      <c r="J628" s="834">
        <f>'Cjenik M'!$B$36</f>
        <v>0</v>
      </c>
      <c r="K628" s="834"/>
      <c r="L628" s="57">
        <f>'Cjenik M'!$C$36</f>
        <v>0</v>
      </c>
      <c r="M628" s="58">
        <v>1.05</v>
      </c>
      <c r="N628" s="263">
        <f>'Cjenik M'!$D$36</f>
        <v>0</v>
      </c>
      <c r="O628" s="60">
        <f>M628*N628</f>
        <v>0</v>
      </c>
    </row>
    <row r="629" spans="1:15" ht="25.15" customHeight="1" thickBot="1">
      <c r="A629" s="66"/>
      <c r="B629" s="859">
        <f>'Cjenik M'!$B$82</f>
        <v>0</v>
      </c>
      <c r="C629" s="859"/>
      <c r="D629" s="67">
        <f>'Cjenik M'!$C$82</f>
        <v>0</v>
      </c>
      <c r="E629" s="68">
        <v>2E-3</v>
      </c>
      <c r="F629" s="262">
        <f>'Cjenik M'!$D$82</f>
        <v>0</v>
      </c>
      <c r="G629" s="70">
        <f>E629*F629</f>
        <v>0</v>
      </c>
      <c r="I629" s="66"/>
      <c r="J629" s="859">
        <f>'Cjenik M'!$B$82</f>
        <v>0</v>
      </c>
      <c r="K629" s="859"/>
      <c r="L629" s="67">
        <f>'Cjenik M'!$C$82</f>
        <v>0</v>
      </c>
      <c r="M629" s="68">
        <v>2E-3</v>
      </c>
      <c r="N629" s="262">
        <f>'Cjenik M'!$D$82</f>
        <v>0</v>
      </c>
      <c r="O629" s="70">
        <f>M629*N629</f>
        <v>0</v>
      </c>
    </row>
    <row r="630" spans="1:15" ht="25.15" customHeight="1" thickTop="1" thickBot="1">
      <c r="B630" s="47"/>
      <c r="C630" s="24"/>
      <c r="D630" s="25"/>
      <c r="E630" s="850" t="str">
        <f>'Obrazac kalkulacije'!$E$18</f>
        <v>Ukupno (kn):</v>
      </c>
      <c r="F630" s="850"/>
      <c r="G630" s="26">
        <f>ROUND(SUM(G622+G624+G626),2)</f>
        <v>67.72</v>
      </c>
      <c r="H630" s="269" t="e">
        <f>SUMIF(#REF!,$B618,#REF!)</f>
        <v>#REF!</v>
      </c>
      <c r="J630" s="47"/>
      <c r="K630" s="24"/>
      <c r="L630" s="25"/>
      <c r="M630" s="850" t="str">
        <f>'Obrazac kalkulacije'!$E$18</f>
        <v>Ukupno (kn):</v>
      </c>
      <c r="N630" s="850"/>
      <c r="O630" s="26">
        <f>ROUND(SUM(O622+O624+O626),2)</f>
        <v>67.8</v>
      </c>
    </row>
    <row r="631" spans="1:15" ht="25.15" customHeight="1" thickTop="1" thickBot="1">
      <c r="E631" s="27" t="str">
        <f>'Obrazac kalkulacije'!$E$19</f>
        <v>PDV:</v>
      </c>
      <c r="F631" s="259">
        <f>'Obrazac kalkulacije'!$F$19</f>
        <v>0.25</v>
      </c>
      <c r="G631" s="29">
        <f>G630*F631</f>
        <v>16.93</v>
      </c>
      <c r="H631" s="270" t="e">
        <f>H630-G630</f>
        <v>#REF!</v>
      </c>
      <c r="M631" s="27" t="str">
        <f>'Obrazac kalkulacije'!$E$19</f>
        <v>PDV:</v>
      </c>
      <c r="N631" s="259">
        <f>'Obrazac kalkulacije'!$F$19</f>
        <v>0.25</v>
      </c>
      <c r="O631" s="29">
        <f>O630*N631</f>
        <v>16.95</v>
      </c>
    </row>
    <row r="632" spans="1:15" ht="25.15" customHeight="1" thickTop="1" thickBot="1">
      <c r="E632" s="840" t="str">
        <f>'Obrazac kalkulacije'!$E$20</f>
        <v>Sveukupno (kn):</v>
      </c>
      <c r="F632" s="840"/>
      <c r="G632" s="29">
        <f>ROUND(SUM(G630:G631),2)</f>
        <v>84.65</v>
      </c>
      <c r="H632" s="271" t="e">
        <f>G624+H631</f>
        <v>#REF!</v>
      </c>
      <c r="M632" s="840" t="str">
        <f>'Obrazac kalkulacije'!$E$20</f>
        <v>Sveukupno (kn):</v>
      </c>
      <c r="N632" s="840"/>
      <c r="O632" s="29">
        <f>ROUND(SUM(O630:O631),2)</f>
        <v>84.75</v>
      </c>
    </row>
    <row r="633" spans="1:15" ht="15" customHeight="1" thickTop="1"/>
    <row r="634" spans="1:15" ht="15" customHeight="1"/>
    <row r="635" spans="1:15" ht="15" customHeight="1"/>
    <row r="636" spans="1:15" ht="15" customHeight="1">
      <c r="C636" s="3" t="str">
        <f>'Obrazac kalkulacije'!$C$24</f>
        <v>IZVODITELJ:</v>
      </c>
      <c r="F636" s="841" t="str">
        <f>'Obrazac kalkulacije'!$F$24</f>
        <v>NARUČITELJ:</v>
      </c>
      <c r="G636" s="841"/>
      <c r="K636" s="3" t="str">
        <f>'Obrazac kalkulacije'!$C$24</f>
        <v>IZVODITELJ:</v>
      </c>
      <c r="N636" s="841" t="str">
        <f>'Obrazac kalkulacije'!$F$24</f>
        <v>NARUČITELJ:</v>
      </c>
      <c r="O636" s="841"/>
    </row>
    <row r="637" spans="1:15" ht="25.15" customHeight="1">
      <c r="C637" s="3" t="str">
        <f>'Obrazac kalkulacije'!$C$25</f>
        <v>__________________</v>
      </c>
      <c r="F637" s="841" t="str">
        <f>'Obrazac kalkulacije'!$F$25</f>
        <v>___________________</v>
      </c>
      <c r="G637" s="841"/>
      <c r="K637" s="3" t="str">
        <f>'Obrazac kalkulacije'!$C$25</f>
        <v>__________________</v>
      </c>
      <c r="N637" s="841" t="str">
        <f>'Obrazac kalkulacije'!$F$25</f>
        <v>___________________</v>
      </c>
      <c r="O637" s="841"/>
    </row>
    <row r="638" spans="1:15" ht="15" customHeight="1">
      <c r="F638" s="841"/>
      <c r="G638" s="841"/>
      <c r="N638" s="841"/>
      <c r="O638" s="841"/>
    </row>
    <row r="639" spans="1:15" ht="15" customHeight="1"/>
    <row r="640" spans="1:15" ht="15" customHeight="1">
      <c r="A640" s="144"/>
      <c r="B640" s="145" t="s">
        <v>31</v>
      </c>
      <c r="C640" s="836" t="s">
        <v>261</v>
      </c>
      <c r="D640" s="836"/>
      <c r="E640" s="836"/>
      <c r="F640" s="836"/>
      <c r="G640" s="836"/>
      <c r="I640" s="144"/>
      <c r="J640" s="145" t="s">
        <v>31</v>
      </c>
      <c r="K640" s="836" t="s">
        <v>261</v>
      </c>
      <c r="L640" s="836"/>
      <c r="M640" s="836"/>
      <c r="N640" s="836"/>
      <c r="O640" s="836"/>
    </row>
    <row r="641" spans="1:15" ht="15" customHeight="1">
      <c r="A641" s="38"/>
      <c r="B641" s="39" t="s">
        <v>326</v>
      </c>
      <c r="C641" s="860" t="s">
        <v>327</v>
      </c>
      <c r="D641" s="860"/>
      <c r="E641" s="860"/>
      <c r="F641" s="860"/>
      <c r="G641" s="860"/>
      <c r="I641" s="38"/>
      <c r="J641" s="39" t="s">
        <v>326</v>
      </c>
      <c r="K641" s="860" t="s">
        <v>327</v>
      </c>
      <c r="L641" s="860"/>
      <c r="M641" s="860"/>
      <c r="N641" s="860"/>
      <c r="O641" s="860"/>
    </row>
    <row r="642" spans="1:15" ht="150" customHeight="1">
      <c r="A642" s="40"/>
      <c r="B642" s="556" t="s">
        <v>340</v>
      </c>
      <c r="C642" s="852" t="s">
        <v>341</v>
      </c>
      <c r="D642" s="852"/>
      <c r="E642" s="852"/>
      <c r="F642" s="852"/>
      <c r="G642" s="852"/>
      <c r="I642" s="40"/>
      <c r="J642" s="41" t="s">
        <v>340</v>
      </c>
      <c r="K642" s="869" t="s">
        <v>342</v>
      </c>
      <c r="L642" s="869"/>
      <c r="M642" s="869"/>
      <c r="N642" s="869"/>
      <c r="O642" s="869"/>
    </row>
    <row r="643" spans="1:15" ht="15" customHeight="1" thickBot="1"/>
    <row r="644" spans="1:15" ht="30" customHeight="1" thickTop="1" thickBot="1">
      <c r="A644" s="10"/>
      <c r="B644" s="835" t="str">
        <f>'Obrazac kalkulacije'!$B$6:$C$6</f>
        <v>Opis</v>
      </c>
      <c r="C644" s="835"/>
      <c r="D644" s="10" t="str">
        <f>'Obrazac kalkulacije'!$D$6</f>
        <v>Jed.
mjere</v>
      </c>
      <c r="E644" s="10" t="str">
        <f>'Obrazac kalkulacije'!$E$6</f>
        <v>Normativ</v>
      </c>
      <c r="F644" s="10" t="str">
        <f>'Obrazac kalkulacije'!$F$6</f>
        <v>Jed.
cijena</v>
      </c>
      <c r="G644" s="10" t="str">
        <f>'Obrazac kalkulacije'!$G$6</f>
        <v>Iznos</v>
      </c>
      <c r="I644" s="10"/>
      <c r="J644" s="835" t="e">
        <f>'Obrazac kalkulacije'!$B$6:$C$6</f>
        <v>#VALUE!</v>
      </c>
      <c r="K644" s="835"/>
      <c r="L644" s="10" t="str">
        <f>'Obrazac kalkulacije'!$D$6</f>
        <v>Jed.
mjere</v>
      </c>
      <c r="M644" s="10" t="str">
        <f>'Obrazac kalkulacije'!$E$6</f>
        <v>Normativ</v>
      </c>
      <c r="N644" s="10" t="str">
        <f>'Obrazac kalkulacije'!$F$6</f>
        <v>Jed.
cijena</v>
      </c>
      <c r="O644" s="10" t="str">
        <f>'Obrazac kalkulacije'!$G$6</f>
        <v>Iznos</v>
      </c>
    </row>
    <row r="645" spans="1:15" ht="4.5" customHeight="1" thickTop="1">
      <c r="B645" s="42"/>
      <c r="C645" s="1"/>
      <c r="D645" s="11"/>
      <c r="E645" s="13"/>
      <c r="F645" s="258"/>
      <c r="G645" s="15"/>
      <c r="J645" s="42"/>
      <c r="K645" s="1"/>
      <c r="L645" s="11"/>
      <c r="M645" s="13"/>
      <c r="N645" s="258"/>
      <c r="O645" s="15"/>
    </row>
    <row r="646" spans="1:15" ht="25.15" customHeight="1">
      <c r="A646" s="16"/>
      <c r="B646" s="837" t="str">
        <f>'Obrazac kalkulacije'!$B$8</f>
        <v>Radna snaga:</v>
      </c>
      <c r="C646" s="837"/>
      <c r="D646" s="16"/>
      <c r="E646" s="16"/>
      <c r="F646" s="44"/>
      <c r="G646" s="18">
        <f>SUM(G647:G647)</f>
        <v>41.834814389999998</v>
      </c>
      <c r="I646" s="16"/>
      <c r="J646" s="837" t="str">
        <f>'Obrazac kalkulacije'!$B$8</f>
        <v>Radna snaga:</v>
      </c>
      <c r="K646" s="837"/>
      <c r="L646" s="16"/>
      <c r="M646" s="16"/>
      <c r="N646" s="44"/>
      <c r="O646" s="18">
        <f>SUM(O647:O647)</f>
        <v>41.834814389999998</v>
      </c>
    </row>
    <row r="647" spans="1:15" ht="25.15" customHeight="1">
      <c r="A647" s="32"/>
      <c r="B647" s="854" t="s">
        <v>57</v>
      </c>
      <c r="C647" s="854"/>
      <c r="D647" s="33" t="s">
        <v>51</v>
      </c>
      <c r="E647" s="34">
        <v>0.39831299999999997</v>
      </c>
      <c r="F647" s="238">
        <f>SUMIF('Cjenik RS'!$C$11:$C$26,$B647,'Cjenik RS'!$D$11:$D$90)</f>
        <v>105.03</v>
      </c>
      <c r="G647" s="35">
        <f>E647*F647</f>
        <v>41.834814389999998</v>
      </c>
      <c r="I647" s="32"/>
      <c r="J647" s="854" t="s">
        <v>57</v>
      </c>
      <c r="K647" s="854"/>
      <c r="L647" s="33" t="s">
        <v>51</v>
      </c>
      <c r="M647" s="34">
        <v>0.39831299999999997</v>
      </c>
      <c r="N647" s="238">
        <f>SUMIF('Cjenik RS'!$C$11:$C$26,$J647,'Cjenik RS'!$D$11:$D$90)</f>
        <v>105.03</v>
      </c>
      <c r="O647" s="35">
        <f>M647*N647</f>
        <v>41.834814389999998</v>
      </c>
    </row>
    <row r="648" spans="1:15" ht="25.15" customHeight="1">
      <c r="A648" s="16"/>
      <c r="B648" s="837" t="str">
        <f>'Obrazac kalkulacije'!$B$11</f>
        <v>Vozila, strojevi i oprema:</v>
      </c>
      <c r="C648" s="837"/>
      <c r="D648" s="16"/>
      <c r="E648" s="16"/>
      <c r="F648" s="238"/>
      <c r="G648" s="18">
        <f>SUM(G649)</f>
        <v>1.9582399308929923</v>
      </c>
      <c r="I648" s="16"/>
      <c r="J648" s="837" t="str">
        <f>'Obrazac kalkulacije'!$B$11</f>
        <v>Vozila, strojevi i oprema:</v>
      </c>
      <c r="K648" s="837"/>
      <c r="L648" s="16"/>
      <c r="M648" s="16"/>
      <c r="N648" s="238"/>
      <c r="O648" s="18">
        <f>SUM(O649)</f>
        <v>1.9892386800000004</v>
      </c>
    </row>
    <row r="649" spans="1:15" ht="25.15" customHeight="1">
      <c r="A649" s="16"/>
      <c r="B649" s="838" t="s">
        <v>73</v>
      </c>
      <c r="C649" s="838"/>
      <c r="D649" s="44" t="s">
        <v>51</v>
      </c>
      <c r="E649" s="45">
        <v>6.7127380052550119E-3</v>
      </c>
      <c r="F649" s="260">
        <f>SUMIF('Cjenik VSO'!$B$9:$B$85,$B649,'Cjenik VSO'!$C$9:$C$85)</f>
        <v>291.72000000000003</v>
      </c>
      <c r="G649" s="46">
        <f>E649*F649</f>
        <v>1.9582399308929923</v>
      </c>
      <c r="I649" s="16"/>
      <c r="J649" s="838" t="s">
        <v>73</v>
      </c>
      <c r="K649" s="838"/>
      <c r="L649" s="44" t="s">
        <v>51</v>
      </c>
      <c r="M649" s="45">
        <v>6.8190000000000004E-3</v>
      </c>
      <c r="N649" s="260">
        <f>SUMIF('Cjenik VSO'!$B$9:$B$85,$B649,'Cjenik VSO'!$C$9:$C$85)</f>
        <v>291.72000000000003</v>
      </c>
      <c r="O649" s="46">
        <f>M649*N649</f>
        <v>1.9892386800000004</v>
      </c>
    </row>
    <row r="650" spans="1:15" ht="25.15" customHeight="1">
      <c r="A650" s="16"/>
      <c r="B650" s="837" t="str">
        <f>'Obrazac kalkulacije'!$B$15</f>
        <v>Materijali:</v>
      </c>
      <c r="C650" s="837"/>
      <c r="D650" s="16"/>
      <c r="E650" s="16"/>
      <c r="F650" s="238"/>
      <c r="G650" s="18">
        <f>SUM(G651:G653)</f>
        <v>0</v>
      </c>
      <c r="I650" s="16"/>
      <c r="J650" s="837" t="str">
        <f>'Obrazac kalkulacije'!$B$15</f>
        <v>Materijali:</v>
      </c>
      <c r="K650" s="837"/>
      <c r="L650" s="16"/>
      <c r="M650" s="16"/>
      <c r="N650" s="238"/>
      <c r="O650" s="18">
        <f>SUM(O651:O653)</f>
        <v>0</v>
      </c>
    </row>
    <row r="651" spans="1:15" ht="25.15" customHeight="1">
      <c r="A651" s="51"/>
      <c r="B651" s="863">
        <f>'Cjenik M'!$B$33</f>
        <v>0</v>
      </c>
      <c r="C651" s="863"/>
      <c r="D651" s="52">
        <f>'Cjenik M'!$C$33</f>
        <v>0</v>
      </c>
      <c r="E651" s="53">
        <v>0.05</v>
      </c>
      <c r="F651" s="260">
        <f>'Cjenik M'!$D$33</f>
        <v>0</v>
      </c>
      <c r="G651" s="55">
        <f>E651*F651</f>
        <v>0</v>
      </c>
      <c r="I651" s="51"/>
      <c r="J651" s="863">
        <f>'Cjenik M'!$B$33</f>
        <v>0</v>
      </c>
      <c r="K651" s="863"/>
      <c r="L651" s="52">
        <f>'Cjenik M'!$C$33</f>
        <v>0</v>
      </c>
      <c r="M651" s="53">
        <v>0.05</v>
      </c>
      <c r="N651" s="260">
        <f>'Cjenik M'!$D$33</f>
        <v>0</v>
      </c>
      <c r="O651" s="55">
        <f>M651*N651</f>
        <v>0</v>
      </c>
    </row>
    <row r="652" spans="1:15" ht="25.15" customHeight="1">
      <c r="A652" s="56"/>
      <c r="B652" s="834">
        <f>'Cjenik M'!$B$37</f>
        <v>0</v>
      </c>
      <c r="C652" s="834"/>
      <c r="D652" s="57">
        <f>'Cjenik M'!$C$37</f>
        <v>0</v>
      </c>
      <c r="E652" s="58">
        <v>1.05</v>
      </c>
      <c r="F652" s="263">
        <f>'Cjenik M'!$D$37</f>
        <v>0</v>
      </c>
      <c r="G652" s="60">
        <f>E652*F652</f>
        <v>0</v>
      </c>
      <c r="I652" s="56"/>
      <c r="J652" s="834">
        <f>'Cjenik M'!$B$37</f>
        <v>0</v>
      </c>
      <c r="K652" s="834"/>
      <c r="L652" s="57">
        <f>'Cjenik M'!$C$37</f>
        <v>0</v>
      </c>
      <c r="M652" s="58">
        <v>1.05</v>
      </c>
      <c r="N652" s="263">
        <f>'Cjenik M'!$D$37</f>
        <v>0</v>
      </c>
      <c r="O652" s="60">
        <f>M652*N652</f>
        <v>0</v>
      </c>
    </row>
    <row r="653" spans="1:15" ht="25.15" customHeight="1" thickBot="1">
      <c r="A653" s="66"/>
      <c r="B653" s="859">
        <f>'Cjenik M'!$B$82</f>
        <v>0</v>
      </c>
      <c r="C653" s="859"/>
      <c r="D653" s="67">
        <f>'Cjenik M'!$C$82</f>
        <v>0</v>
      </c>
      <c r="E653" s="68">
        <v>1E-3</v>
      </c>
      <c r="F653" s="262">
        <f>'Cjenik M'!$D$82</f>
        <v>0</v>
      </c>
      <c r="G653" s="70">
        <f>E653*F653</f>
        <v>0</v>
      </c>
      <c r="I653" s="66"/>
      <c r="J653" s="859">
        <f>'Cjenik M'!$B$82</f>
        <v>0</v>
      </c>
      <c r="K653" s="859"/>
      <c r="L653" s="67">
        <f>'Cjenik M'!$C$82</f>
        <v>0</v>
      </c>
      <c r="M653" s="68">
        <v>1E-3</v>
      </c>
      <c r="N653" s="262">
        <f>'Cjenik M'!$D$82</f>
        <v>0</v>
      </c>
      <c r="O653" s="70">
        <f>M653*N653</f>
        <v>0</v>
      </c>
    </row>
    <row r="654" spans="1:15" ht="25.15" customHeight="1" thickTop="1" thickBot="1">
      <c r="B654" s="47"/>
      <c r="C654" s="24"/>
      <c r="D654" s="25"/>
      <c r="E654" s="850" t="str">
        <f>'Obrazac kalkulacije'!$E$18</f>
        <v>Ukupno (kn):</v>
      </c>
      <c r="F654" s="850"/>
      <c r="G654" s="26">
        <f>ROUND(SUM(G646+G648+G650),2)</f>
        <v>43.79</v>
      </c>
      <c r="H654" s="269" t="e">
        <f>SUMIF(#REF!,$B642,#REF!)</f>
        <v>#REF!</v>
      </c>
      <c r="J654" s="47"/>
      <c r="K654" s="24"/>
      <c r="L654" s="25"/>
      <c r="M654" s="850" t="str">
        <f>'Obrazac kalkulacije'!$E$18</f>
        <v>Ukupno (kn):</v>
      </c>
      <c r="N654" s="850"/>
      <c r="O654" s="26">
        <f>ROUND(SUM(O646+O648+O650),2)</f>
        <v>43.82</v>
      </c>
    </row>
    <row r="655" spans="1:15" ht="25.15" customHeight="1" thickTop="1" thickBot="1">
      <c r="E655" s="27" t="str">
        <f>'Obrazac kalkulacije'!$E$19</f>
        <v>PDV:</v>
      </c>
      <c r="F655" s="259">
        <f>'Obrazac kalkulacije'!$F$19</f>
        <v>0.25</v>
      </c>
      <c r="G655" s="29">
        <f>G654*F655</f>
        <v>10.9475</v>
      </c>
      <c r="H655" s="270" t="e">
        <f>H654-G654</f>
        <v>#REF!</v>
      </c>
      <c r="M655" s="27" t="str">
        <f>'Obrazac kalkulacije'!$E$19</f>
        <v>PDV:</v>
      </c>
      <c r="N655" s="259">
        <f>'Obrazac kalkulacije'!$F$19</f>
        <v>0.25</v>
      </c>
      <c r="O655" s="29">
        <f>O654*N655</f>
        <v>10.955</v>
      </c>
    </row>
    <row r="656" spans="1:15" ht="25.15" customHeight="1" thickTop="1" thickBot="1">
      <c r="E656" s="840" t="str">
        <f>'Obrazac kalkulacije'!$E$20</f>
        <v>Sveukupno (kn):</v>
      </c>
      <c r="F656" s="840"/>
      <c r="G656" s="29">
        <f>ROUND(SUM(G654:G655),2)</f>
        <v>54.74</v>
      </c>
      <c r="H656" s="271" t="e">
        <f>G648+H655</f>
        <v>#REF!</v>
      </c>
      <c r="M656" s="840" t="str">
        <f>'Obrazac kalkulacije'!$E$20</f>
        <v>Sveukupno (kn):</v>
      </c>
      <c r="N656" s="840"/>
      <c r="O656" s="29">
        <f>ROUND(SUM(O654:O655),2)</f>
        <v>54.78</v>
      </c>
    </row>
    <row r="657" spans="1:15" ht="15" customHeight="1" thickTop="1"/>
    <row r="658" spans="1:15" ht="15" customHeight="1"/>
    <row r="659" spans="1:15" ht="15" customHeight="1"/>
    <row r="660" spans="1:15" ht="15" customHeight="1">
      <c r="C660" s="3" t="str">
        <f>'Obrazac kalkulacije'!$C$24</f>
        <v>IZVODITELJ:</v>
      </c>
      <c r="F660" s="841" t="str">
        <f>'Obrazac kalkulacije'!$F$24</f>
        <v>NARUČITELJ:</v>
      </c>
      <c r="G660" s="841"/>
      <c r="K660" s="3" t="str">
        <f>'Obrazac kalkulacije'!$C$24</f>
        <v>IZVODITELJ:</v>
      </c>
      <c r="N660" s="841" t="str">
        <f>'Obrazac kalkulacije'!$F$24</f>
        <v>NARUČITELJ:</v>
      </c>
      <c r="O660" s="841"/>
    </row>
    <row r="661" spans="1:15" ht="25.15" customHeight="1">
      <c r="C661" s="3" t="str">
        <f>'Obrazac kalkulacije'!$C$25</f>
        <v>__________________</v>
      </c>
      <c r="F661" s="841" t="str">
        <f>'Obrazac kalkulacije'!$F$25</f>
        <v>___________________</v>
      </c>
      <c r="G661" s="841"/>
      <c r="K661" s="3" t="str">
        <f>'Obrazac kalkulacije'!$C$25</f>
        <v>__________________</v>
      </c>
      <c r="N661" s="841" t="str">
        <f>'Obrazac kalkulacije'!$F$25</f>
        <v>___________________</v>
      </c>
      <c r="O661" s="841"/>
    </row>
    <row r="662" spans="1:15" ht="15" customHeight="1">
      <c r="F662" s="841"/>
      <c r="G662" s="841"/>
      <c r="N662" s="841"/>
      <c r="O662" s="841"/>
    </row>
    <row r="663" spans="1:15" ht="15" customHeight="1"/>
    <row r="664" spans="1:15" ht="15" customHeight="1">
      <c r="A664" s="144"/>
      <c r="B664" s="145" t="s">
        <v>31</v>
      </c>
      <c r="C664" s="836" t="s">
        <v>261</v>
      </c>
      <c r="D664" s="836"/>
      <c r="E664" s="836"/>
      <c r="F664" s="836"/>
      <c r="G664" s="836"/>
      <c r="I664" s="144"/>
      <c r="J664" s="145" t="s">
        <v>31</v>
      </c>
      <c r="K664" s="836" t="s">
        <v>261</v>
      </c>
      <c r="L664" s="836"/>
      <c r="M664" s="836"/>
      <c r="N664" s="836"/>
      <c r="O664" s="836"/>
    </row>
    <row r="665" spans="1:15" ht="15" customHeight="1">
      <c r="A665" s="38"/>
      <c r="B665" s="39" t="s">
        <v>326</v>
      </c>
      <c r="C665" s="860" t="s">
        <v>327</v>
      </c>
      <c r="D665" s="860"/>
      <c r="E665" s="860"/>
      <c r="F665" s="860"/>
      <c r="G665" s="860"/>
      <c r="I665" s="38"/>
      <c r="J665" s="39" t="s">
        <v>326</v>
      </c>
      <c r="K665" s="860" t="s">
        <v>327</v>
      </c>
      <c r="L665" s="860"/>
      <c r="M665" s="860"/>
      <c r="N665" s="860"/>
      <c r="O665" s="860"/>
    </row>
    <row r="666" spans="1:15" ht="150" customHeight="1">
      <c r="A666" s="40"/>
      <c r="B666" s="556" t="s">
        <v>343</v>
      </c>
      <c r="C666" s="852" t="s">
        <v>344</v>
      </c>
      <c r="D666" s="852"/>
      <c r="E666" s="852"/>
      <c r="F666" s="852"/>
      <c r="G666" s="852"/>
      <c r="I666" s="40"/>
      <c r="J666" s="41" t="s">
        <v>343</v>
      </c>
      <c r="K666" s="869" t="s">
        <v>345</v>
      </c>
      <c r="L666" s="869"/>
      <c r="M666" s="869"/>
      <c r="N666" s="869"/>
      <c r="O666" s="869"/>
    </row>
    <row r="667" spans="1:15" ht="15" customHeight="1" thickBot="1"/>
    <row r="668" spans="1:15" ht="30" customHeight="1" thickTop="1" thickBot="1">
      <c r="A668" s="10"/>
      <c r="B668" s="835" t="str">
        <f>'Obrazac kalkulacije'!$B$6:$C$6</f>
        <v>Opis</v>
      </c>
      <c r="C668" s="835"/>
      <c r="D668" s="10" t="str">
        <f>'Obrazac kalkulacije'!$D$6</f>
        <v>Jed.
mjere</v>
      </c>
      <c r="E668" s="10" t="str">
        <f>'Obrazac kalkulacije'!$E$6</f>
        <v>Normativ</v>
      </c>
      <c r="F668" s="10" t="str">
        <f>'Obrazac kalkulacije'!$F$6</f>
        <v>Jed.
cijena</v>
      </c>
      <c r="G668" s="10" t="str">
        <f>'Obrazac kalkulacije'!$G$6</f>
        <v>Iznos</v>
      </c>
      <c r="I668" s="10"/>
      <c r="J668" s="835" t="e">
        <f>'Obrazac kalkulacije'!$B$6:$C$6</f>
        <v>#VALUE!</v>
      </c>
      <c r="K668" s="835"/>
      <c r="L668" s="10" t="str">
        <f>'Obrazac kalkulacije'!$D$6</f>
        <v>Jed.
mjere</v>
      </c>
      <c r="M668" s="10" t="str">
        <f>'Obrazac kalkulacije'!$E$6</f>
        <v>Normativ</v>
      </c>
      <c r="N668" s="10" t="str">
        <f>'Obrazac kalkulacije'!$F$6</f>
        <v>Jed.
cijena</v>
      </c>
      <c r="O668" s="10" t="str">
        <f>'Obrazac kalkulacije'!$G$6</f>
        <v>Iznos</v>
      </c>
    </row>
    <row r="669" spans="1:15" ht="4.5" customHeight="1" thickTop="1">
      <c r="B669" s="42"/>
      <c r="C669" s="1"/>
      <c r="D669" s="11"/>
      <c r="E669" s="13"/>
      <c r="F669" s="258"/>
      <c r="G669" s="15"/>
      <c r="J669" s="42"/>
      <c r="K669" s="1"/>
      <c r="L669" s="11"/>
      <c r="M669" s="13"/>
      <c r="N669" s="258"/>
      <c r="O669" s="15"/>
    </row>
    <row r="670" spans="1:15" ht="25.15" customHeight="1">
      <c r="A670" s="16"/>
      <c r="B670" s="837" t="str">
        <f>'Obrazac kalkulacije'!$B$8</f>
        <v>Radna snaga:</v>
      </c>
      <c r="C670" s="837"/>
      <c r="D670" s="16"/>
      <c r="E670" s="16"/>
      <c r="F670" s="44"/>
      <c r="G670" s="18">
        <f>SUM(G671:G671)</f>
        <v>114.01195554</v>
      </c>
      <c r="I670" s="16"/>
      <c r="J670" s="837" t="str">
        <f>'Obrazac kalkulacije'!$B$8</f>
        <v>Radna snaga:</v>
      </c>
      <c r="K670" s="837"/>
      <c r="L670" s="16"/>
      <c r="M670" s="16"/>
      <c r="N670" s="44"/>
      <c r="O670" s="18">
        <f>SUM(O671:O671)</f>
        <v>114.01195554</v>
      </c>
    </row>
    <row r="671" spans="1:15" ht="25.15" customHeight="1">
      <c r="A671" s="32"/>
      <c r="B671" s="854" t="s">
        <v>57</v>
      </c>
      <c r="C671" s="854"/>
      <c r="D671" s="33" t="s">
        <v>51</v>
      </c>
      <c r="E671" s="34">
        <v>1.085518</v>
      </c>
      <c r="F671" s="238">
        <f>SUMIF('Cjenik RS'!$C$11:$C$26,$B671,'Cjenik RS'!$D$11:$D$90)</f>
        <v>105.03</v>
      </c>
      <c r="G671" s="35">
        <f>E671*F671</f>
        <v>114.01195554</v>
      </c>
      <c r="I671" s="32"/>
      <c r="J671" s="854" t="s">
        <v>57</v>
      </c>
      <c r="K671" s="854"/>
      <c r="L671" s="33" t="s">
        <v>51</v>
      </c>
      <c r="M671" s="34">
        <v>1.085518</v>
      </c>
      <c r="N671" s="238">
        <f>SUMIF('Cjenik RS'!$C$11:$C$26,$J671,'Cjenik RS'!$D$11:$D$90)</f>
        <v>105.03</v>
      </c>
      <c r="O671" s="35">
        <f>M671*N671</f>
        <v>114.01195554</v>
      </c>
    </row>
    <row r="672" spans="1:15" ht="25.15" customHeight="1">
      <c r="A672" s="16"/>
      <c r="B672" s="837" t="str">
        <f>'Obrazac kalkulacije'!$B$11</f>
        <v>Vozila, strojevi i oprema:</v>
      </c>
      <c r="C672" s="837"/>
      <c r="D672" s="16"/>
      <c r="E672" s="16"/>
      <c r="F672" s="238"/>
      <c r="G672" s="18">
        <f>SUM(G673:G674)</f>
        <v>25.6768</v>
      </c>
      <c r="I672" s="16"/>
      <c r="J672" s="837" t="str">
        <f>'Obrazac kalkulacije'!$B$11</f>
        <v>Vozila, strojevi i oprema:</v>
      </c>
      <c r="K672" s="837"/>
      <c r="L672" s="16"/>
      <c r="M672" s="16"/>
      <c r="N672" s="238"/>
      <c r="O672" s="18">
        <f>SUM(O673:O674)</f>
        <v>43.53596606</v>
      </c>
    </row>
    <row r="673" spans="1:15" ht="25.15" customHeight="1">
      <c r="A673" s="51"/>
      <c r="B673" s="863" t="s">
        <v>73</v>
      </c>
      <c r="C673" s="863"/>
      <c r="D673" s="52" t="s">
        <v>51</v>
      </c>
      <c r="E673" s="53">
        <v>0.06</v>
      </c>
      <c r="F673" s="260">
        <f>SUMIF('Cjenik VSO'!$B$9:$B$85,$B673,'Cjenik VSO'!$C$9:$C$85)</f>
        <v>291.72000000000003</v>
      </c>
      <c r="G673" s="55">
        <f>E673*F673</f>
        <v>17.5032</v>
      </c>
      <c r="I673" s="51"/>
      <c r="J673" s="863" t="s">
        <v>73</v>
      </c>
      <c r="K673" s="863"/>
      <c r="L673" s="52" t="s">
        <v>51</v>
      </c>
      <c r="M673" s="53">
        <v>5.8518000000000001E-2</v>
      </c>
      <c r="N673" s="260">
        <f>SUMIF('Cjenik VSO'!$B$9:$B$85,$B673,'Cjenik VSO'!$C$9:$C$85)</f>
        <v>291.72000000000003</v>
      </c>
      <c r="O673" s="55">
        <f>M673*N673</f>
        <v>17.070870960000001</v>
      </c>
    </row>
    <row r="674" spans="1:15" ht="25.15" customHeight="1">
      <c r="A674" s="61"/>
      <c r="B674" s="855" t="s">
        <v>71</v>
      </c>
      <c r="C674" s="855"/>
      <c r="D674" s="62" t="s">
        <v>51</v>
      </c>
      <c r="E674" s="63">
        <v>0.08</v>
      </c>
      <c r="F674" s="261">
        <f>SUMIF('Cjenik VSO'!$B$9:$B$85,$B674,'Cjenik VSO'!$C$9:$C$85)</f>
        <v>102.17</v>
      </c>
      <c r="G674" s="64">
        <f>E674*F674</f>
        <v>8.1736000000000004</v>
      </c>
      <c r="I674" s="61"/>
      <c r="J674" s="855" t="s">
        <v>71</v>
      </c>
      <c r="K674" s="855"/>
      <c r="L674" s="62" t="s">
        <v>51</v>
      </c>
      <c r="M674" s="63">
        <v>0.25902999999999998</v>
      </c>
      <c r="N674" s="261">
        <f>SUMIF('Cjenik VSO'!$B$9:$B$85,$B674,'Cjenik VSO'!$C$9:$C$85)</f>
        <v>102.17</v>
      </c>
      <c r="O674" s="64">
        <f>M674*N674</f>
        <v>26.465095099999999</v>
      </c>
    </row>
    <row r="675" spans="1:15" ht="25.15" customHeight="1">
      <c r="A675" s="16"/>
      <c r="B675" s="837" t="str">
        <f>'Obrazac kalkulacije'!$B$15</f>
        <v>Materijali:</v>
      </c>
      <c r="C675" s="837"/>
      <c r="D675" s="16"/>
      <c r="E675" s="16"/>
      <c r="F675" s="238"/>
      <c r="G675" s="18">
        <f>SUM(G676:G679)</f>
        <v>0</v>
      </c>
      <c r="I675" s="16"/>
      <c r="J675" s="837" t="str">
        <f>'Obrazac kalkulacije'!$B$15</f>
        <v>Materijali:</v>
      </c>
      <c r="K675" s="837"/>
      <c r="L675" s="16"/>
      <c r="M675" s="16"/>
      <c r="N675" s="238"/>
      <c r="O675" s="18">
        <f>SUM(O676:O679)</f>
        <v>0</v>
      </c>
    </row>
    <row r="676" spans="1:15" ht="25.15" customHeight="1">
      <c r="A676" s="51"/>
      <c r="B676" s="863">
        <f>'Cjenik M'!$B$31</f>
        <v>0</v>
      </c>
      <c r="C676" s="863"/>
      <c r="D676" s="52">
        <f>'Cjenik M'!$C$31</f>
        <v>0</v>
      </c>
      <c r="E676" s="53">
        <v>2.6800000000000001E-3</v>
      </c>
      <c r="F676" s="260">
        <f>'Cjenik M'!$D$31</f>
        <v>0</v>
      </c>
      <c r="G676" s="55">
        <f>E676*F676</f>
        <v>0</v>
      </c>
      <c r="I676" s="51"/>
      <c r="J676" s="863">
        <f>'Cjenik M'!$B$31</f>
        <v>0</v>
      </c>
      <c r="K676" s="863"/>
      <c r="L676" s="52">
        <f>'Cjenik M'!$C$31</f>
        <v>0</v>
      </c>
      <c r="M676" s="53">
        <v>2.6800000000000001E-3</v>
      </c>
      <c r="N676" s="260">
        <f>'Cjenik M'!$D$31</f>
        <v>0</v>
      </c>
      <c r="O676" s="55">
        <f>M676*N676</f>
        <v>0</v>
      </c>
    </row>
    <row r="677" spans="1:15" ht="25.15" customHeight="1">
      <c r="A677" s="56"/>
      <c r="B677" s="834">
        <f>'Cjenik M'!$B$33</f>
        <v>0</v>
      </c>
      <c r="C677" s="834"/>
      <c r="D677" s="57">
        <f>'Cjenik M'!$C$33</f>
        <v>0</v>
      </c>
      <c r="E677" s="58">
        <v>0.05</v>
      </c>
      <c r="F677" s="263">
        <f>'Cjenik M'!$D$33</f>
        <v>0</v>
      </c>
      <c r="G677" s="60">
        <f>E677*F677</f>
        <v>0</v>
      </c>
      <c r="I677" s="56"/>
      <c r="J677" s="834">
        <f>'Cjenik M'!$B$33</f>
        <v>0</v>
      </c>
      <c r="K677" s="834"/>
      <c r="L677" s="57">
        <f>'Cjenik M'!$C$33</f>
        <v>0</v>
      </c>
      <c r="M677" s="58">
        <v>0.04</v>
      </c>
      <c r="N677" s="263">
        <f>'Cjenik M'!$D$33</f>
        <v>0</v>
      </c>
      <c r="O677" s="60">
        <f>M677*N677</f>
        <v>0</v>
      </c>
    </row>
    <row r="678" spans="1:15" ht="25.15" customHeight="1">
      <c r="A678" s="56"/>
      <c r="B678" s="834">
        <f>'Cjenik M'!$B$38</f>
        <v>0</v>
      </c>
      <c r="C678" s="834"/>
      <c r="D678" s="57">
        <f>'Cjenik M'!$C$38</f>
        <v>0</v>
      </c>
      <c r="E678" s="58">
        <v>1.05</v>
      </c>
      <c r="F678" s="263">
        <f>'Cjenik M'!$D$38</f>
        <v>0</v>
      </c>
      <c r="G678" s="60">
        <f>E678*F678</f>
        <v>0</v>
      </c>
      <c r="I678" s="56"/>
      <c r="J678" s="834">
        <f>'Cjenik M'!$B$38</f>
        <v>0</v>
      </c>
      <c r="K678" s="834"/>
      <c r="L678" s="57">
        <f>'Cjenik M'!$C$38</f>
        <v>0</v>
      </c>
      <c r="M678" s="58">
        <v>1.05</v>
      </c>
      <c r="N678" s="263">
        <f>'Cjenik M'!$D$38</f>
        <v>0</v>
      </c>
      <c r="O678" s="60">
        <f>M678*N678</f>
        <v>0</v>
      </c>
    </row>
    <row r="679" spans="1:15" ht="25.15" customHeight="1" thickBot="1">
      <c r="A679" s="66"/>
      <c r="B679" s="859">
        <f>'Cjenik M'!$B$82</f>
        <v>0</v>
      </c>
      <c r="C679" s="859"/>
      <c r="D679" s="67">
        <f>'Cjenik M'!$C$82</f>
        <v>0</v>
      </c>
      <c r="E679" s="68">
        <v>4.0000000000000001E-3</v>
      </c>
      <c r="F679" s="262">
        <f>'Cjenik M'!$D$82</f>
        <v>0</v>
      </c>
      <c r="G679" s="70">
        <f>E679*F679</f>
        <v>0</v>
      </c>
      <c r="I679" s="66"/>
      <c r="J679" s="859">
        <f>'Cjenik M'!$B$82</f>
        <v>0</v>
      </c>
      <c r="K679" s="859"/>
      <c r="L679" s="67">
        <f>'Cjenik M'!$C$82</f>
        <v>0</v>
      </c>
      <c r="M679" s="68">
        <v>4.0000000000000001E-3</v>
      </c>
      <c r="N679" s="262">
        <f>'Cjenik M'!$D$82</f>
        <v>0</v>
      </c>
      <c r="O679" s="70">
        <f>M679*N679</f>
        <v>0</v>
      </c>
    </row>
    <row r="680" spans="1:15" ht="25.15" customHeight="1" thickTop="1" thickBot="1">
      <c r="B680" s="47"/>
      <c r="C680" s="24"/>
      <c r="D680" s="25"/>
      <c r="E680" s="850" t="str">
        <f>'Obrazac kalkulacije'!$E$18</f>
        <v>Ukupno (kn):</v>
      </c>
      <c r="F680" s="850"/>
      <c r="G680" s="26">
        <f>ROUND(SUM(G670+G672+G675),2)</f>
        <v>139.69</v>
      </c>
      <c r="H680" s="269" t="e">
        <f>SUMIF(#REF!,$B666,#REF!)</f>
        <v>#REF!</v>
      </c>
      <c r="J680" s="47"/>
      <c r="K680" s="24"/>
      <c r="L680" s="25"/>
      <c r="M680" s="850" t="str">
        <f>'Obrazac kalkulacije'!$E$18</f>
        <v>Ukupno (kn):</v>
      </c>
      <c r="N680" s="850"/>
      <c r="O680" s="26">
        <f>ROUND(SUM(O670+O672+O675),2)</f>
        <v>157.55000000000001</v>
      </c>
    </row>
    <row r="681" spans="1:15" ht="25.15" customHeight="1" thickTop="1" thickBot="1">
      <c r="E681" s="27" t="str">
        <f>'Obrazac kalkulacije'!$E$19</f>
        <v>PDV:</v>
      </c>
      <c r="F681" s="259">
        <f>'Obrazac kalkulacije'!$F$19</f>
        <v>0.25</v>
      </c>
      <c r="G681" s="29">
        <f>G680*F681</f>
        <v>34.922499999999999</v>
      </c>
      <c r="H681" s="270" t="e">
        <f>H680-G680</f>
        <v>#REF!</v>
      </c>
      <c r="M681" s="27" t="str">
        <f>'Obrazac kalkulacije'!$E$19</f>
        <v>PDV:</v>
      </c>
      <c r="N681" s="259">
        <f>'Obrazac kalkulacije'!$F$19</f>
        <v>0.25</v>
      </c>
      <c r="O681" s="29">
        <f>O680*N681</f>
        <v>39.387500000000003</v>
      </c>
    </row>
    <row r="682" spans="1:15" ht="25.15" customHeight="1" thickTop="1" thickBot="1">
      <c r="E682" s="840" t="str">
        <f>'Obrazac kalkulacije'!$E$20</f>
        <v>Sveukupno (kn):</v>
      </c>
      <c r="F682" s="840"/>
      <c r="G682" s="29">
        <f>ROUND(SUM(G680:G681),2)</f>
        <v>174.61</v>
      </c>
      <c r="H682" s="271" t="e">
        <f>G674+H681</f>
        <v>#REF!</v>
      </c>
      <c r="M682" s="840" t="str">
        <f>'Obrazac kalkulacije'!$E$20</f>
        <v>Sveukupno (kn):</v>
      </c>
      <c r="N682" s="840"/>
      <c r="O682" s="29">
        <f>ROUND(SUM(O680:O681),2)</f>
        <v>196.94</v>
      </c>
    </row>
    <row r="683" spans="1:15" ht="15" customHeight="1" thickTop="1"/>
    <row r="684" spans="1:15" ht="15" customHeight="1"/>
    <row r="685" spans="1:15" ht="15" customHeight="1"/>
    <row r="686" spans="1:15" ht="15" customHeight="1">
      <c r="C686" s="3" t="str">
        <f>'Obrazac kalkulacije'!$C$24</f>
        <v>IZVODITELJ:</v>
      </c>
      <c r="F686" s="841" t="str">
        <f>'Obrazac kalkulacije'!$F$24</f>
        <v>NARUČITELJ:</v>
      </c>
      <c r="G686" s="841"/>
      <c r="K686" s="3" t="str">
        <f>'Obrazac kalkulacije'!$C$24</f>
        <v>IZVODITELJ:</v>
      </c>
      <c r="N686" s="841" t="str">
        <f>'Obrazac kalkulacije'!$F$24</f>
        <v>NARUČITELJ:</v>
      </c>
      <c r="O686" s="841"/>
    </row>
    <row r="687" spans="1:15" ht="25.15" customHeight="1">
      <c r="C687" s="3" t="str">
        <f>'Obrazac kalkulacije'!$C$25</f>
        <v>__________________</v>
      </c>
      <c r="F687" s="841" t="str">
        <f>'Obrazac kalkulacije'!$F$25</f>
        <v>___________________</v>
      </c>
      <c r="G687" s="841"/>
      <c r="K687" s="3" t="str">
        <f>'Obrazac kalkulacije'!$C$25</f>
        <v>__________________</v>
      </c>
      <c r="N687" s="841" t="str">
        <f>'Obrazac kalkulacije'!$F$25</f>
        <v>___________________</v>
      </c>
      <c r="O687" s="841"/>
    </row>
    <row r="688" spans="1:15" ht="15" customHeight="1">
      <c r="F688" s="841"/>
      <c r="G688" s="841"/>
      <c r="N688" s="841"/>
      <c r="O688" s="841"/>
    </row>
    <row r="689" spans="1:15" ht="15" customHeight="1"/>
    <row r="690" spans="1:15" ht="15" customHeight="1">
      <c r="A690" s="144"/>
      <c r="B690" s="145" t="s">
        <v>31</v>
      </c>
      <c r="C690" s="836" t="s">
        <v>261</v>
      </c>
      <c r="D690" s="836"/>
      <c r="E690" s="836"/>
      <c r="F690" s="836"/>
      <c r="G690" s="836"/>
      <c r="I690" s="144"/>
      <c r="J690" s="145" t="s">
        <v>31</v>
      </c>
      <c r="K690" s="836" t="s">
        <v>261</v>
      </c>
      <c r="L690" s="836"/>
      <c r="M690" s="836"/>
      <c r="N690" s="836"/>
      <c r="O690" s="836"/>
    </row>
    <row r="691" spans="1:15" ht="15" customHeight="1">
      <c r="A691" s="38"/>
      <c r="B691" s="39" t="s">
        <v>326</v>
      </c>
      <c r="C691" s="860" t="s">
        <v>327</v>
      </c>
      <c r="D691" s="860"/>
      <c r="E691" s="860"/>
      <c r="F691" s="860"/>
      <c r="G691" s="860"/>
      <c r="I691" s="38"/>
      <c r="J691" s="39" t="s">
        <v>326</v>
      </c>
      <c r="K691" s="860" t="s">
        <v>327</v>
      </c>
      <c r="L691" s="860"/>
      <c r="M691" s="860"/>
      <c r="N691" s="860"/>
      <c r="O691" s="860"/>
    </row>
    <row r="692" spans="1:15" ht="150" customHeight="1">
      <c r="A692" s="40"/>
      <c r="B692" s="556" t="s">
        <v>346</v>
      </c>
      <c r="C692" s="852" t="s">
        <v>347</v>
      </c>
      <c r="D692" s="852"/>
      <c r="E692" s="852"/>
      <c r="F692" s="852"/>
      <c r="G692" s="852"/>
      <c r="I692" s="40"/>
      <c r="J692" s="41" t="s">
        <v>346</v>
      </c>
      <c r="K692" s="869" t="s">
        <v>348</v>
      </c>
      <c r="L692" s="869"/>
      <c r="M692" s="869"/>
      <c r="N692" s="869"/>
      <c r="O692" s="869"/>
    </row>
    <row r="693" spans="1:15" ht="15" customHeight="1" thickBot="1"/>
    <row r="694" spans="1:15" ht="30" customHeight="1" thickTop="1" thickBot="1">
      <c r="A694" s="10"/>
      <c r="B694" s="835" t="str">
        <f>'Obrazac kalkulacije'!$B$6:$C$6</f>
        <v>Opis</v>
      </c>
      <c r="C694" s="835"/>
      <c r="D694" s="10" t="str">
        <f>'Obrazac kalkulacije'!$D$6</f>
        <v>Jed.
mjere</v>
      </c>
      <c r="E694" s="10" t="str">
        <f>'Obrazac kalkulacije'!$E$6</f>
        <v>Normativ</v>
      </c>
      <c r="F694" s="10" t="str">
        <f>'Obrazac kalkulacije'!$F$6</f>
        <v>Jed.
cijena</v>
      </c>
      <c r="G694" s="10" t="str">
        <f>'Obrazac kalkulacije'!$G$6</f>
        <v>Iznos</v>
      </c>
      <c r="I694" s="10"/>
      <c r="J694" s="835" t="e">
        <f>'Obrazac kalkulacije'!$B$6:$C$6</f>
        <v>#VALUE!</v>
      </c>
      <c r="K694" s="835"/>
      <c r="L694" s="10" t="str">
        <f>'Obrazac kalkulacije'!$D$6</f>
        <v>Jed.
mjere</v>
      </c>
      <c r="M694" s="10" t="str">
        <f>'Obrazac kalkulacije'!$E$6</f>
        <v>Normativ</v>
      </c>
      <c r="N694" s="10" t="str">
        <f>'Obrazac kalkulacije'!$F$6</f>
        <v>Jed.
cijena</v>
      </c>
      <c r="O694" s="10" t="str">
        <f>'Obrazac kalkulacije'!$G$6</f>
        <v>Iznos</v>
      </c>
    </row>
    <row r="695" spans="1:15" ht="4.5" customHeight="1" thickTop="1">
      <c r="B695" s="42"/>
      <c r="C695" s="1"/>
      <c r="D695" s="11"/>
      <c r="E695" s="13"/>
      <c r="F695" s="258"/>
      <c r="G695" s="15"/>
      <c r="J695" s="42"/>
      <c r="K695" s="1"/>
      <c r="L695" s="11"/>
      <c r="M695" s="13"/>
      <c r="N695" s="258"/>
      <c r="O695" s="15"/>
    </row>
    <row r="696" spans="1:15" ht="25.15" customHeight="1">
      <c r="A696" s="16"/>
      <c r="B696" s="837" t="str">
        <f>'Obrazac kalkulacije'!$B$8</f>
        <v>Radna snaga:</v>
      </c>
      <c r="C696" s="837"/>
      <c r="D696" s="16"/>
      <c r="E696" s="16"/>
      <c r="F696" s="44"/>
      <c r="G696" s="18">
        <f>SUM(G697:G697)</f>
        <v>158.64802506000001</v>
      </c>
      <c r="I696" s="16"/>
      <c r="J696" s="837" t="str">
        <f>'Obrazac kalkulacije'!$B$8</f>
        <v>Radna snaga:</v>
      </c>
      <c r="K696" s="837"/>
      <c r="L696" s="16"/>
      <c r="M696" s="16"/>
      <c r="N696" s="44"/>
      <c r="O696" s="18">
        <f>SUM(O697:O697)</f>
        <v>158.64802506000001</v>
      </c>
    </row>
    <row r="697" spans="1:15" ht="25.15" customHeight="1">
      <c r="A697" s="32"/>
      <c r="B697" s="854" t="s">
        <v>57</v>
      </c>
      <c r="C697" s="854"/>
      <c r="D697" s="33" t="s">
        <v>51</v>
      </c>
      <c r="E697" s="34">
        <v>1.510502</v>
      </c>
      <c r="F697" s="238">
        <f>SUMIF('Cjenik RS'!$C$11:$C$26,$B697,'Cjenik RS'!$D$11:$D$90)</f>
        <v>105.03</v>
      </c>
      <c r="G697" s="35">
        <f>E697*F697</f>
        <v>158.64802506000001</v>
      </c>
      <c r="I697" s="32"/>
      <c r="J697" s="854" t="s">
        <v>57</v>
      </c>
      <c r="K697" s="854"/>
      <c r="L697" s="33" t="s">
        <v>51</v>
      </c>
      <c r="M697" s="34">
        <v>1.510502</v>
      </c>
      <c r="N697" s="238">
        <f>SUMIF('Cjenik RS'!$C$11:$C$26,$J697,'Cjenik RS'!$D$11:$D$90)</f>
        <v>105.03</v>
      </c>
      <c r="O697" s="35">
        <f>M697*N697</f>
        <v>158.64802506000001</v>
      </c>
    </row>
    <row r="698" spans="1:15" ht="25.15" customHeight="1">
      <c r="A698" s="16"/>
      <c r="B698" s="837" t="str">
        <f>'Obrazac kalkulacije'!$B$11</f>
        <v>Vozila, strojevi i oprema:</v>
      </c>
      <c r="C698" s="837"/>
      <c r="D698" s="16"/>
      <c r="E698" s="16"/>
      <c r="F698" s="238"/>
      <c r="G698" s="18">
        <f>SUM(G699)</f>
        <v>12.988433214555664</v>
      </c>
      <c r="I698" s="16"/>
      <c r="J698" s="837" t="str">
        <f>'Obrazac kalkulacije'!$B$11</f>
        <v>Vozila, strojevi i oprema:</v>
      </c>
      <c r="K698" s="837"/>
      <c r="L698" s="16"/>
      <c r="M698" s="16"/>
      <c r="N698" s="238"/>
      <c r="O698" s="18">
        <f>SUM(O699)</f>
        <v>13.166782200000002</v>
      </c>
    </row>
    <row r="699" spans="1:15" ht="25.15" customHeight="1">
      <c r="A699" s="16"/>
      <c r="B699" s="838" t="s">
        <v>73</v>
      </c>
      <c r="C699" s="838"/>
      <c r="D699" s="44" t="s">
        <v>51</v>
      </c>
      <c r="E699" s="45">
        <v>4.4523629557643163E-2</v>
      </c>
      <c r="F699" s="260">
        <f>SUMIF('Cjenik VSO'!$B$9:$B$85,$B699,'Cjenik VSO'!$C$9:$C$85)</f>
        <v>291.72000000000003</v>
      </c>
      <c r="G699" s="46">
        <f>E699*F699</f>
        <v>12.988433214555664</v>
      </c>
      <c r="I699" s="16"/>
      <c r="J699" s="838" t="s">
        <v>73</v>
      </c>
      <c r="K699" s="838"/>
      <c r="L699" s="44" t="s">
        <v>51</v>
      </c>
      <c r="M699" s="45">
        <v>4.5135000000000002E-2</v>
      </c>
      <c r="N699" s="260">
        <f>SUMIF('Cjenik VSO'!$B$9:$B$85,$B699,'Cjenik VSO'!$C$9:$C$85)</f>
        <v>291.72000000000003</v>
      </c>
      <c r="O699" s="46">
        <f>M699*N699</f>
        <v>13.166782200000002</v>
      </c>
    </row>
    <row r="700" spans="1:15" ht="25.15" customHeight="1">
      <c r="A700" s="16"/>
      <c r="B700" s="837" t="str">
        <f>'Obrazac kalkulacije'!$B$15</f>
        <v>Materijali:</v>
      </c>
      <c r="C700" s="837"/>
      <c r="D700" s="16"/>
      <c r="E700" s="16"/>
      <c r="F700" s="238"/>
      <c r="G700" s="18" t="e">
        <f>SUM(G701:G704)</f>
        <v>#VALUE!</v>
      </c>
      <c r="I700" s="16"/>
      <c r="J700" s="837" t="str">
        <f>'Obrazac kalkulacije'!$B$15</f>
        <v>Materijali:</v>
      </c>
      <c r="K700" s="837"/>
      <c r="L700" s="16"/>
      <c r="M700" s="16"/>
      <c r="N700" s="238"/>
      <c r="O700" s="18" t="e">
        <f>SUM(O701:O704)</f>
        <v>#VALUE!</v>
      </c>
    </row>
    <row r="701" spans="1:15" ht="25.15" customHeight="1">
      <c r="A701" s="51"/>
      <c r="B701" s="863" t="str">
        <f>'Cjenik M'!$B$27</f>
        <v>____________</v>
      </c>
      <c r="C701" s="863"/>
      <c r="D701" s="52">
        <f>'Cjenik M'!$C$27</f>
        <v>0</v>
      </c>
      <c r="E701" s="53">
        <v>0.02</v>
      </c>
      <c r="F701" s="260" t="str">
        <f>'Cjenik M'!$D$27</f>
        <v>___________</v>
      </c>
      <c r="G701" s="55" t="e">
        <f>E701*F701</f>
        <v>#VALUE!</v>
      </c>
      <c r="I701" s="51"/>
      <c r="J701" s="863" t="str">
        <f>'Cjenik M'!$B$27</f>
        <v>____________</v>
      </c>
      <c r="K701" s="863"/>
      <c r="L701" s="52">
        <f>'Cjenik M'!$C$27</f>
        <v>0</v>
      </c>
      <c r="M701" s="53">
        <v>0.02</v>
      </c>
      <c r="N701" s="260" t="str">
        <f>'Cjenik M'!$D$27</f>
        <v>___________</v>
      </c>
      <c r="O701" s="55" t="e">
        <f>M701*N701</f>
        <v>#VALUE!</v>
      </c>
    </row>
    <row r="702" spans="1:15" ht="25.15" customHeight="1">
      <c r="A702" s="56"/>
      <c r="B702" s="834">
        <f>'Cjenik M'!$B$33</f>
        <v>0</v>
      </c>
      <c r="C702" s="834"/>
      <c r="D702" s="57">
        <f>'Cjenik M'!$C$33</f>
        <v>0</v>
      </c>
      <c r="E702" s="58">
        <v>0.04</v>
      </c>
      <c r="F702" s="263">
        <f>'Cjenik M'!$D$33</f>
        <v>0</v>
      </c>
      <c r="G702" s="60">
        <f>E702*F702</f>
        <v>0</v>
      </c>
      <c r="I702" s="56"/>
      <c r="J702" s="834">
        <f>'Cjenik M'!$B$33</f>
        <v>0</v>
      </c>
      <c r="K702" s="834"/>
      <c r="L702" s="57">
        <f>'Cjenik M'!$C$33</f>
        <v>0</v>
      </c>
      <c r="M702" s="58">
        <v>0.04</v>
      </c>
      <c r="N702" s="263">
        <f>'Cjenik M'!$D$33</f>
        <v>0</v>
      </c>
      <c r="O702" s="60">
        <f>M702*N702</f>
        <v>0</v>
      </c>
    </row>
    <row r="703" spans="1:15" ht="25.15" customHeight="1">
      <c r="A703" s="56"/>
      <c r="B703" s="834">
        <f>'Cjenik M'!$B$39</f>
        <v>0</v>
      </c>
      <c r="C703" s="834"/>
      <c r="D703" s="57">
        <f>'Cjenik M'!$C$39</f>
        <v>0</v>
      </c>
      <c r="E703" s="58">
        <v>1.05</v>
      </c>
      <c r="F703" s="263">
        <f>'Cjenik M'!$D$39</f>
        <v>0</v>
      </c>
      <c r="G703" s="60">
        <f>E703*F703</f>
        <v>0</v>
      </c>
      <c r="I703" s="56"/>
      <c r="J703" s="834">
        <f>'Cjenik M'!$B$39</f>
        <v>0</v>
      </c>
      <c r="K703" s="834"/>
      <c r="L703" s="57">
        <f>'Cjenik M'!$C$39</f>
        <v>0</v>
      </c>
      <c r="M703" s="58">
        <v>1.05</v>
      </c>
      <c r="N703" s="263">
        <f>'Cjenik M'!$D$39</f>
        <v>0</v>
      </c>
      <c r="O703" s="60">
        <f>M703*N703</f>
        <v>0</v>
      </c>
    </row>
    <row r="704" spans="1:15" ht="25.15" customHeight="1" thickBot="1">
      <c r="A704" s="66"/>
      <c r="B704" s="859">
        <f>'Cjenik M'!$B$82</f>
        <v>0</v>
      </c>
      <c r="C704" s="859"/>
      <c r="D704" s="67">
        <f>'Cjenik M'!$C$82</f>
        <v>0</v>
      </c>
      <c r="E704" s="68">
        <v>5.0000000000000001E-3</v>
      </c>
      <c r="F704" s="262">
        <f>'Cjenik M'!$D$82</f>
        <v>0</v>
      </c>
      <c r="G704" s="70">
        <f>E704*F704</f>
        <v>0</v>
      </c>
      <c r="I704" s="66"/>
      <c r="J704" s="859">
        <f>'Cjenik M'!$B$82</f>
        <v>0</v>
      </c>
      <c r="K704" s="859"/>
      <c r="L704" s="67">
        <f>'Cjenik M'!$C$82</f>
        <v>0</v>
      </c>
      <c r="M704" s="68">
        <v>5.0000000000000001E-3</v>
      </c>
      <c r="N704" s="262">
        <f>'Cjenik M'!$D$82</f>
        <v>0</v>
      </c>
      <c r="O704" s="70">
        <f>M704*N704</f>
        <v>0</v>
      </c>
    </row>
    <row r="705" spans="1:15" ht="25.15" customHeight="1" thickTop="1" thickBot="1">
      <c r="B705" s="47"/>
      <c r="C705" s="24"/>
      <c r="D705" s="25"/>
      <c r="E705" s="850" t="str">
        <f>'Obrazac kalkulacije'!$E$18</f>
        <v>Ukupno (kn):</v>
      </c>
      <c r="F705" s="850"/>
      <c r="G705" s="26" t="e">
        <f>ROUND(SUM(G696+G698+G700),2)</f>
        <v>#VALUE!</v>
      </c>
      <c r="H705" s="269" t="e">
        <f>SUMIF(#REF!,$B692,#REF!)</f>
        <v>#REF!</v>
      </c>
      <c r="J705" s="47"/>
      <c r="K705" s="24"/>
      <c r="L705" s="25"/>
      <c r="M705" s="850" t="str">
        <f>'Obrazac kalkulacije'!$E$18</f>
        <v>Ukupno (kn):</v>
      </c>
      <c r="N705" s="850"/>
      <c r="O705" s="26" t="e">
        <f>ROUND(SUM(O696+O698+O700),2)</f>
        <v>#VALUE!</v>
      </c>
    </row>
    <row r="706" spans="1:15" ht="25.15" customHeight="1" thickTop="1" thickBot="1">
      <c r="E706" s="27" t="str">
        <f>'Obrazac kalkulacije'!$E$19</f>
        <v>PDV:</v>
      </c>
      <c r="F706" s="259">
        <f>'Obrazac kalkulacije'!$F$19</f>
        <v>0.25</v>
      </c>
      <c r="G706" s="29" t="e">
        <f>G705*F706</f>
        <v>#VALUE!</v>
      </c>
      <c r="H706" s="270" t="e">
        <f>H705-G705</f>
        <v>#REF!</v>
      </c>
      <c r="M706" s="27" t="str">
        <f>'Obrazac kalkulacije'!$E$19</f>
        <v>PDV:</v>
      </c>
      <c r="N706" s="259">
        <f>'Obrazac kalkulacije'!$F$19</f>
        <v>0.25</v>
      </c>
      <c r="O706" s="29" t="e">
        <f>O705*N706</f>
        <v>#VALUE!</v>
      </c>
    </row>
    <row r="707" spans="1:15" ht="25.15" customHeight="1" thickTop="1" thickBot="1">
      <c r="E707" s="840" t="str">
        <f>'Obrazac kalkulacije'!$E$20</f>
        <v>Sveukupno (kn):</v>
      </c>
      <c r="F707" s="840"/>
      <c r="G707" s="29" t="e">
        <f>ROUND(SUM(G705:G706),2)</f>
        <v>#VALUE!</v>
      </c>
      <c r="H707" s="271" t="e">
        <f>G699+H706</f>
        <v>#REF!</v>
      </c>
      <c r="M707" s="840" t="str">
        <f>'Obrazac kalkulacije'!$E$20</f>
        <v>Sveukupno (kn):</v>
      </c>
      <c r="N707" s="840"/>
      <c r="O707" s="29" t="e">
        <f>ROUND(SUM(O705:O706),2)</f>
        <v>#VALUE!</v>
      </c>
    </row>
    <row r="708" spans="1:15" ht="15" customHeight="1" thickTop="1"/>
    <row r="709" spans="1:15" ht="15" customHeight="1"/>
    <row r="710" spans="1:15" ht="15" customHeight="1"/>
    <row r="711" spans="1:15" ht="15" customHeight="1">
      <c r="C711" s="3" t="str">
        <f>'Obrazac kalkulacije'!$C$24</f>
        <v>IZVODITELJ:</v>
      </c>
      <c r="F711" s="841" t="str">
        <f>'Obrazac kalkulacije'!$F$24</f>
        <v>NARUČITELJ:</v>
      </c>
      <c r="G711" s="841"/>
      <c r="K711" s="3" t="str">
        <f>'Obrazac kalkulacije'!$C$24</f>
        <v>IZVODITELJ:</v>
      </c>
      <c r="N711" s="841" t="str">
        <f>'Obrazac kalkulacije'!$F$24</f>
        <v>NARUČITELJ:</v>
      </c>
      <c r="O711" s="841"/>
    </row>
    <row r="712" spans="1:15" ht="25.15" customHeight="1">
      <c r="C712" s="3" t="str">
        <f>'Obrazac kalkulacije'!$C$25</f>
        <v>__________________</v>
      </c>
      <c r="F712" s="841" t="str">
        <f>'Obrazac kalkulacije'!$F$25</f>
        <v>___________________</v>
      </c>
      <c r="G712" s="841"/>
      <c r="K712" s="3" t="str">
        <f>'Obrazac kalkulacije'!$C$25</f>
        <v>__________________</v>
      </c>
      <c r="N712" s="841" t="str">
        <f>'Obrazac kalkulacije'!$F$25</f>
        <v>___________________</v>
      </c>
      <c r="O712" s="841"/>
    </row>
    <row r="713" spans="1:15" ht="15" customHeight="1">
      <c r="F713" s="841"/>
      <c r="G713" s="841"/>
      <c r="N713" s="841"/>
      <c r="O713" s="841"/>
    </row>
    <row r="714" spans="1:15" ht="15" customHeight="1"/>
    <row r="715" spans="1:15" ht="15" customHeight="1">
      <c r="A715" s="144"/>
      <c r="B715" s="145" t="s">
        <v>31</v>
      </c>
      <c r="C715" s="836" t="s">
        <v>261</v>
      </c>
      <c r="D715" s="836"/>
      <c r="E715" s="836"/>
      <c r="F715" s="836"/>
      <c r="G715" s="836"/>
      <c r="I715" s="144"/>
      <c r="J715" s="145" t="s">
        <v>31</v>
      </c>
      <c r="K715" s="836" t="s">
        <v>261</v>
      </c>
      <c r="L715" s="836"/>
      <c r="M715" s="836"/>
      <c r="N715" s="836"/>
      <c r="O715" s="836"/>
    </row>
    <row r="716" spans="1:15" ht="15" customHeight="1">
      <c r="A716" s="38"/>
      <c r="B716" s="39" t="s">
        <v>326</v>
      </c>
      <c r="C716" s="860" t="s">
        <v>327</v>
      </c>
      <c r="D716" s="860"/>
      <c r="E716" s="860"/>
      <c r="F716" s="860"/>
      <c r="G716" s="860"/>
      <c r="I716" s="38"/>
      <c r="J716" s="39" t="s">
        <v>326</v>
      </c>
      <c r="K716" s="860" t="s">
        <v>327</v>
      </c>
      <c r="L716" s="860"/>
      <c r="M716" s="860"/>
      <c r="N716" s="860"/>
      <c r="O716" s="860"/>
    </row>
    <row r="717" spans="1:15" ht="150" customHeight="1">
      <c r="A717" s="40"/>
      <c r="B717" s="556" t="s">
        <v>349</v>
      </c>
      <c r="C717" s="852" t="s">
        <v>350</v>
      </c>
      <c r="D717" s="852"/>
      <c r="E717" s="852"/>
      <c r="F717" s="852"/>
      <c r="G717" s="852"/>
      <c r="I717" s="40"/>
      <c r="J717" s="41" t="s">
        <v>349</v>
      </c>
      <c r="K717" s="869" t="s">
        <v>351</v>
      </c>
      <c r="L717" s="869"/>
      <c r="M717" s="869"/>
      <c r="N717" s="869"/>
      <c r="O717" s="869"/>
    </row>
    <row r="718" spans="1:15" ht="15" customHeight="1" thickBot="1"/>
    <row r="719" spans="1:15" ht="30" customHeight="1" thickTop="1" thickBot="1">
      <c r="A719" s="10"/>
      <c r="B719" s="835" t="str">
        <f>'Obrazac kalkulacije'!$B$6:$C$6</f>
        <v>Opis</v>
      </c>
      <c r="C719" s="835"/>
      <c r="D719" s="10" t="str">
        <f>'Obrazac kalkulacije'!$D$6</f>
        <v>Jed.
mjere</v>
      </c>
      <c r="E719" s="10" t="str">
        <f>'Obrazac kalkulacije'!$E$6</f>
        <v>Normativ</v>
      </c>
      <c r="F719" s="10" t="str">
        <f>'Obrazac kalkulacije'!$F$6</f>
        <v>Jed.
cijena</v>
      </c>
      <c r="G719" s="10" t="str">
        <f>'Obrazac kalkulacije'!$G$6</f>
        <v>Iznos</v>
      </c>
      <c r="I719" s="10"/>
      <c r="J719" s="835" t="e">
        <f>'Obrazac kalkulacije'!$B$6:$C$6</f>
        <v>#VALUE!</v>
      </c>
      <c r="K719" s="835"/>
      <c r="L719" s="10" t="str">
        <f>'Obrazac kalkulacije'!$D$6</f>
        <v>Jed.
mjere</v>
      </c>
      <c r="M719" s="10" t="str">
        <f>'Obrazac kalkulacije'!$E$6</f>
        <v>Normativ</v>
      </c>
      <c r="N719" s="10" t="str">
        <f>'Obrazac kalkulacije'!$F$6</f>
        <v>Jed.
cijena</v>
      </c>
      <c r="O719" s="10" t="str">
        <f>'Obrazac kalkulacije'!$G$6</f>
        <v>Iznos</v>
      </c>
    </row>
    <row r="720" spans="1:15" ht="4.5" customHeight="1" thickTop="1">
      <c r="B720" s="42"/>
      <c r="C720" s="1"/>
      <c r="D720" s="11"/>
      <c r="E720" s="13"/>
      <c r="F720" s="258"/>
      <c r="G720" s="15"/>
      <c r="J720" s="42"/>
      <c r="K720" s="1"/>
      <c r="L720" s="11"/>
      <c r="M720" s="13"/>
      <c r="N720" s="258"/>
      <c r="O720" s="15"/>
    </row>
    <row r="721" spans="1:15" ht="25.15" customHeight="1">
      <c r="A721" s="16"/>
      <c r="B721" s="837" t="str">
        <f>'Obrazac kalkulacije'!$B$8</f>
        <v>Radna snaga:</v>
      </c>
      <c r="C721" s="837"/>
      <c r="D721" s="16"/>
      <c r="E721" s="16"/>
      <c r="F721" s="44"/>
      <c r="G721" s="18">
        <f>SUM(G722:G722)</f>
        <v>126.76606353000001</v>
      </c>
      <c r="I721" s="16"/>
      <c r="J721" s="837" t="str">
        <f>'Obrazac kalkulacije'!$B$8</f>
        <v>Radna snaga:</v>
      </c>
      <c r="K721" s="837"/>
      <c r="L721" s="16"/>
      <c r="M721" s="16"/>
      <c r="N721" s="44"/>
      <c r="O721" s="18">
        <f>SUM(O722:O722)</f>
        <v>126.76606353000001</v>
      </c>
    </row>
    <row r="722" spans="1:15" ht="25.15" customHeight="1">
      <c r="A722" s="32"/>
      <c r="B722" s="854" t="s">
        <v>57</v>
      </c>
      <c r="C722" s="854"/>
      <c r="D722" s="33" t="s">
        <v>51</v>
      </c>
      <c r="E722" s="34">
        <v>1.2069510000000001</v>
      </c>
      <c r="F722" s="238">
        <f>SUMIF('Cjenik RS'!$C$11:$C$26,$B722,'Cjenik RS'!$D$11:$D$90)</f>
        <v>105.03</v>
      </c>
      <c r="G722" s="35">
        <f>E722*F722</f>
        <v>126.76606353000001</v>
      </c>
      <c r="I722" s="32"/>
      <c r="J722" s="854" t="s">
        <v>57</v>
      </c>
      <c r="K722" s="854"/>
      <c r="L722" s="33" t="s">
        <v>51</v>
      </c>
      <c r="M722" s="34">
        <v>1.2069510000000001</v>
      </c>
      <c r="N722" s="238">
        <f>SUMIF('Cjenik RS'!$C$11:$C$26,$J722,'Cjenik RS'!$D$11:$D$90)</f>
        <v>105.03</v>
      </c>
      <c r="O722" s="35">
        <f>M722*N722</f>
        <v>126.76606353000001</v>
      </c>
    </row>
    <row r="723" spans="1:15" ht="25.15" customHeight="1">
      <c r="A723" s="16"/>
      <c r="B723" s="837" t="str">
        <f>'Obrazac kalkulacije'!$B$11</f>
        <v>Vozila, strojevi i oprema:</v>
      </c>
      <c r="C723" s="837"/>
      <c r="D723" s="16"/>
      <c r="E723" s="16"/>
      <c r="F723" s="238"/>
      <c r="G723" s="18">
        <f>SUM(G724)</f>
        <v>13.068232804232805</v>
      </c>
      <c r="I723" s="16"/>
      <c r="J723" s="837" t="str">
        <f>'Obrazac kalkulacije'!$B$11</f>
        <v>Vozila, strojevi i oprema:</v>
      </c>
      <c r="K723" s="837"/>
      <c r="L723" s="16"/>
      <c r="M723" s="16"/>
      <c r="N723" s="238"/>
      <c r="O723" s="18">
        <f>SUM(O724)</f>
        <v>13.24671348</v>
      </c>
    </row>
    <row r="724" spans="1:15" ht="25.15" customHeight="1">
      <c r="A724" s="16"/>
      <c r="B724" s="838" t="s">
        <v>73</v>
      </c>
      <c r="C724" s="838"/>
      <c r="D724" s="44" t="s">
        <v>51</v>
      </c>
      <c r="E724" s="45">
        <v>4.4797178130511463E-2</v>
      </c>
      <c r="F724" s="260">
        <f>SUMIF('Cjenik VSO'!$B$9:$B$85,$B724,'Cjenik VSO'!$C$9:$C$85)</f>
        <v>291.72000000000003</v>
      </c>
      <c r="G724" s="46">
        <f>E724*F724</f>
        <v>13.068232804232805</v>
      </c>
      <c r="I724" s="16"/>
      <c r="J724" s="838" t="s">
        <v>73</v>
      </c>
      <c r="K724" s="838"/>
      <c r="L724" s="44" t="s">
        <v>51</v>
      </c>
      <c r="M724" s="45">
        <v>4.5408999999999998E-2</v>
      </c>
      <c r="N724" s="260">
        <f>SUMIF('Cjenik VSO'!$B$9:$B$85,$B724,'Cjenik VSO'!$C$9:$C$85)</f>
        <v>291.72000000000003</v>
      </c>
      <c r="O724" s="46">
        <f>M724*N724</f>
        <v>13.24671348</v>
      </c>
    </row>
    <row r="725" spans="1:15" ht="25.15" customHeight="1">
      <c r="A725" s="16"/>
      <c r="B725" s="837" t="str">
        <f>'Obrazac kalkulacije'!$B$15</f>
        <v>Materijali:</v>
      </c>
      <c r="C725" s="837"/>
      <c r="D725" s="16"/>
      <c r="E725" s="16"/>
      <c r="F725" s="238"/>
      <c r="G725" s="18" t="e">
        <f>SUM(G726:G729)</f>
        <v>#VALUE!</v>
      </c>
      <c r="I725" s="16"/>
      <c r="J725" s="837" t="str">
        <f>'Obrazac kalkulacije'!$B$15</f>
        <v>Materijali:</v>
      </c>
      <c r="K725" s="837"/>
      <c r="L725" s="16"/>
      <c r="M725" s="16"/>
      <c r="N725" s="238"/>
      <c r="O725" s="18" t="e">
        <f>SUM(O726:O729)</f>
        <v>#VALUE!</v>
      </c>
    </row>
    <row r="726" spans="1:15" ht="25.15" customHeight="1">
      <c r="A726" s="51"/>
      <c r="B726" s="863" t="str">
        <f>'Cjenik M'!$B$27</f>
        <v>____________</v>
      </c>
      <c r="C726" s="863"/>
      <c r="D726" s="52">
        <f>'Cjenik M'!$C$27</f>
        <v>0</v>
      </c>
      <c r="E726" s="53">
        <v>1.4999999999999999E-2</v>
      </c>
      <c r="F726" s="260" t="str">
        <f>'Cjenik M'!$D$27</f>
        <v>___________</v>
      </c>
      <c r="G726" s="55" t="e">
        <f>E726*F726</f>
        <v>#VALUE!</v>
      </c>
      <c r="I726" s="51"/>
      <c r="J726" s="863" t="str">
        <f>'Cjenik M'!$B$27</f>
        <v>____________</v>
      </c>
      <c r="K726" s="863"/>
      <c r="L726" s="52">
        <f>'Cjenik M'!$C$27</f>
        <v>0</v>
      </c>
      <c r="M726" s="53">
        <v>1.4999999999999999E-2</v>
      </c>
      <c r="N726" s="260" t="str">
        <f>'Cjenik M'!$D$27</f>
        <v>___________</v>
      </c>
      <c r="O726" s="55" t="e">
        <f>M726*N726</f>
        <v>#VALUE!</v>
      </c>
    </row>
    <row r="727" spans="1:15" ht="25.15" customHeight="1">
      <c r="A727" s="56"/>
      <c r="B727" s="834">
        <f>'Cjenik M'!$B$33</f>
        <v>0</v>
      </c>
      <c r="C727" s="834"/>
      <c r="D727" s="57">
        <f>'Cjenik M'!$C$33</f>
        <v>0</v>
      </c>
      <c r="E727" s="58">
        <v>0.04</v>
      </c>
      <c r="F727" s="263">
        <f>'Cjenik M'!$D$33</f>
        <v>0</v>
      </c>
      <c r="G727" s="60">
        <f>E727*F727</f>
        <v>0</v>
      </c>
      <c r="I727" s="56"/>
      <c r="J727" s="834">
        <f>'Cjenik M'!$B$33</f>
        <v>0</v>
      </c>
      <c r="K727" s="834"/>
      <c r="L727" s="57">
        <f>'Cjenik M'!$C$33</f>
        <v>0</v>
      </c>
      <c r="M727" s="58">
        <v>0.04</v>
      </c>
      <c r="N727" s="263">
        <f>'Cjenik M'!$D$33</f>
        <v>0</v>
      </c>
      <c r="O727" s="60">
        <f>M727*N727</f>
        <v>0</v>
      </c>
    </row>
    <row r="728" spans="1:15" ht="25.15" customHeight="1">
      <c r="A728" s="56"/>
      <c r="B728" s="834">
        <f>'Cjenik M'!$B$40</f>
        <v>0</v>
      </c>
      <c r="C728" s="834"/>
      <c r="D728" s="57">
        <f>'Cjenik M'!$C$40</f>
        <v>0</v>
      </c>
      <c r="E728" s="58">
        <v>1.05</v>
      </c>
      <c r="F728" s="263">
        <f>'Cjenik M'!$D$40</f>
        <v>0</v>
      </c>
      <c r="G728" s="60">
        <f>E728*F728</f>
        <v>0</v>
      </c>
      <c r="I728" s="56"/>
      <c r="J728" s="834">
        <f>'Cjenik M'!$B$40</f>
        <v>0</v>
      </c>
      <c r="K728" s="834"/>
      <c r="L728" s="57">
        <f>'Cjenik M'!$C$40</f>
        <v>0</v>
      </c>
      <c r="M728" s="58">
        <v>1.05</v>
      </c>
      <c r="N728" s="263">
        <f>'Cjenik M'!$D$40</f>
        <v>0</v>
      </c>
      <c r="O728" s="60">
        <f>M728*N728</f>
        <v>0</v>
      </c>
    </row>
    <row r="729" spans="1:15" ht="25.15" customHeight="1" thickBot="1">
      <c r="A729" s="66"/>
      <c r="B729" s="859">
        <f>'Cjenik M'!$B$82</f>
        <v>0</v>
      </c>
      <c r="C729" s="859"/>
      <c r="D729" s="67">
        <f>'Cjenik M'!$C$82</f>
        <v>0</v>
      </c>
      <c r="E729" s="68">
        <v>5.0000000000000001E-3</v>
      </c>
      <c r="F729" s="262">
        <f>'Cjenik M'!$D$82</f>
        <v>0</v>
      </c>
      <c r="G729" s="70">
        <f>E729*F729</f>
        <v>0</v>
      </c>
      <c r="I729" s="66"/>
      <c r="J729" s="859">
        <f>'Cjenik M'!$B$82</f>
        <v>0</v>
      </c>
      <c r="K729" s="859"/>
      <c r="L729" s="67">
        <f>'Cjenik M'!$C$82</f>
        <v>0</v>
      </c>
      <c r="M729" s="68">
        <v>5.0000000000000001E-3</v>
      </c>
      <c r="N729" s="262">
        <f>'Cjenik M'!$D$82</f>
        <v>0</v>
      </c>
      <c r="O729" s="70">
        <f>M729*N729</f>
        <v>0</v>
      </c>
    </row>
    <row r="730" spans="1:15" ht="25.15" customHeight="1" thickTop="1" thickBot="1">
      <c r="B730" s="47"/>
      <c r="C730" s="24"/>
      <c r="D730" s="25"/>
      <c r="E730" s="850" t="str">
        <f>'Obrazac kalkulacije'!$E$18</f>
        <v>Ukupno (kn):</v>
      </c>
      <c r="F730" s="850"/>
      <c r="G730" s="26" t="e">
        <f>ROUND(SUM(G721+G723+G725),2)</f>
        <v>#VALUE!</v>
      </c>
      <c r="H730" s="269" t="e">
        <f>SUMIF(#REF!,$B717,#REF!)</f>
        <v>#REF!</v>
      </c>
      <c r="J730" s="47"/>
      <c r="K730" s="24"/>
      <c r="L730" s="25"/>
      <c r="M730" s="850" t="str">
        <f>'Obrazac kalkulacije'!$E$18</f>
        <v>Ukupno (kn):</v>
      </c>
      <c r="N730" s="850"/>
      <c r="O730" s="26" t="e">
        <f>ROUND(SUM(O721+O723+O725),2)</f>
        <v>#VALUE!</v>
      </c>
    </row>
    <row r="731" spans="1:15" ht="25.15" customHeight="1" thickTop="1" thickBot="1">
      <c r="E731" s="27" t="str">
        <f>'Obrazac kalkulacije'!$E$19</f>
        <v>PDV:</v>
      </c>
      <c r="F731" s="259">
        <f>'Obrazac kalkulacije'!$F$19</f>
        <v>0.25</v>
      </c>
      <c r="G731" s="29" t="e">
        <f>G730*F731</f>
        <v>#VALUE!</v>
      </c>
      <c r="H731" s="270" t="e">
        <f>H730-G730</f>
        <v>#REF!</v>
      </c>
      <c r="M731" s="27" t="str">
        <f>'Obrazac kalkulacije'!$E$19</f>
        <v>PDV:</v>
      </c>
      <c r="N731" s="259">
        <f>'Obrazac kalkulacije'!$F$19</f>
        <v>0.25</v>
      </c>
      <c r="O731" s="29" t="e">
        <f>O730*N731</f>
        <v>#VALUE!</v>
      </c>
    </row>
    <row r="732" spans="1:15" ht="25.15" customHeight="1" thickTop="1" thickBot="1">
      <c r="E732" s="840" t="str">
        <f>'Obrazac kalkulacije'!$E$20</f>
        <v>Sveukupno (kn):</v>
      </c>
      <c r="F732" s="840"/>
      <c r="G732" s="29" t="e">
        <f>ROUND(SUM(G730:G731),2)</f>
        <v>#VALUE!</v>
      </c>
      <c r="H732" s="271" t="e">
        <f>G724+H731</f>
        <v>#REF!</v>
      </c>
      <c r="M732" s="840" t="str">
        <f>'Obrazac kalkulacije'!$E$20</f>
        <v>Sveukupno (kn):</v>
      </c>
      <c r="N732" s="840"/>
      <c r="O732" s="29" t="e">
        <f>ROUND(SUM(O730:O731),2)</f>
        <v>#VALUE!</v>
      </c>
    </row>
    <row r="733" spans="1:15" ht="15" customHeight="1" thickTop="1"/>
    <row r="734" spans="1:15" ht="15" customHeight="1"/>
    <row r="735" spans="1:15" ht="15" customHeight="1"/>
    <row r="736" spans="1:15" ht="15" customHeight="1">
      <c r="C736" s="3" t="str">
        <f>'Obrazac kalkulacije'!$C$24</f>
        <v>IZVODITELJ:</v>
      </c>
      <c r="F736" s="841" t="str">
        <f>'Obrazac kalkulacije'!$F$24</f>
        <v>NARUČITELJ:</v>
      </c>
      <c r="G736" s="841"/>
      <c r="K736" s="3" t="str">
        <f>'Obrazac kalkulacije'!$C$24</f>
        <v>IZVODITELJ:</v>
      </c>
      <c r="N736" s="841" t="str">
        <f>'Obrazac kalkulacije'!$F$24</f>
        <v>NARUČITELJ:</v>
      </c>
      <c r="O736" s="841"/>
    </row>
    <row r="737" spans="1:15" ht="25.15" customHeight="1">
      <c r="C737" s="3" t="str">
        <f>'Obrazac kalkulacije'!$C$25</f>
        <v>__________________</v>
      </c>
      <c r="F737" s="841" t="str">
        <f>'Obrazac kalkulacije'!$F$25</f>
        <v>___________________</v>
      </c>
      <c r="G737" s="841"/>
      <c r="K737" s="3" t="str">
        <f>'Obrazac kalkulacije'!$C$25</f>
        <v>__________________</v>
      </c>
      <c r="N737" s="841" t="str">
        <f>'Obrazac kalkulacije'!$F$25</f>
        <v>___________________</v>
      </c>
      <c r="O737" s="841"/>
    </row>
    <row r="738" spans="1:15" ht="15" customHeight="1">
      <c r="F738" s="841"/>
      <c r="G738" s="841"/>
      <c r="N738" s="841"/>
      <c r="O738" s="841"/>
    </row>
    <row r="739" spans="1:15" ht="15" customHeight="1"/>
    <row r="740" spans="1:15" ht="15" customHeight="1">
      <c r="A740" s="144"/>
      <c r="B740" s="145" t="s">
        <v>31</v>
      </c>
      <c r="C740" s="836" t="s">
        <v>261</v>
      </c>
      <c r="D740" s="836"/>
      <c r="E740" s="836"/>
      <c r="F740" s="836"/>
      <c r="G740" s="836"/>
      <c r="I740" s="144"/>
      <c r="J740" s="145" t="s">
        <v>31</v>
      </c>
      <c r="K740" s="836" t="s">
        <v>261</v>
      </c>
      <c r="L740" s="836"/>
      <c r="M740" s="836"/>
      <c r="N740" s="836"/>
      <c r="O740" s="836"/>
    </row>
    <row r="741" spans="1:15" ht="15" customHeight="1">
      <c r="A741" s="38"/>
      <c r="B741" s="39" t="s">
        <v>326</v>
      </c>
      <c r="C741" s="860" t="s">
        <v>327</v>
      </c>
      <c r="D741" s="860"/>
      <c r="E741" s="860"/>
      <c r="F741" s="860"/>
      <c r="G741" s="860"/>
      <c r="I741" s="38"/>
      <c r="J741" s="39" t="s">
        <v>326</v>
      </c>
      <c r="K741" s="860" t="s">
        <v>327</v>
      </c>
      <c r="L741" s="860"/>
      <c r="M741" s="860"/>
      <c r="N741" s="860"/>
      <c r="O741" s="860"/>
    </row>
    <row r="742" spans="1:15" ht="150" customHeight="1">
      <c r="A742" s="40"/>
      <c r="B742" s="556" t="s">
        <v>352</v>
      </c>
      <c r="C742" s="852" t="s">
        <v>353</v>
      </c>
      <c r="D742" s="852"/>
      <c r="E742" s="852"/>
      <c r="F742" s="852"/>
      <c r="G742" s="852"/>
      <c r="I742" s="40"/>
      <c r="J742" s="41" t="s">
        <v>352</v>
      </c>
      <c r="K742" s="869" t="s">
        <v>354</v>
      </c>
      <c r="L742" s="869"/>
      <c r="M742" s="869"/>
      <c r="N742" s="869"/>
      <c r="O742" s="869"/>
    </row>
    <row r="743" spans="1:15" ht="15" customHeight="1" thickBot="1"/>
    <row r="744" spans="1:15" ht="30" customHeight="1" thickTop="1" thickBot="1">
      <c r="A744" s="10"/>
      <c r="B744" s="835" t="str">
        <f>'Obrazac kalkulacije'!$B$6:$C$6</f>
        <v>Opis</v>
      </c>
      <c r="C744" s="835"/>
      <c r="D744" s="10" t="str">
        <f>'Obrazac kalkulacije'!$D$6</f>
        <v>Jed.
mjere</v>
      </c>
      <c r="E744" s="10" t="str">
        <f>'Obrazac kalkulacije'!$E$6</f>
        <v>Normativ</v>
      </c>
      <c r="F744" s="10" t="str">
        <f>'Obrazac kalkulacije'!$F$6</f>
        <v>Jed.
cijena</v>
      </c>
      <c r="G744" s="10" t="str">
        <f>'Obrazac kalkulacije'!$G$6</f>
        <v>Iznos</v>
      </c>
      <c r="I744" s="10"/>
      <c r="J744" s="835" t="e">
        <f>'Obrazac kalkulacije'!$B$6:$C$6</f>
        <v>#VALUE!</v>
      </c>
      <c r="K744" s="835"/>
      <c r="L744" s="10" t="str">
        <f>'Obrazac kalkulacije'!$D$6</f>
        <v>Jed.
mjere</v>
      </c>
      <c r="M744" s="10" t="str">
        <f>'Obrazac kalkulacije'!$E$6</f>
        <v>Normativ</v>
      </c>
      <c r="N744" s="10" t="str">
        <f>'Obrazac kalkulacije'!$F$6</f>
        <v>Jed.
cijena</v>
      </c>
      <c r="O744" s="10" t="str">
        <f>'Obrazac kalkulacije'!$G$6</f>
        <v>Iznos</v>
      </c>
    </row>
    <row r="745" spans="1:15" ht="4.5" customHeight="1" thickTop="1">
      <c r="B745" s="42"/>
      <c r="C745" s="1"/>
      <c r="D745" s="11"/>
      <c r="E745" s="13"/>
      <c r="F745" s="258"/>
      <c r="G745" s="15"/>
      <c r="J745" s="42"/>
      <c r="K745" s="1"/>
      <c r="L745" s="11"/>
      <c r="M745" s="13"/>
      <c r="N745" s="258"/>
      <c r="O745" s="15"/>
    </row>
    <row r="746" spans="1:15" ht="25.15" customHeight="1">
      <c r="A746" s="16"/>
      <c r="B746" s="837" t="str">
        <f>'Obrazac kalkulacije'!$B$8</f>
        <v>Radna snaga:</v>
      </c>
      <c r="C746" s="837"/>
      <c r="D746" s="16"/>
      <c r="E746" s="16"/>
      <c r="F746" s="44"/>
      <c r="G746" s="18">
        <f>SUM(G747:G747)</f>
        <v>346.99181219999997</v>
      </c>
      <c r="I746" s="16"/>
      <c r="J746" s="837" t="str">
        <f>'Obrazac kalkulacije'!$B$8</f>
        <v>Radna snaga:</v>
      </c>
      <c r="K746" s="837"/>
      <c r="L746" s="16"/>
      <c r="M746" s="16"/>
      <c r="N746" s="44"/>
      <c r="O746" s="18">
        <f>SUM(O747:O747)</f>
        <v>346.99181219999997</v>
      </c>
    </row>
    <row r="747" spans="1:15" ht="25.15" customHeight="1">
      <c r="A747" s="32"/>
      <c r="B747" s="854" t="s">
        <v>57</v>
      </c>
      <c r="C747" s="854"/>
      <c r="D747" s="33" t="s">
        <v>51</v>
      </c>
      <c r="E747" s="34">
        <v>3.3037399999999999</v>
      </c>
      <c r="F747" s="238">
        <f>SUMIF('Cjenik RS'!$C$11:$C$26,$B747,'Cjenik RS'!$D$11:$D$90)</f>
        <v>105.03</v>
      </c>
      <c r="G747" s="35">
        <f>E747*F747</f>
        <v>346.99181219999997</v>
      </c>
      <c r="I747" s="32"/>
      <c r="J747" s="854" t="s">
        <v>57</v>
      </c>
      <c r="K747" s="854"/>
      <c r="L747" s="33" t="s">
        <v>51</v>
      </c>
      <c r="M747" s="34">
        <v>3.3037399999999999</v>
      </c>
      <c r="N747" s="238">
        <f>SUMIF('Cjenik RS'!$C$11:$C$26,$J747,'Cjenik RS'!$D$11:$D$90)</f>
        <v>105.03</v>
      </c>
      <c r="O747" s="35">
        <f>M747*N747</f>
        <v>346.99181219999997</v>
      </c>
    </row>
    <row r="748" spans="1:15" ht="25.15" customHeight="1">
      <c r="A748" s="16"/>
      <c r="B748" s="837" t="str">
        <f>'Obrazac kalkulacije'!$B$11</f>
        <v>Vozila, strojevi i oprema:</v>
      </c>
      <c r="C748" s="837"/>
      <c r="D748" s="16"/>
      <c r="E748" s="16"/>
      <c r="F748" s="238"/>
      <c r="G748" s="18">
        <f>SUM(G749:G751)</f>
        <v>58.324753208789552</v>
      </c>
      <c r="I748" s="16"/>
      <c r="J748" s="837" t="str">
        <f>'Obrazac kalkulacije'!$B$11</f>
        <v>Vozila, strojevi i oprema:</v>
      </c>
      <c r="K748" s="837"/>
      <c r="L748" s="16"/>
      <c r="M748" s="16"/>
      <c r="N748" s="238"/>
      <c r="O748" s="18">
        <f>SUM(O749:O751)</f>
        <v>62.283255440000005</v>
      </c>
    </row>
    <row r="749" spans="1:15" ht="25.15" customHeight="1">
      <c r="A749" s="51"/>
      <c r="B749" s="849" t="s">
        <v>73</v>
      </c>
      <c r="C749" s="849"/>
      <c r="D749" s="52" t="s">
        <v>51</v>
      </c>
      <c r="E749" s="86">
        <v>0.10492747363495664</v>
      </c>
      <c r="F749" s="260">
        <f>SUMIF('Cjenik VSO'!$B$9:$B$85,$B749,'Cjenik VSO'!$C$9:$C$85)</f>
        <v>291.72000000000003</v>
      </c>
      <c r="G749" s="54">
        <f>E749*F749</f>
        <v>30.609442608789553</v>
      </c>
      <c r="I749" s="51"/>
      <c r="J749" s="849" t="s">
        <v>73</v>
      </c>
      <c r="K749" s="849"/>
      <c r="L749" s="52" t="s">
        <v>51</v>
      </c>
      <c r="M749" s="135">
        <v>0.11849700000000001</v>
      </c>
      <c r="N749" s="260">
        <f>SUMIF('Cjenik VSO'!$B$9:$B$85,$B749,'Cjenik VSO'!$C$9:$C$85)</f>
        <v>291.72000000000003</v>
      </c>
      <c r="O749" s="54">
        <f>M749*N749</f>
        <v>34.567944840000003</v>
      </c>
    </row>
    <row r="750" spans="1:15" ht="25.15" customHeight="1">
      <c r="A750" s="56"/>
      <c r="B750" s="839" t="s">
        <v>97</v>
      </c>
      <c r="C750" s="839"/>
      <c r="D750" s="57" t="s">
        <v>51</v>
      </c>
      <c r="E750" s="136">
        <v>8.3630999999999997E-2</v>
      </c>
      <c r="F750" s="263">
        <f>SUMIF('Cjenik VSO'!$B$9:$B$85,$B750,'Cjenik VSO'!$C$9:$C$85)</f>
        <v>279.37</v>
      </c>
      <c r="G750" s="59">
        <f>E750*F750</f>
        <v>23.363992469999999</v>
      </c>
      <c r="I750" s="56"/>
      <c r="J750" s="839" t="s">
        <v>97</v>
      </c>
      <c r="K750" s="839"/>
      <c r="L750" s="57" t="s">
        <v>51</v>
      </c>
      <c r="M750" s="136">
        <v>8.3630999999999997E-2</v>
      </c>
      <c r="N750" s="263">
        <f>SUMIF('Cjenik VSO'!$B$9:$B$85,$B750,'Cjenik VSO'!$C$9:$C$85)</f>
        <v>279.37</v>
      </c>
      <c r="O750" s="59">
        <f>M750*N750</f>
        <v>23.363992469999999</v>
      </c>
    </row>
    <row r="751" spans="1:15" ht="25.15" customHeight="1">
      <c r="A751" s="98"/>
      <c r="B751" s="875" t="s">
        <v>71</v>
      </c>
      <c r="C751" s="875"/>
      <c r="D751" s="57" t="s">
        <v>51</v>
      </c>
      <c r="E751" s="75">
        <v>4.2589000000000002E-2</v>
      </c>
      <c r="F751" s="263">
        <f>SUMIF('Cjenik VSO'!$B$9:$B$85,$B751,'Cjenik VSO'!$C$9:$C$85)</f>
        <v>102.17</v>
      </c>
      <c r="G751" s="60">
        <f>E751*F751</f>
        <v>4.3513181300000001</v>
      </c>
      <c r="I751" s="98"/>
      <c r="J751" s="875" t="s">
        <v>71</v>
      </c>
      <c r="K751" s="875"/>
      <c r="L751" s="57" t="s">
        <v>51</v>
      </c>
      <c r="M751" s="75">
        <v>4.2589000000000002E-2</v>
      </c>
      <c r="N751" s="263">
        <f>SUMIF('Cjenik VSO'!$B$9:$B$85,$B751,'Cjenik VSO'!$C$9:$C$85)</f>
        <v>102.17</v>
      </c>
      <c r="O751" s="60">
        <f>M751*N751</f>
        <v>4.3513181300000001</v>
      </c>
    </row>
    <row r="752" spans="1:15" ht="25.15" customHeight="1">
      <c r="A752" s="16"/>
      <c r="B752" s="837" t="str">
        <f>'Obrazac kalkulacije'!$B$15</f>
        <v>Materijali:</v>
      </c>
      <c r="C752" s="837"/>
      <c r="D752" s="16"/>
      <c r="E752" s="16"/>
      <c r="F752" s="238"/>
      <c r="G752" s="18" t="e">
        <f>SUM(G753:G757)</f>
        <v>#VALUE!</v>
      </c>
      <c r="I752" s="16"/>
      <c r="J752" s="837" t="str">
        <f>'Obrazac kalkulacije'!$B$15</f>
        <v>Materijali:</v>
      </c>
      <c r="K752" s="837"/>
      <c r="L752" s="16"/>
      <c r="M752" s="16"/>
      <c r="N752" s="238"/>
      <c r="O752" s="18" t="e">
        <f>SUM(O753:O757)</f>
        <v>#VALUE!</v>
      </c>
    </row>
    <row r="753" spans="1:15" ht="25.15" customHeight="1">
      <c r="A753" s="51"/>
      <c r="B753" s="863" t="str">
        <f>'Cjenik M'!$B$27</f>
        <v>____________</v>
      </c>
      <c r="C753" s="863"/>
      <c r="D753" s="52">
        <f>'Cjenik M'!$C$27</f>
        <v>0</v>
      </c>
      <c r="E753" s="53">
        <v>0.125</v>
      </c>
      <c r="F753" s="260" t="str">
        <f>'Cjenik M'!$D$27</f>
        <v>___________</v>
      </c>
      <c r="G753" s="55" t="e">
        <f>E753*F753</f>
        <v>#VALUE!</v>
      </c>
      <c r="I753" s="51"/>
      <c r="J753" s="863" t="str">
        <f>'Cjenik M'!$B$27</f>
        <v>____________</v>
      </c>
      <c r="K753" s="863"/>
      <c r="L753" s="52">
        <f>'Cjenik M'!$C$27</f>
        <v>0</v>
      </c>
      <c r="M753" s="53">
        <v>0.125</v>
      </c>
      <c r="N753" s="260" t="str">
        <f>'Cjenik M'!$D$27</f>
        <v>___________</v>
      </c>
      <c r="O753" s="55" t="e">
        <f>M753*N753</f>
        <v>#VALUE!</v>
      </c>
    </row>
    <row r="754" spans="1:15" ht="25.15" customHeight="1">
      <c r="A754" s="56"/>
      <c r="B754" s="834">
        <f>'Cjenik M'!$B$31</f>
        <v>0</v>
      </c>
      <c r="C754" s="834"/>
      <c r="D754" s="57">
        <f>'Cjenik M'!$C$31</f>
        <v>0</v>
      </c>
      <c r="E754" s="58">
        <v>6.7000000000000002E-3</v>
      </c>
      <c r="F754" s="263">
        <f>'Cjenik M'!$D$31</f>
        <v>0</v>
      </c>
      <c r="G754" s="60">
        <f>E754*F754</f>
        <v>0</v>
      </c>
      <c r="I754" s="56"/>
      <c r="J754" s="834">
        <f>'Cjenik M'!$B$31</f>
        <v>0</v>
      </c>
      <c r="K754" s="834"/>
      <c r="L754" s="57">
        <f>'Cjenik M'!$C$31</f>
        <v>0</v>
      </c>
      <c r="M754" s="58">
        <v>6.7000000000000002E-3</v>
      </c>
      <c r="N754" s="263">
        <f>'Cjenik M'!$D$31</f>
        <v>0</v>
      </c>
      <c r="O754" s="60">
        <f>M754*N754</f>
        <v>0</v>
      </c>
    </row>
    <row r="755" spans="1:15" ht="25.15" customHeight="1">
      <c r="A755" s="56"/>
      <c r="B755" s="834">
        <f>'Cjenik M'!$B$105</f>
        <v>0</v>
      </c>
      <c r="C755" s="834"/>
      <c r="D755" s="57">
        <f>'Cjenik M'!$C$105</f>
        <v>0</v>
      </c>
      <c r="E755" s="58">
        <v>0.2</v>
      </c>
      <c r="F755" s="263">
        <f>'Cjenik M'!$D$105</f>
        <v>0</v>
      </c>
      <c r="G755" s="60">
        <f>E755*F755</f>
        <v>0</v>
      </c>
      <c r="I755" s="56"/>
      <c r="J755" s="834">
        <f>'Cjenik M'!$B$105</f>
        <v>0</v>
      </c>
      <c r="K755" s="834"/>
      <c r="L755" s="57">
        <f>'Cjenik M'!$C$105</f>
        <v>0</v>
      </c>
      <c r="M755" s="58">
        <v>0.2</v>
      </c>
      <c r="N755" s="263">
        <f>'Cjenik M'!$D$105</f>
        <v>0</v>
      </c>
      <c r="O755" s="60">
        <f>M755*N755</f>
        <v>0</v>
      </c>
    </row>
    <row r="756" spans="1:15" ht="25.15" customHeight="1">
      <c r="A756" s="56"/>
      <c r="B756" s="834">
        <f>'Cjenik M'!$B$30</f>
        <v>0</v>
      </c>
      <c r="C756" s="834"/>
      <c r="D756" s="57">
        <f>'Cjenik M'!$C$30</f>
        <v>0</v>
      </c>
      <c r="E756" s="58">
        <v>0.19500000000000001</v>
      </c>
      <c r="F756" s="263">
        <f>'Cjenik M'!$D$30</f>
        <v>0</v>
      </c>
      <c r="G756" s="60">
        <f>E756*F756</f>
        <v>0</v>
      </c>
      <c r="I756" s="56"/>
      <c r="J756" s="834">
        <f>'Cjenik M'!$B$30</f>
        <v>0</v>
      </c>
      <c r="K756" s="834"/>
      <c r="L756" s="57">
        <f>'Cjenik M'!$C$30</f>
        <v>0</v>
      </c>
      <c r="M756" s="58">
        <v>0.19500000000000001</v>
      </c>
      <c r="N756" s="263">
        <f>'Cjenik M'!$D$30</f>
        <v>0</v>
      </c>
      <c r="O756" s="60">
        <f>M756*N756</f>
        <v>0</v>
      </c>
    </row>
    <row r="757" spans="1:15" ht="25.15" customHeight="1" thickBot="1">
      <c r="A757" s="66"/>
      <c r="B757" s="859">
        <f>'Cjenik M'!$B$82</f>
        <v>0</v>
      </c>
      <c r="C757" s="859"/>
      <c r="D757" s="67">
        <f>'Cjenik M'!$C$82</f>
        <v>0</v>
      </c>
      <c r="E757" s="68">
        <v>0.01</v>
      </c>
      <c r="F757" s="262">
        <f>'Cjenik M'!$D$82</f>
        <v>0</v>
      </c>
      <c r="G757" s="70">
        <f>E757*F757</f>
        <v>0</v>
      </c>
      <c r="I757" s="66"/>
      <c r="J757" s="859">
        <f>'Cjenik M'!$B$82</f>
        <v>0</v>
      </c>
      <c r="K757" s="859"/>
      <c r="L757" s="67">
        <f>'Cjenik M'!$C$82</f>
        <v>0</v>
      </c>
      <c r="M757" s="68">
        <v>0.01</v>
      </c>
      <c r="N757" s="262">
        <f>'Cjenik M'!$D$82</f>
        <v>0</v>
      </c>
      <c r="O757" s="70">
        <f>M757*N757</f>
        <v>0</v>
      </c>
    </row>
    <row r="758" spans="1:15" ht="25.15" customHeight="1" thickTop="1" thickBot="1">
      <c r="B758" s="47"/>
      <c r="C758" s="24"/>
      <c r="D758" s="25"/>
      <c r="E758" s="850" t="str">
        <f>'Obrazac kalkulacije'!$E$18</f>
        <v>Ukupno (kn):</v>
      </c>
      <c r="F758" s="850"/>
      <c r="G758" s="26" t="e">
        <f>ROUND(SUM(G746+G748+G752),2)</f>
        <v>#VALUE!</v>
      </c>
      <c r="H758" s="269" t="e">
        <f>SUMIF(#REF!,$B742,#REF!)</f>
        <v>#REF!</v>
      </c>
      <c r="J758" s="47"/>
      <c r="K758" s="24"/>
      <c r="L758" s="25"/>
      <c r="M758" s="850" t="str">
        <f>'Obrazac kalkulacije'!$E$18</f>
        <v>Ukupno (kn):</v>
      </c>
      <c r="N758" s="850"/>
      <c r="O758" s="26" t="e">
        <f>ROUND(SUM(O746+O748+O752),2)</f>
        <v>#VALUE!</v>
      </c>
    </row>
    <row r="759" spans="1:15" ht="25.15" customHeight="1" thickTop="1" thickBot="1">
      <c r="E759" s="27" t="str">
        <f>'Obrazac kalkulacije'!$E$19</f>
        <v>PDV:</v>
      </c>
      <c r="F759" s="259">
        <f>'Obrazac kalkulacije'!$F$19</f>
        <v>0.25</v>
      </c>
      <c r="G759" s="29" t="e">
        <f>G758*F759</f>
        <v>#VALUE!</v>
      </c>
      <c r="H759" s="270" t="e">
        <f>H758-G758</f>
        <v>#REF!</v>
      </c>
      <c r="M759" s="27" t="str">
        <f>'Obrazac kalkulacije'!$E$19</f>
        <v>PDV:</v>
      </c>
      <c r="N759" s="259">
        <f>'Obrazac kalkulacije'!$F$19</f>
        <v>0.25</v>
      </c>
      <c r="O759" s="29" t="e">
        <f>O758*N759</f>
        <v>#VALUE!</v>
      </c>
    </row>
    <row r="760" spans="1:15" ht="25.15" customHeight="1" thickTop="1" thickBot="1">
      <c r="E760" s="840" t="str">
        <f>'Obrazac kalkulacije'!$E$20</f>
        <v>Sveukupno (kn):</v>
      </c>
      <c r="F760" s="840"/>
      <c r="G760" s="29" t="e">
        <f>ROUND(SUM(G758:G759),2)</f>
        <v>#VALUE!</v>
      </c>
      <c r="H760" s="271" t="e">
        <f>G749+H759</f>
        <v>#REF!</v>
      </c>
      <c r="M760" s="840" t="str">
        <f>'Obrazac kalkulacije'!$E$20</f>
        <v>Sveukupno (kn):</v>
      </c>
      <c r="N760" s="840"/>
      <c r="O760" s="29" t="e">
        <f>ROUND(SUM(O758:O759),2)</f>
        <v>#VALUE!</v>
      </c>
    </row>
    <row r="761" spans="1:15" ht="15" customHeight="1" thickTop="1"/>
    <row r="762" spans="1:15" ht="15" customHeight="1"/>
    <row r="763" spans="1:15" ht="15" customHeight="1"/>
    <row r="764" spans="1:15" ht="15" customHeight="1">
      <c r="C764" s="3" t="str">
        <f>'Obrazac kalkulacije'!$C$24</f>
        <v>IZVODITELJ:</v>
      </c>
      <c r="F764" s="841" t="str">
        <f>'Obrazac kalkulacije'!$F$24</f>
        <v>NARUČITELJ:</v>
      </c>
      <c r="G764" s="841"/>
      <c r="K764" s="3" t="str">
        <f>'Obrazac kalkulacije'!$C$24</f>
        <v>IZVODITELJ:</v>
      </c>
      <c r="N764" s="841" t="str">
        <f>'Obrazac kalkulacije'!$F$24</f>
        <v>NARUČITELJ:</v>
      </c>
      <c r="O764" s="841"/>
    </row>
    <row r="765" spans="1:15" ht="25.15" customHeight="1">
      <c r="C765" s="3" t="str">
        <f>'Obrazac kalkulacije'!$C$25</f>
        <v>__________________</v>
      </c>
      <c r="F765" s="841" t="str">
        <f>'Obrazac kalkulacije'!$F$25</f>
        <v>___________________</v>
      </c>
      <c r="G765" s="841"/>
      <c r="K765" s="3" t="str">
        <f>'Obrazac kalkulacije'!$C$25</f>
        <v>__________________</v>
      </c>
      <c r="N765" s="841" t="str">
        <f>'Obrazac kalkulacije'!$F$25</f>
        <v>___________________</v>
      </c>
      <c r="O765" s="841"/>
    </row>
    <row r="766" spans="1:15" ht="15" customHeight="1">
      <c r="F766" s="841"/>
      <c r="G766" s="841"/>
      <c r="N766" s="841"/>
      <c r="O766" s="841"/>
    </row>
    <row r="767" spans="1:15" ht="15" customHeight="1"/>
    <row r="768" spans="1:15" ht="15" customHeight="1">
      <c r="A768" s="144"/>
      <c r="B768" s="145" t="s">
        <v>31</v>
      </c>
      <c r="C768" s="836" t="s">
        <v>261</v>
      </c>
      <c r="D768" s="836"/>
      <c r="E768" s="836"/>
      <c r="F768" s="836"/>
      <c r="G768" s="836"/>
      <c r="I768" s="144"/>
      <c r="J768" s="145" t="s">
        <v>31</v>
      </c>
      <c r="K768" s="836" t="s">
        <v>261</v>
      </c>
      <c r="L768" s="836"/>
      <c r="M768" s="836"/>
      <c r="N768" s="836"/>
      <c r="O768" s="836"/>
    </row>
    <row r="769" spans="1:15" ht="15" customHeight="1">
      <c r="A769" s="38"/>
      <c r="B769" s="39" t="s">
        <v>326</v>
      </c>
      <c r="C769" s="860" t="s">
        <v>327</v>
      </c>
      <c r="D769" s="860"/>
      <c r="E769" s="860"/>
      <c r="F769" s="860"/>
      <c r="G769" s="860"/>
      <c r="I769" s="38"/>
      <c r="J769" s="39" t="s">
        <v>326</v>
      </c>
      <c r="K769" s="860" t="s">
        <v>327</v>
      </c>
      <c r="L769" s="860"/>
      <c r="M769" s="860"/>
      <c r="N769" s="860"/>
      <c r="O769" s="860"/>
    </row>
    <row r="770" spans="1:15" ht="150" customHeight="1">
      <c r="A770" s="40"/>
      <c r="B770" s="556" t="s">
        <v>355</v>
      </c>
      <c r="C770" s="852" t="s">
        <v>356</v>
      </c>
      <c r="D770" s="852"/>
      <c r="E770" s="852"/>
      <c r="F770" s="852"/>
      <c r="G770" s="852"/>
      <c r="I770" s="40"/>
      <c r="J770" s="41" t="s">
        <v>355</v>
      </c>
      <c r="K770" s="869" t="s">
        <v>356</v>
      </c>
      <c r="L770" s="869"/>
      <c r="M770" s="869"/>
      <c r="N770" s="869"/>
      <c r="O770" s="869"/>
    </row>
    <row r="771" spans="1:15" ht="15" customHeight="1" thickBot="1"/>
    <row r="772" spans="1:15" ht="30" customHeight="1" thickTop="1" thickBot="1">
      <c r="A772" s="10"/>
      <c r="B772" s="835" t="str">
        <f>'Obrazac kalkulacije'!$B$6:$C$6</f>
        <v>Opis</v>
      </c>
      <c r="C772" s="835"/>
      <c r="D772" s="10" t="str">
        <f>'Obrazac kalkulacije'!$D$6</f>
        <v>Jed.
mjere</v>
      </c>
      <c r="E772" s="10" t="str">
        <f>'Obrazac kalkulacije'!$E$6</f>
        <v>Normativ</v>
      </c>
      <c r="F772" s="10" t="str">
        <f>'Obrazac kalkulacije'!$F$6</f>
        <v>Jed.
cijena</v>
      </c>
      <c r="G772" s="10" t="str">
        <f>'Obrazac kalkulacije'!$G$6</f>
        <v>Iznos</v>
      </c>
      <c r="I772" s="10"/>
      <c r="J772" s="835" t="e">
        <f>'Obrazac kalkulacije'!$B$6:$C$6</f>
        <v>#VALUE!</v>
      </c>
      <c r="K772" s="835"/>
      <c r="L772" s="10" t="str">
        <f>'Obrazac kalkulacije'!$D$6</f>
        <v>Jed.
mjere</v>
      </c>
      <c r="M772" s="10" t="str">
        <f>'Obrazac kalkulacije'!$E$6</f>
        <v>Normativ</v>
      </c>
      <c r="N772" s="10" t="str">
        <f>'Obrazac kalkulacije'!$F$6</f>
        <v>Jed.
cijena</v>
      </c>
      <c r="O772" s="10" t="str">
        <f>'Obrazac kalkulacije'!$G$6</f>
        <v>Iznos</v>
      </c>
    </row>
    <row r="773" spans="1:15" ht="4.5" customHeight="1" thickTop="1">
      <c r="B773" s="42"/>
      <c r="C773" s="1"/>
      <c r="D773" s="11"/>
      <c r="E773" s="13"/>
      <c r="F773" s="258"/>
      <c r="G773" s="15"/>
      <c r="J773" s="42"/>
      <c r="K773" s="1"/>
      <c r="L773" s="11"/>
      <c r="M773" s="13"/>
      <c r="N773" s="258"/>
      <c r="O773" s="15"/>
    </row>
    <row r="774" spans="1:15" ht="25.15" customHeight="1">
      <c r="A774" s="16"/>
      <c r="B774" s="837" t="str">
        <f>'Obrazac kalkulacije'!$B$8</f>
        <v>Radna snaga:</v>
      </c>
      <c r="C774" s="837"/>
      <c r="D774" s="16"/>
      <c r="E774" s="16"/>
      <c r="F774" s="44"/>
      <c r="G774" s="18">
        <f>SUM(G775:G775)</f>
        <v>960.82147700999997</v>
      </c>
      <c r="I774" s="16"/>
      <c r="J774" s="837" t="str">
        <f>'Obrazac kalkulacije'!$B$8</f>
        <v>Radna snaga:</v>
      </c>
      <c r="K774" s="837"/>
      <c r="L774" s="16"/>
      <c r="M774" s="16"/>
      <c r="N774" s="44"/>
      <c r="O774" s="18">
        <f>SUM(O775:O775)</f>
        <v>960.82147700999997</v>
      </c>
    </row>
    <row r="775" spans="1:15" ht="25.15" customHeight="1">
      <c r="A775" s="32"/>
      <c r="B775" s="854" t="s">
        <v>57</v>
      </c>
      <c r="C775" s="854"/>
      <c r="D775" s="33" t="s">
        <v>51</v>
      </c>
      <c r="E775" s="34">
        <v>9.1480669999999993</v>
      </c>
      <c r="F775" s="238">
        <f>SUMIF('Cjenik RS'!$C$11:$C$26,$B775,'Cjenik RS'!$D$11:$D$90)</f>
        <v>105.03</v>
      </c>
      <c r="G775" s="35">
        <f>E775*F775</f>
        <v>960.82147700999997</v>
      </c>
      <c r="I775" s="32"/>
      <c r="J775" s="854" t="s">
        <v>57</v>
      </c>
      <c r="K775" s="854"/>
      <c r="L775" s="33" t="s">
        <v>51</v>
      </c>
      <c r="M775" s="34">
        <v>9.1480669999999993</v>
      </c>
      <c r="N775" s="238">
        <f>SUMIF('Cjenik RS'!$C$11:$C$26,$J775,'Cjenik RS'!$D$11:$D$90)</f>
        <v>105.03</v>
      </c>
      <c r="O775" s="35">
        <f>M775*N775</f>
        <v>960.82147700999997</v>
      </c>
    </row>
    <row r="776" spans="1:15" ht="25.15" customHeight="1">
      <c r="A776" s="16"/>
      <c r="B776" s="837" t="str">
        <f>'Obrazac kalkulacije'!$B$11</f>
        <v>Vozila, strojevi i oprema:</v>
      </c>
      <c r="C776" s="837"/>
      <c r="D776" s="16"/>
      <c r="E776" s="16"/>
      <c r="F776" s="238"/>
      <c r="G776" s="18">
        <f>SUM(G777:G779)</f>
        <v>199.78174099000003</v>
      </c>
      <c r="I776" s="16"/>
      <c r="J776" s="837" t="str">
        <f>'Obrazac kalkulacije'!$B$11</f>
        <v>Vozila, strojevi i oprema:</v>
      </c>
      <c r="K776" s="837"/>
      <c r="L776" s="16"/>
      <c r="M776" s="16"/>
      <c r="N776" s="238"/>
      <c r="O776" s="18">
        <f>SUM(O777:O779)</f>
        <v>199.78174099000003</v>
      </c>
    </row>
    <row r="777" spans="1:15" ht="25.15" customHeight="1">
      <c r="A777" s="51"/>
      <c r="B777" s="849" t="s">
        <v>73</v>
      </c>
      <c r="C777" s="849"/>
      <c r="D777" s="52" t="s">
        <v>51</v>
      </c>
      <c r="E777" s="135">
        <v>0.34371000000000002</v>
      </c>
      <c r="F777" s="260">
        <f>SUMIF('Cjenik VSO'!$B$9:$B$85,$B777,'Cjenik VSO'!$C$9:$C$85)</f>
        <v>291.72000000000003</v>
      </c>
      <c r="G777" s="54">
        <f>E777*F777</f>
        <v>100.26708120000001</v>
      </c>
      <c r="I777" s="51"/>
      <c r="J777" s="849" t="s">
        <v>73</v>
      </c>
      <c r="K777" s="849"/>
      <c r="L777" s="52" t="s">
        <v>51</v>
      </c>
      <c r="M777" s="135">
        <v>0.34371000000000002</v>
      </c>
      <c r="N777" s="260">
        <f>SUMIF('Cjenik VSO'!$B$9:$B$85,$B777,'Cjenik VSO'!$C$9:$C$85)</f>
        <v>291.72000000000003</v>
      </c>
      <c r="O777" s="54">
        <f>M777*N777</f>
        <v>100.26708120000001</v>
      </c>
    </row>
    <row r="778" spans="1:15" ht="25.15" customHeight="1">
      <c r="A778" s="56"/>
      <c r="B778" s="839" t="s">
        <v>97</v>
      </c>
      <c r="C778" s="839"/>
      <c r="D778" s="57" t="s">
        <v>51</v>
      </c>
      <c r="E778" s="136">
        <v>0.33666699999999999</v>
      </c>
      <c r="F778" s="263">
        <f>SUMIF('Cjenik VSO'!$B$9:$B$85,$B778,'Cjenik VSO'!$C$9:$C$85)</f>
        <v>279.37</v>
      </c>
      <c r="G778" s="59">
        <f>E778*F778</f>
        <v>94.054659790000002</v>
      </c>
      <c r="I778" s="56"/>
      <c r="J778" s="839" t="s">
        <v>97</v>
      </c>
      <c r="K778" s="839"/>
      <c r="L778" s="57" t="s">
        <v>51</v>
      </c>
      <c r="M778" s="136">
        <v>0.33666699999999999</v>
      </c>
      <c r="N778" s="263">
        <f>SUMIF('Cjenik VSO'!$B$9:$B$85,$B778,'Cjenik VSO'!$C$9:$C$85)</f>
        <v>279.37</v>
      </c>
      <c r="O778" s="59">
        <f>M778*N778</f>
        <v>94.054659790000002</v>
      </c>
    </row>
    <row r="779" spans="1:15" ht="25.15" customHeight="1">
      <c r="A779" s="98"/>
      <c r="B779" s="875" t="s">
        <v>200</v>
      </c>
      <c r="C779" s="875"/>
      <c r="D779" s="57" t="s">
        <v>51</v>
      </c>
      <c r="E779" s="75">
        <v>0.25</v>
      </c>
      <c r="F779" s="263">
        <f>SUMIF('Cjenik VSO'!$B$9:$B$85,$B779,'Cjenik VSO'!$C$9:$C$85)</f>
        <v>21.84</v>
      </c>
      <c r="G779" s="60">
        <f>E779*F779</f>
        <v>5.46</v>
      </c>
      <c r="I779" s="98"/>
      <c r="J779" s="875" t="s">
        <v>200</v>
      </c>
      <c r="K779" s="875"/>
      <c r="L779" s="57" t="s">
        <v>51</v>
      </c>
      <c r="M779" s="75">
        <v>0.25</v>
      </c>
      <c r="N779" s="263">
        <f>SUMIF('Cjenik VSO'!$B$9:$B$85,$B779,'Cjenik VSO'!$C$9:$C$85)</f>
        <v>21.84</v>
      </c>
      <c r="O779" s="60">
        <f>M779*N779</f>
        <v>5.46</v>
      </c>
    </row>
    <row r="780" spans="1:15" ht="25.15" customHeight="1">
      <c r="A780" s="16"/>
      <c r="B780" s="837" t="str">
        <f>'Obrazac kalkulacije'!$B$15</f>
        <v>Materijali:</v>
      </c>
      <c r="C780" s="837"/>
      <c r="D780" s="16"/>
      <c r="E780" s="16"/>
      <c r="F780" s="238"/>
      <c r="G780" s="18">
        <f>SUM(G781:G783)</f>
        <v>0</v>
      </c>
      <c r="I780" s="16"/>
      <c r="J780" s="837" t="str">
        <f>'Obrazac kalkulacije'!$B$15</f>
        <v>Materijali:</v>
      </c>
      <c r="K780" s="837"/>
      <c r="L780" s="16"/>
      <c r="M780" s="16"/>
      <c r="N780" s="238"/>
      <c r="O780" s="18">
        <f>SUM(O781:O783)</f>
        <v>0</v>
      </c>
    </row>
    <row r="781" spans="1:15" ht="25.15" customHeight="1">
      <c r="A781" s="51"/>
      <c r="B781" s="863">
        <f>'Cjenik M'!$B$31</f>
        <v>0</v>
      </c>
      <c r="C781" s="863"/>
      <c r="D781" s="52">
        <f>'Cjenik M'!$C$31</f>
        <v>0</v>
      </c>
      <c r="E781" s="53">
        <v>6.7000000000000004E-2</v>
      </c>
      <c r="F781" s="260">
        <f>'Cjenik M'!$D$31</f>
        <v>0</v>
      </c>
      <c r="G781" s="55">
        <f>E781*F781</f>
        <v>0</v>
      </c>
      <c r="I781" s="51"/>
      <c r="J781" s="863">
        <f>'Cjenik M'!$B$31</f>
        <v>0</v>
      </c>
      <c r="K781" s="863"/>
      <c r="L781" s="52">
        <f>'Cjenik M'!$C$31</f>
        <v>0</v>
      </c>
      <c r="M781" s="53">
        <v>6.7000000000000004E-2</v>
      </c>
      <c r="N781" s="260">
        <f>'Cjenik M'!$D$31</f>
        <v>0</v>
      </c>
      <c r="O781" s="55">
        <f>M781*N781</f>
        <v>0</v>
      </c>
    </row>
    <row r="782" spans="1:15" ht="25.15" customHeight="1">
      <c r="A782" s="56"/>
      <c r="B782" s="834">
        <f>'Cjenik M'!$B$65</f>
        <v>0</v>
      </c>
      <c r="C782" s="834"/>
      <c r="D782" s="57">
        <f>'Cjenik M'!$C$65</f>
        <v>0</v>
      </c>
      <c r="E782" s="58">
        <v>10</v>
      </c>
      <c r="F782" s="263">
        <f>'Cjenik M'!$D$65</f>
        <v>0</v>
      </c>
      <c r="G782" s="60">
        <f>E782*F782</f>
        <v>0</v>
      </c>
      <c r="I782" s="56"/>
      <c r="J782" s="834">
        <f>'Cjenik M'!$B$65</f>
        <v>0</v>
      </c>
      <c r="K782" s="834"/>
      <c r="L782" s="57">
        <f>'Cjenik M'!$C$65</f>
        <v>0</v>
      </c>
      <c r="M782" s="58">
        <v>10</v>
      </c>
      <c r="N782" s="263">
        <f>'Cjenik M'!$D$65</f>
        <v>0</v>
      </c>
      <c r="O782" s="60">
        <f>M782*N782</f>
        <v>0</v>
      </c>
    </row>
    <row r="783" spans="1:15" ht="25.15" customHeight="1" thickBot="1">
      <c r="A783" s="66"/>
      <c r="B783" s="834">
        <f>'Cjenik M'!$B$34</f>
        <v>0</v>
      </c>
      <c r="C783" s="834"/>
      <c r="D783" s="57">
        <f>'Cjenik M'!$C$34</f>
        <v>0</v>
      </c>
      <c r="E783" s="58">
        <v>1</v>
      </c>
      <c r="F783" s="263">
        <f>'Cjenik M'!$D$34</f>
        <v>0</v>
      </c>
      <c r="G783" s="60">
        <f>E783*F783</f>
        <v>0</v>
      </c>
      <c r="I783" s="66"/>
      <c r="J783" s="834">
        <f>'Cjenik M'!$B$34</f>
        <v>0</v>
      </c>
      <c r="K783" s="834"/>
      <c r="L783" s="57">
        <f>'Cjenik M'!$C$34</f>
        <v>0</v>
      </c>
      <c r="M783" s="58">
        <v>1</v>
      </c>
      <c r="N783" s="263">
        <f>'Cjenik M'!$D$34</f>
        <v>0</v>
      </c>
      <c r="O783" s="60">
        <f>M783*N783</f>
        <v>0</v>
      </c>
    </row>
    <row r="784" spans="1:15" ht="25.15" customHeight="1" thickTop="1" thickBot="1">
      <c r="B784" s="47"/>
      <c r="C784" s="24"/>
      <c r="D784" s="25"/>
      <c r="E784" s="850" t="str">
        <f>'Obrazac kalkulacije'!$E$18</f>
        <v>Ukupno (kn):</v>
      </c>
      <c r="F784" s="850"/>
      <c r="G784" s="26">
        <f>ROUND(SUM(G774+G776+G780),2)</f>
        <v>1160.5999999999999</v>
      </c>
      <c r="H784" s="269" t="e">
        <f>SUMIF(#REF!,$B770,#REF!)</f>
        <v>#REF!</v>
      </c>
      <c r="J784" s="47"/>
      <c r="K784" s="24"/>
      <c r="L784" s="25"/>
      <c r="M784" s="850" t="str">
        <f>'Obrazac kalkulacije'!$E$18</f>
        <v>Ukupno (kn):</v>
      </c>
      <c r="N784" s="850"/>
      <c r="O784" s="26">
        <f>ROUND(SUM(O774+O776+O780),2)</f>
        <v>1160.5999999999999</v>
      </c>
    </row>
    <row r="785" spans="1:15" ht="25.15" customHeight="1" thickTop="1" thickBot="1">
      <c r="E785" s="27" t="str">
        <f>'Obrazac kalkulacije'!$E$19</f>
        <v>PDV:</v>
      </c>
      <c r="F785" s="259">
        <f>'Obrazac kalkulacije'!$F$19</f>
        <v>0.25</v>
      </c>
      <c r="G785" s="29">
        <f>G784*F785</f>
        <v>290.14999999999998</v>
      </c>
      <c r="H785" s="270" t="e">
        <f>H784-G784</f>
        <v>#REF!</v>
      </c>
      <c r="M785" s="27" t="str">
        <f>'Obrazac kalkulacije'!$E$19</f>
        <v>PDV:</v>
      </c>
      <c r="N785" s="259">
        <f>'Obrazac kalkulacije'!$F$19</f>
        <v>0.25</v>
      </c>
      <c r="O785" s="29">
        <f>O784*N785</f>
        <v>290.14999999999998</v>
      </c>
    </row>
    <row r="786" spans="1:15" ht="25.15" customHeight="1" thickTop="1" thickBot="1">
      <c r="E786" s="840" t="str">
        <f>'Obrazac kalkulacije'!$E$20</f>
        <v>Sveukupno (kn):</v>
      </c>
      <c r="F786" s="840"/>
      <c r="G786" s="29">
        <f>ROUND(SUM(G784:G785),2)</f>
        <v>1450.75</v>
      </c>
      <c r="H786" s="271" t="e">
        <f>G777+H785</f>
        <v>#REF!</v>
      </c>
      <c r="M786" s="840" t="str">
        <f>'Obrazac kalkulacije'!$E$20</f>
        <v>Sveukupno (kn):</v>
      </c>
      <c r="N786" s="840"/>
      <c r="O786" s="29">
        <f>ROUND(SUM(O784:O785),2)</f>
        <v>1450.75</v>
      </c>
    </row>
    <row r="787" spans="1:15" ht="15" customHeight="1" thickTop="1"/>
    <row r="788" spans="1:15" ht="15" customHeight="1"/>
    <row r="789" spans="1:15" ht="15" customHeight="1"/>
    <row r="790" spans="1:15" ht="15" customHeight="1">
      <c r="C790" s="3" t="str">
        <f>'Obrazac kalkulacije'!$C$24</f>
        <v>IZVODITELJ:</v>
      </c>
      <c r="F790" s="841" t="str">
        <f>'Obrazac kalkulacije'!$F$24</f>
        <v>NARUČITELJ:</v>
      </c>
      <c r="G790" s="841"/>
      <c r="K790" s="3" t="str">
        <f>'Obrazac kalkulacije'!$C$24</f>
        <v>IZVODITELJ:</v>
      </c>
      <c r="N790" s="841" t="str">
        <f>'Obrazac kalkulacije'!$F$24</f>
        <v>NARUČITELJ:</v>
      </c>
      <c r="O790" s="841"/>
    </row>
    <row r="791" spans="1:15" ht="25.15" customHeight="1">
      <c r="C791" s="3" t="str">
        <f>'Obrazac kalkulacije'!$C$25</f>
        <v>__________________</v>
      </c>
      <c r="F791" s="841" t="str">
        <f>'Obrazac kalkulacije'!$F$25</f>
        <v>___________________</v>
      </c>
      <c r="G791" s="841"/>
      <c r="K791" s="3" t="str">
        <f>'Obrazac kalkulacije'!$C$25</f>
        <v>__________________</v>
      </c>
      <c r="N791" s="841" t="str">
        <f>'Obrazac kalkulacije'!$F$25</f>
        <v>___________________</v>
      </c>
      <c r="O791" s="841"/>
    </row>
    <row r="792" spans="1:15" ht="15" customHeight="1">
      <c r="F792" s="841"/>
      <c r="G792" s="841"/>
      <c r="N792" s="841"/>
      <c r="O792" s="841"/>
    </row>
    <row r="793" spans="1:15" ht="15" customHeight="1"/>
    <row r="794" spans="1:15" ht="15" customHeight="1">
      <c r="A794" s="144"/>
      <c r="B794" s="145" t="s">
        <v>31</v>
      </c>
      <c r="C794" s="836" t="s">
        <v>261</v>
      </c>
      <c r="D794" s="836"/>
      <c r="E794" s="836"/>
      <c r="F794" s="836"/>
      <c r="G794" s="836"/>
      <c r="I794" s="144"/>
      <c r="J794" s="145" t="s">
        <v>31</v>
      </c>
      <c r="K794" s="836" t="s">
        <v>261</v>
      </c>
      <c r="L794" s="836"/>
      <c r="M794" s="836"/>
      <c r="N794" s="836"/>
      <c r="O794" s="836"/>
    </row>
    <row r="795" spans="1:15" ht="15" customHeight="1">
      <c r="A795" s="38"/>
      <c r="B795" s="39" t="s">
        <v>326</v>
      </c>
      <c r="C795" s="860" t="s">
        <v>327</v>
      </c>
      <c r="D795" s="860"/>
      <c r="E795" s="860"/>
      <c r="F795" s="860"/>
      <c r="G795" s="860"/>
      <c r="I795" s="38"/>
      <c r="J795" s="39" t="s">
        <v>326</v>
      </c>
      <c r="K795" s="860" t="s">
        <v>327</v>
      </c>
      <c r="L795" s="860"/>
      <c r="M795" s="860"/>
      <c r="N795" s="860"/>
      <c r="O795" s="860"/>
    </row>
    <row r="796" spans="1:15" ht="150" customHeight="1">
      <c r="A796" s="40"/>
      <c r="B796" s="556" t="s">
        <v>357</v>
      </c>
      <c r="C796" s="852" t="s">
        <v>358</v>
      </c>
      <c r="D796" s="852"/>
      <c r="E796" s="852"/>
      <c r="F796" s="852"/>
      <c r="G796" s="852"/>
      <c r="I796" s="40"/>
      <c r="J796" s="41" t="s">
        <v>359</v>
      </c>
      <c r="K796" s="869" t="s">
        <v>358</v>
      </c>
      <c r="L796" s="869"/>
      <c r="M796" s="869"/>
      <c r="N796" s="869"/>
      <c r="O796" s="869"/>
    </row>
    <row r="797" spans="1:15" ht="15" customHeight="1" thickBot="1"/>
    <row r="798" spans="1:15" ht="30" customHeight="1" thickTop="1" thickBot="1">
      <c r="A798" s="10"/>
      <c r="B798" s="835" t="str">
        <f>'Obrazac kalkulacije'!$B$6:$C$6</f>
        <v>Opis</v>
      </c>
      <c r="C798" s="835"/>
      <c r="D798" s="10" t="str">
        <f>'Obrazac kalkulacije'!$D$6</f>
        <v>Jed.
mjere</v>
      </c>
      <c r="E798" s="10" t="str">
        <f>'Obrazac kalkulacije'!$E$6</f>
        <v>Normativ</v>
      </c>
      <c r="F798" s="10" t="str">
        <f>'Obrazac kalkulacije'!$F$6</f>
        <v>Jed.
cijena</v>
      </c>
      <c r="G798" s="10" t="str">
        <f>'Obrazac kalkulacije'!$G$6</f>
        <v>Iznos</v>
      </c>
      <c r="I798" s="10"/>
      <c r="J798" s="835" t="e">
        <f>'Obrazac kalkulacije'!$B$6:$C$6</f>
        <v>#VALUE!</v>
      </c>
      <c r="K798" s="835"/>
      <c r="L798" s="10" t="str">
        <f>'Obrazac kalkulacije'!$D$6</f>
        <v>Jed.
mjere</v>
      </c>
      <c r="M798" s="10" t="str">
        <f>'Obrazac kalkulacije'!$E$6</f>
        <v>Normativ</v>
      </c>
      <c r="N798" s="10" t="str">
        <f>'Obrazac kalkulacije'!$F$6</f>
        <v>Jed.
cijena</v>
      </c>
      <c r="O798" s="10" t="str">
        <f>'Obrazac kalkulacije'!$G$6</f>
        <v>Iznos</v>
      </c>
    </row>
    <row r="799" spans="1:15" ht="4.5" customHeight="1" thickTop="1">
      <c r="B799" s="42"/>
      <c r="C799" s="1"/>
      <c r="D799" s="11"/>
      <c r="E799" s="13"/>
      <c r="F799" s="258"/>
      <c r="G799" s="15"/>
      <c r="J799" s="42"/>
      <c r="K799" s="1"/>
      <c r="L799" s="11"/>
      <c r="M799" s="13"/>
      <c r="N799" s="258"/>
      <c r="O799" s="15"/>
    </row>
    <row r="800" spans="1:15" ht="25.15" customHeight="1">
      <c r="A800" s="16"/>
      <c r="B800" s="837" t="str">
        <f>'Obrazac kalkulacije'!$B$8</f>
        <v>Radna snaga:</v>
      </c>
      <c r="C800" s="837"/>
      <c r="D800" s="16"/>
      <c r="E800" s="16"/>
      <c r="F800" s="44"/>
      <c r="G800" s="18">
        <f>SUM(G801:G801)</f>
        <v>32.801919299999994</v>
      </c>
      <c r="I800" s="16"/>
      <c r="J800" s="837" t="str">
        <f>'Obrazac kalkulacije'!$B$8</f>
        <v>Radna snaga:</v>
      </c>
      <c r="K800" s="837"/>
      <c r="L800" s="16"/>
      <c r="M800" s="16"/>
      <c r="N800" s="44"/>
      <c r="O800" s="18">
        <f>SUM(O801:O801)</f>
        <v>32.801919299999994</v>
      </c>
    </row>
    <row r="801" spans="1:15" ht="25.15" customHeight="1">
      <c r="A801" s="32"/>
      <c r="B801" s="854" t="s">
        <v>57</v>
      </c>
      <c r="C801" s="854"/>
      <c r="D801" s="33" t="s">
        <v>51</v>
      </c>
      <c r="E801" s="34">
        <v>0.31230999999999998</v>
      </c>
      <c r="F801" s="238">
        <f>SUMIF('Cjenik RS'!$C$11:$C$26,$B801,'Cjenik RS'!$D$11:$D$90)</f>
        <v>105.03</v>
      </c>
      <c r="G801" s="35">
        <f>E801*F801</f>
        <v>32.801919299999994</v>
      </c>
      <c r="I801" s="32"/>
      <c r="J801" s="854" t="s">
        <v>57</v>
      </c>
      <c r="K801" s="854"/>
      <c r="L801" s="33" t="s">
        <v>51</v>
      </c>
      <c r="M801" s="34">
        <v>0.31230999999999998</v>
      </c>
      <c r="N801" s="238">
        <f>SUMIF('Cjenik RS'!$C$11:$C$26,$J801,'Cjenik RS'!$D$11:$D$90)</f>
        <v>105.03</v>
      </c>
      <c r="O801" s="35">
        <f>M801*N801</f>
        <v>32.801919299999994</v>
      </c>
    </row>
    <row r="802" spans="1:15" ht="25.15" customHeight="1">
      <c r="A802" s="16"/>
      <c r="B802" s="837" t="str">
        <f>'Obrazac kalkulacije'!$B$11</f>
        <v>Vozila, strojevi i oprema:</v>
      </c>
      <c r="C802" s="837"/>
      <c r="D802" s="16"/>
      <c r="E802" s="16"/>
      <c r="F802" s="238"/>
      <c r="G802" s="18">
        <f>SUM(G803:G804)</f>
        <v>16.89167850922971</v>
      </c>
      <c r="I802" s="16"/>
      <c r="J802" s="837" t="str">
        <f>'Obrazac kalkulacije'!$B$11</f>
        <v>Vozila, strojevi i oprema:</v>
      </c>
      <c r="K802" s="837"/>
      <c r="L802" s="16"/>
      <c r="M802" s="16"/>
      <c r="N802" s="238"/>
      <c r="O802" s="18">
        <f>SUM(O803:O804)</f>
        <v>17.160980590000001</v>
      </c>
    </row>
    <row r="803" spans="1:15" ht="25.15" customHeight="1">
      <c r="A803" s="51"/>
      <c r="B803" s="849" t="s">
        <v>73</v>
      </c>
      <c r="C803" s="849"/>
      <c r="D803" s="52" t="s">
        <v>51</v>
      </c>
      <c r="E803" s="135">
        <v>2.3987999999999999E-2</v>
      </c>
      <c r="F803" s="260">
        <f>SUMIF('Cjenik VSO'!$B$9:$B$85,$B803,'Cjenik VSO'!$C$9:$C$85)</f>
        <v>291.72000000000003</v>
      </c>
      <c r="G803" s="54">
        <f>E803*F803</f>
        <v>6.99777936</v>
      </c>
      <c r="I803" s="51"/>
      <c r="J803" s="849" t="s">
        <v>73</v>
      </c>
      <c r="K803" s="849"/>
      <c r="L803" s="52" t="s">
        <v>51</v>
      </c>
      <c r="M803" s="135">
        <v>2.3987999999999999E-2</v>
      </c>
      <c r="N803" s="260">
        <f>SUMIF('Cjenik VSO'!$B$9:$B$85,$B803,'Cjenik VSO'!$C$9:$C$85)</f>
        <v>291.72000000000003</v>
      </c>
      <c r="O803" s="54">
        <f>M803*N803</f>
        <v>6.99777936</v>
      </c>
    </row>
    <row r="804" spans="1:15" ht="25.15" customHeight="1">
      <c r="A804" s="56"/>
      <c r="B804" s="839" t="s">
        <v>97</v>
      </c>
      <c r="C804" s="839"/>
      <c r="D804" s="57" t="s">
        <v>51</v>
      </c>
      <c r="E804" s="92">
        <v>3.5415037939756269E-2</v>
      </c>
      <c r="F804" s="263">
        <f>SUMIF('Cjenik VSO'!$B$9:$B$85,$B804,'Cjenik VSO'!$C$9:$C$85)</f>
        <v>279.37</v>
      </c>
      <c r="G804" s="59">
        <f>E804*F804</f>
        <v>9.8938991492297088</v>
      </c>
      <c r="I804" s="56"/>
      <c r="J804" s="839" t="s">
        <v>97</v>
      </c>
      <c r="K804" s="839"/>
      <c r="L804" s="57" t="s">
        <v>51</v>
      </c>
      <c r="M804" s="136">
        <v>3.6379000000000002E-2</v>
      </c>
      <c r="N804" s="263">
        <f>SUMIF('Cjenik VSO'!$B$9:$B$85,$B804,'Cjenik VSO'!$C$9:$C$85)</f>
        <v>279.37</v>
      </c>
      <c r="O804" s="59">
        <f>M804*N804</f>
        <v>10.16320123</v>
      </c>
    </row>
    <row r="805" spans="1:15" ht="25.15" customHeight="1">
      <c r="A805" s="16"/>
      <c r="B805" s="837" t="str">
        <f>'Obrazac kalkulacije'!$B$15</f>
        <v>Materijali:</v>
      </c>
      <c r="C805" s="837"/>
      <c r="D805" s="16"/>
      <c r="E805" s="16"/>
      <c r="F805" s="238"/>
      <c r="G805" s="18" t="e">
        <f>SUM(G806:G808)</f>
        <v>#VALUE!</v>
      </c>
      <c r="I805" s="16"/>
      <c r="J805" s="837" t="str">
        <f>'Obrazac kalkulacije'!$B$15</f>
        <v>Materijali:</v>
      </c>
      <c r="K805" s="837"/>
      <c r="L805" s="16"/>
      <c r="M805" s="16"/>
      <c r="N805" s="238"/>
      <c r="O805" s="18" t="e">
        <f>SUM(O806:O808)</f>
        <v>#VALUE!</v>
      </c>
    </row>
    <row r="806" spans="1:15" ht="25.15" customHeight="1">
      <c r="A806" s="51"/>
      <c r="B806" s="863" t="str">
        <f>'Cjenik M'!$B$25</f>
        <v>IZVODITELJ:</v>
      </c>
      <c r="C806" s="863"/>
      <c r="D806" s="52">
        <f>'Cjenik M'!$C$25</f>
        <v>0</v>
      </c>
      <c r="E806" s="53">
        <v>0.1</v>
      </c>
      <c r="F806" s="260" t="str">
        <f>'Cjenik M'!$D$25</f>
        <v>NARUČITELJ:</v>
      </c>
      <c r="G806" s="55" t="e">
        <f>E806*F806</f>
        <v>#VALUE!</v>
      </c>
      <c r="I806" s="51"/>
      <c r="J806" s="863" t="str">
        <f>'Cjenik M'!$B$25</f>
        <v>IZVODITELJ:</v>
      </c>
      <c r="K806" s="863"/>
      <c r="L806" s="52">
        <f>'Cjenik M'!$C$25</f>
        <v>0</v>
      </c>
      <c r="M806" s="53">
        <v>0.1</v>
      </c>
      <c r="N806" s="260" t="str">
        <f>'Cjenik M'!$D$25</f>
        <v>NARUČITELJ:</v>
      </c>
      <c r="O806" s="55" t="e">
        <f>M806*N806</f>
        <v>#VALUE!</v>
      </c>
    </row>
    <row r="807" spans="1:15" ht="25.15" customHeight="1">
      <c r="A807" s="56"/>
      <c r="B807" s="834">
        <f>'Cjenik M'!$B$33</f>
        <v>0</v>
      </c>
      <c r="C807" s="834"/>
      <c r="D807" s="57">
        <f>'Cjenik M'!$C$33</f>
        <v>0</v>
      </c>
      <c r="E807" s="58">
        <v>0.03</v>
      </c>
      <c r="F807" s="263">
        <f>'Cjenik M'!$D$33</f>
        <v>0</v>
      </c>
      <c r="G807" s="60">
        <f>E807*F807</f>
        <v>0</v>
      </c>
      <c r="I807" s="56"/>
      <c r="J807" s="834">
        <f>'Cjenik M'!$B$33</f>
        <v>0</v>
      </c>
      <c r="K807" s="834"/>
      <c r="L807" s="57">
        <f>'Cjenik M'!$C$33</f>
        <v>0</v>
      </c>
      <c r="M807" s="58">
        <v>0.03</v>
      </c>
      <c r="N807" s="263">
        <f>'Cjenik M'!$D$33</f>
        <v>0</v>
      </c>
      <c r="O807" s="60">
        <f>M807*N807</f>
        <v>0</v>
      </c>
    </row>
    <row r="808" spans="1:15" ht="25.15" customHeight="1" thickBot="1">
      <c r="A808" s="66"/>
      <c r="B808" s="834">
        <f>'Cjenik M'!$B$43</f>
        <v>0</v>
      </c>
      <c r="C808" s="834"/>
      <c r="D808" s="57">
        <f>'Cjenik M'!$C$43</f>
        <v>0</v>
      </c>
      <c r="E808" s="58">
        <v>1.05</v>
      </c>
      <c r="F808" s="263">
        <f>'Cjenik M'!$D$43</f>
        <v>0</v>
      </c>
      <c r="G808" s="60">
        <f>E808*F808</f>
        <v>0</v>
      </c>
      <c r="I808" s="66"/>
      <c r="J808" s="834">
        <f>'Cjenik M'!$B$43</f>
        <v>0</v>
      </c>
      <c r="K808" s="834"/>
      <c r="L808" s="57">
        <f>'Cjenik M'!$C$43</f>
        <v>0</v>
      </c>
      <c r="M808" s="58">
        <v>1.05</v>
      </c>
      <c r="N808" s="263">
        <f>'Cjenik M'!$D$43</f>
        <v>0</v>
      </c>
      <c r="O808" s="60">
        <f>M808*N808</f>
        <v>0</v>
      </c>
    </row>
    <row r="809" spans="1:15" ht="25.15" customHeight="1" thickTop="1" thickBot="1">
      <c r="B809" s="47"/>
      <c r="C809" s="24"/>
      <c r="D809" s="25"/>
      <c r="E809" s="850" t="str">
        <f>'Obrazac kalkulacije'!$E$18</f>
        <v>Ukupno (kn):</v>
      </c>
      <c r="F809" s="850"/>
      <c r="G809" s="26" t="e">
        <f>ROUND(SUM(G800+G802+G805),2)</f>
        <v>#VALUE!</v>
      </c>
      <c r="H809" s="269" t="e">
        <f>SUMIF(#REF!,$B796,#REF!)</f>
        <v>#REF!</v>
      </c>
      <c r="J809" s="47"/>
      <c r="K809" s="24"/>
      <c r="L809" s="25"/>
      <c r="M809" s="850" t="str">
        <f>'Obrazac kalkulacije'!$E$18</f>
        <v>Ukupno (kn):</v>
      </c>
      <c r="N809" s="850"/>
      <c r="O809" s="26" t="e">
        <f>ROUND(SUM(O800+O802+O805),2)</f>
        <v>#VALUE!</v>
      </c>
    </row>
    <row r="810" spans="1:15" ht="25.15" customHeight="1" thickTop="1" thickBot="1">
      <c r="E810" s="27" t="str">
        <f>'Obrazac kalkulacije'!$E$19</f>
        <v>PDV:</v>
      </c>
      <c r="F810" s="259">
        <f>'Obrazac kalkulacije'!$F$19</f>
        <v>0.25</v>
      </c>
      <c r="G810" s="29" t="e">
        <f>G809*F810</f>
        <v>#VALUE!</v>
      </c>
      <c r="H810" s="270" t="e">
        <f>H809-G809</f>
        <v>#REF!</v>
      </c>
      <c r="M810" s="27" t="str">
        <f>'Obrazac kalkulacije'!$E$19</f>
        <v>PDV:</v>
      </c>
      <c r="N810" s="259">
        <f>'Obrazac kalkulacije'!$F$19</f>
        <v>0.25</v>
      </c>
      <c r="O810" s="29" t="e">
        <f>O809*N810</f>
        <v>#VALUE!</v>
      </c>
    </row>
    <row r="811" spans="1:15" ht="25.15" customHeight="1" thickTop="1" thickBot="1">
      <c r="E811" s="840" t="str">
        <f>'Obrazac kalkulacije'!$E$20</f>
        <v>Sveukupno (kn):</v>
      </c>
      <c r="F811" s="840"/>
      <c r="G811" s="29" t="e">
        <f>ROUND(SUM(G809:G810),2)</f>
        <v>#VALUE!</v>
      </c>
      <c r="H811" s="271" t="e">
        <f>G804+H810</f>
        <v>#REF!</v>
      </c>
      <c r="M811" s="840" t="str">
        <f>'Obrazac kalkulacije'!$E$20</f>
        <v>Sveukupno (kn):</v>
      </c>
      <c r="N811" s="840"/>
      <c r="O811" s="29" t="e">
        <f>ROUND(SUM(O809:O810),2)</f>
        <v>#VALUE!</v>
      </c>
    </row>
    <row r="812" spans="1:15" ht="15" customHeight="1" thickTop="1"/>
    <row r="813" spans="1:15" ht="15" customHeight="1"/>
    <row r="814" spans="1:15" ht="15" customHeight="1"/>
    <row r="815" spans="1:15" ht="15" customHeight="1">
      <c r="C815" s="3" t="str">
        <f>'Obrazac kalkulacije'!$C$24</f>
        <v>IZVODITELJ:</v>
      </c>
      <c r="F815" s="841" t="str">
        <f>'Obrazac kalkulacije'!$F$24</f>
        <v>NARUČITELJ:</v>
      </c>
      <c r="G815" s="841"/>
      <c r="K815" s="3" t="str">
        <f>'Obrazac kalkulacije'!$C$24</f>
        <v>IZVODITELJ:</v>
      </c>
      <c r="N815" s="841" t="str">
        <f>'Obrazac kalkulacije'!$F$24</f>
        <v>NARUČITELJ:</v>
      </c>
      <c r="O815" s="841"/>
    </row>
    <row r="816" spans="1:15" ht="25.15" customHeight="1">
      <c r="C816" s="3" t="str">
        <f>'Obrazac kalkulacije'!$C$25</f>
        <v>__________________</v>
      </c>
      <c r="F816" s="841" t="str">
        <f>'Obrazac kalkulacije'!$F$25</f>
        <v>___________________</v>
      </c>
      <c r="G816" s="841"/>
      <c r="K816" s="3" t="str">
        <f>'Obrazac kalkulacije'!$C$25</f>
        <v>__________________</v>
      </c>
      <c r="N816" s="841" t="str">
        <f>'Obrazac kalkulacije'!$F$25</f>
        <v>___________________</v>
      </c>
      <c r="O816" s="841"/>
    </row>
    <row r="817" spans="6:15" ht="15" customHeight="1">
      <c r="F817" s="841"/>
      <c r="G817" s="841"/>
      <c r="N817" s="841"/>
      <c r="O817" s="841"/>
    </row>
  </sheetData>
  <sheetProtection selectLockedCells="1"/>
  <mergeCells count="1158">
    <mergeCell ref="N817:O817"/>
    <mergeCell ref="J798:K798"/>
    <mergeCell ref="J800:K800"/>
    <mergeCell ref="J801:K801"/>
    <mergeCell ref="J802:K802"/>
    <mergeCell ref="J803:K803"/>
    <mergeCell ref="N815:O815"/>
    <mergeCell ref="K796:O796"/>
    <mergeCell ref="K770:O770"/>
    <mergeCell ref="N816:O816"/>
    <mergeCell ref="J804:K804"/>
    <mergeCell ref="J805:K805"/>
    <mergeCell ref="M811:N811"/>
    <mergeCell ref="J806:K806"/>
    <mergeCell ref="J807:K807"/>
    <mergeCell ref="J808:K808"/>
    <mergeCell ref="M809:N809"/>
    <mergeCell ref="N765:O765"/>
    <mergeCell ref="M760:N760"/>
    <mergeCell ref="N764:O764"/>
    <mergeCell ref="N766:O766"/>
    <mergeCell ref="K768:O768"/>
    <mergeCell ref="K769:O769"/>
    <mergeCell ref="K795:O795"/>
    <mergeCell ref="M786:N786"/>
    <mergeCell ref="N790:O790"/>
    <mergeCell ref="N791:O791"/>
    <mergeCell ref="J774:K774"/>
    <mergeCell ref="J775:K775"/>
    <mergeCell ref="J772:K772"/>
    <mergeCell ref="J778:K778"/>
    <mergeCell ref="J779:K779"/>
    <mergeCell ref="J780:K780"/>
    <mergeCell ref="J781:K781"/>
    <mergeCell ref="J782:K782"/>
    <mergeCell ref="J783:K783"/>
    <mergeCell ref="J725:K725"/>
    <mergeCell ref="J726:K726"/>
    <mergeCell ref="J723:K723"/>
    <mergeCell ref="M784:N784"/>
    <mergeCell ref="N792:O792"/>
    <mergeCell ref="K794:O794"/>
    <mergeCell ref="J750:K750"/>
    <mergeCell ref="J751:K751"/>
    <mergeCell ref="J776:K776"/>
    <mergeCell ref="J777:K777"/>
    <mergeCell ref="J754:K754"/>
    <mergeCell ref="J755:K755"/>
    <mergeCell ref="J752:K752"/>
    <mergeCell ref="K741:O741"/>
    <mergeCell ref="K742:O742"/>
    <mergeCell ref="M730:N730"/>
    <mergeCell ref="M732:N732"/>
    <mergeCell ref="N736:O736"/>
    <mergeCell ref="J747:K747"/>
    <mergeCell ref="J748:K748"/>
    <mergeCell ref="J749:K749"/>
    <mergeCell ref="J753:K753"/>
    <mergeCell ref="N737:O737"/>
    <mergeCell ref="N738:O738"/>
    <mergeCell ref="J744:K744"/>
    <mergeCell ref="J746:K746"/>
    <mergeCell ref="K740:O740"/>
    <mergeCell ref="J728:K728"/>
    <mergeCell ref="J729:K729"/>
    <mergeCell ref="J756:K756"/>
    <mergeCell ref="J757:K757"/>
    <mergeCell ref="M758:N758"/>
    <mergeCell ref="J703:K703"/>
    <mergeCell ref="J704:K704"/>
    <mergeCell ref="J701:K701"/>
    <mergeCell ref="J702:K702"/>
    <mergeCell ref="J721:K721"/>
    <mergeCell ref="K715:O715"/>
    <mergeCell ref="J722:K722"/>
    <mergeCell ref="J727:K727"/>
    <mergeCell ref="J724:K724"/>
    <mergeCell ref="J679:K679"/>
    <mergeCell ref="J699:K699"/>
    <mergeCell ref="J700:K700"/>
    <mergeCell ref="J644:K644"/>
    <mergeCell ref="J646:K646"/>
    <mergeCell ref="J647:K647"/>
    <mergeCell ref="J648:K648"/>
    <mergeCell ref="J694:K694"/>
    <mergeCell ref="J696:K696"/>
    <mergeCell ref="J697:K697"/>
    <mergeCell ref="J652:K652"/>
    <mergeCell ref="K716:O716"/>
    <mergeCell ref="K717:O717"/>
    <mergeCell ref="J719:K719"/>
    <mergeCell ref="M705:N705"/>
    <mergeCell ref="M707:N707"/>
    <mergeCell ref="N711:O711"/>
    <mergeCell ref="N712:O712"/>
    <mergeCell ref="N713:O713"/>
    <mergeCell ref="J698:K698"/>
    <mergeCell ref="K690:O690"/>
    <mergeCell ref="K691:O691"/>
    <mergeCell ref="K692:O692"/>
    <mergeCell ref="K664:O664"/>
    <mergeCell ref="N688:O688"/>
    <mergeCell ref="K665:O665"/>
    <mergeCell ref="J674:K674"/>
    <mergeCell ref="J675:K675"/>
    <mergeCell ref="J676:K676"/>
    <mergeCell ref="J677:K677"/>
    <mergeCell ref="K666:O666"/>
    <mergeCell ref="J668:K668"/>
    <mergeCell ref="J670:K670"/>
    <mergeCell ref="J653:K653"/>
    <mergeCell ref="J672:K672"/>
    <mergeCell ref="J673:K673"/>
    <mergeCell ref="M680:N680"/>
    <mergeCell ref="M682:N682"/>
    <mergeCell ref="N686:O686"/>
    <mergeCell ref="N687:O687"/>
    <mergeCell ref="J678:K678"/>
    <mergeCell ref="M608:N608"/>
    <mergeCell ref="J622:K622"/>
    <mergeCell ref="J623:K623"/>
    <mergeCell ref="J624:K624"/>
    <mergeCell ref="J625:K625"/>
    <mergeCell ref="J579:K579"/>
    <mergeCell ref="J602:K602"/>
    <mergeCell ref="J603:K603"/>
    <mergeCell ref="J604:K604"/>
    <mergeCell ref="J580:K580"/>
    <mergeCell ref="K593:O593"/>
    <mergeCell ref="J671:K671"/>
    <mergeCell ref="K642:O642"/>
    <mergeCell ref="N661:O661"/>
    <mergeCell ref="N662:O662"/>
    <mergeCell ref="M654:N654"/>
    <mergeCell ref="M656:N656"/>
    <mergeCell ref="N660:O660"/>
    <mergeCell ref="J649:K649"/>
    <mergeCell ref="J650:K650"/>
    <mergeCell ref="J651:K651"/>
    <mergeCell ref="J626:K626"/>
    <mergeCell ref="J627:K627"/>
    <mergeCell ref="J628:K628"/>
    <mergeCell ref="J629:K629"/>
    <mergeCell ref="M630:N630"/>
    <mergeCell ref="M632:N632"/>
    <mergeCell ref="N636:O636"/>
    <mergeCell ref="N637:O637"/>
    <mergeCell ref="K641:O641"/>
    <mergeCell ref="N638:O638"/>
    <mergeCell ref="K640:O640"/>
    <mergeCell ref="K536:O536"/>
    <mergeCell ref="J574:K574"/>
    <mergeCell ref="N561:O561"/>
    <mergeCell ref="J549:K549"/>
    <mergeCell ref="J550:K550"/>
    <mergeCell ref="K537:O537"/>
    <mergeCell ref="K565:O565"/>
    <mergeCell ref="J569:K569"/>
    <mergeCell ref="J570:K570"/>
    <mergeCell ref="K618:O618"/>
    <mergeCell ref="J620:K620"/>
    <mergeCell ref="N614:O614"/>
    <mergeCell ref="K616:O616"/>
    <mergeCell ref="K617:O617"/>
    <mergeCell ref="N612:O612"/>
    <mergeCell ref="N613:O613"/>
    <mergeCell ref="J571:K571"/>
    <mergeCell ref="J572:K572"/>
    <mergeCell ref="M583:N583"/>
    <mergeCell ref="N587:O587"/>
    <mergeCell ref="J599:K599"/>
    <mergeCell ref="J600:K600"/>
    <mergeCell ref="J601:K601"/>
    <mergeCell ref="J605:K605"/>
    <mergeCell ref="J578:K578"/>
    <mergeCell ref="M606:N606"/>
    <mergeCell ref="J595:K595"/>
    <mergeCell ref="M581:N581"/>
    <mergeCell ref="N588:O588"/>
    <mergeCell ref="N589:O589"/>
    <mergeCell ref="K591:O591"/>
    <mergeCell ref="K592:O592"/>
    <mergeCell ref="J524:K524"/>
    <mergeCell ref="J496:K496"/>
    <mergeCell ref="J499:K499"/>
    <mergeCell ref="J492:K492"/>
    <mergeCell ref="J493:K493"/>
    <mergeCell ref="J494:K494"/>
    <mergeCell ref="J495:K495"/>
    <mergeCell ref="J525:K525"/>
    <mergeCell ref="N532:O532"/>
    <mergeCell ref="N533:O533"/>
    <mergeCell ref="N534:O534"/>
    <mergeCell ref="M526:N526"/>
    <mergeCell ref="M528:N528"/>
    <mergeCell ref="N560:O560"/>
    <mergeCell ref="J597:K597"/>
    <mergeCell ref="J598:K598"/>
    <mergeCell ref="K564:O564"/>
    <mergeCell ref="J573:K573"/>
    <mergeCell ref="J551:K551"/>
    <mergeCell ref="K563:O563"/>
    <mergeCell ref="J575:K575"/>
    <mergeCell ref="J576:K576"/>
    <mergeCell ref="J577:K577"/>
    <mergeCell ref="J544:K544"/>
    <mergeCell ref="J547:K547"/>
    <mergeCell ref="J548:K548"/>
    <mergeCell ref="J545:K545"/>
    <mergeCell ref="J546:K546"/>
    <mergeCell ref="J552:K552"/>
    <mergeCell ref="M553:N553"/>
    <mergeCell ref="M555:N555"/>
    <mergeCell ref="N559:O559"/>
    <mergeCell ref="J470:K470"/>
    <mergeCell ref="J471:K471"/>
    <mergeCell ref="J472:K472"/>
    <mergeCell ref="M473:N473"/>
    <mergeCell ref="J521:K521"/>
    <mergeCell ref="J522:K522"/>
    <mergeCell ref="J519:K519"/>
    <mergeCell ref="J520:K520"/>
    <mergeCell ref="N508:O508"/>
    <mergeCell ref="K485:O485"/>
    <mergeCell ref="J487:K487"/>
    <mergeCell ref="M500:N500"/>
    <mergeCell ref="N506:O506"/>
    <mergeCell ref="J498:K498"/>
    <mergeCell ref="J567:K567"/>
    <mergeCell ref="J542:K542"/>
    <mergeCell ref="J543:K543"/>
    <mergeCell ref="J514:K514"/>
    <mergeCell ref="J516:K516"/>
    <mergeCell ref="J517:K517"/>
    <mergeCell ref="J518:K518"/>
    <mergeCell ref="K510:O510"/>
    <mergeCell ref="K511:O511"/>
    <mergeCell ref="K512:O512"/>
    <mergeCell ref="K538:O538"/>
    <mergeCell ref="J540:K540"/>
    <mergeCell ref="K483:O483"/>
    <mergeCell ref="K484:O484"/>
    <mergeCell ref="N507:O507"/>
    <mergeCell ref="J489:K489"/>
    <mergeCell ref="J490:K490"/>
    <mergeCell ref="J491:K491"/>
    <mergeCell ref="J523:K523"/>
    <mergeCell ref="M502:N502"/>
    <mergeCell ref="N454:O454"/>
    <mergeCell ref="N455:O455"/>
    <mergeCell ref="K457:O457"/>
    <mergeCell ref="K459:O459"/>
    <mergeCell ref="N429:O429"/>
    <mergeCell ref="K431:O431"/>
    <mergeCell ref="J465:K465"/>
    <mergeCell ref="J443:K443"/>
    <mergeCell ref="J444:K444"/>
    <mergeCell ref="J445:K445"/>
    <mergeCell ref="J446:K446"/>
    <mergeCell ref="J461:K461"/>
    <mergeCell ref="J463:K463"/>
    <mergeCell ref="J439:K439"/>
    <mergeCell ref="J464:K464"/>
    <mergeCell ref="K433:O433"/>
    <mergeCell ref="J435:K435"/>
    <mergeCell ref="J437:K437"/>
    <mergeCell ref="J438:K438"/>
    <mergeCell ref="K458:O458"/>
    <mergeCell ref="N453:O453"/>
    <mergeCell ref="M475:N475"/>
    <mergeCell ref="N479:O479"/>
    <mergeCell ref="J497:K497"/>
    <mergeCell ref="J466:K466"/>
    <mergeCell ref="J467:K467"/>
    <mergeCell ref="J468:K468"/>
    <mergeCell ref="J469:K469"/>
    <mergeCell ref="N480:O480"/>
    <mergeCell ref="N481:O481"/>
    <mergeCell ref="J414:K414"/>
    <mergeCell ref="J409:K409"/>
    <mergeCell ref="J411:K411"/>
    <mergeCell ref="J416:K416"/>
    <mergeCell ref="J415:K415"/>
    <mergeCell ref="J440:K440"/>
    <mergeCell ref="M447:N447"/>
    <mergeCell ref="M449:N449"/>
    <mergeCell ref="J412:K412"/>
    <mergeCell ref="J441:K441"/>
    <mergeCell ref="J442:K442"/>
    <mergeCell ref="J420:K420"/>
    <mergeCell ref="J418:K418"/>
    <mergeCell ref="J419:K419"/>
    <mergeCell ref="J417:K417"/>
    <mergeCell ref="J413:K413"/>
    <mergeCell ref="J387:K387"/>
    <mergeCell ref="J388:K388"/>
    <mergeCell ref="J389:K389"/>
    <mergeCell ref="J390:K390"/>
    <mergeCell ref="K406:O406"/>
    <mergeCell ref="K432:O432"/>
    <mergeCell ref="N401:O401"/>
    <mergeCell ref="N402:O402"/>
    <mergeCell ref="N403:O403"/>
    <mergeCell ref="K405:O405"/>
    <mergeCell ref="M421:N421"/>
    <mergeCell ref="M423:N423"/>
    <mergeCell ref="N427:O427"/>
    <mergeCell ref="N428:O428"/>
    <mergeCell ref="J386:K386"/>
    <mergeCell ref="J366:K366"/>
    <mergeCell ref="J367:K367"/>
    <mergeCell ref="J368:K368"/>
    <mergeCell ref="K379:O379"/>
    <mergeCell ref="K380:O380"/>
    <mergeCell ref="N377:O377"/>
    <mergeCell ref="K381:O381"/>
    <mergeCell ref="J383:K383"/>
    <mergeCell ref="K407:O407"/>
    <mergeCell ref="M395:N395"/>
    <mergeCell ref="M397:N397"/>
    <mergeCell ref="J391:K391"/>
    <mergeCell ref="J392:K392"/>
    <mergeCell ref="J393:K393"/>
    <mergeCell ref="J394:K394"/>
    <mergeCell ref="J362:K362"/>
    <mergeCell ref="J363:K363"/>
    <mergeCell ref="J364:K364"/>
    <mergeCell ref="J365:K365"/>
    <mergeCell ref="K356:O356"/>
    <mergeCell ref="J358:K358"/>
    <mergeCell ref="J360:K360"/>
    <mergeCell ref="J361:K361"/>
    <mergeCell ref="J342:K342"/>
    <mergeCell ref="M371:N371"/>
    <mergeCell ref="N375:O375"/>
    <mergeCell ref="J385:K385"/>
    <mergeCell ref="M369:N369"/>
    <mergeCell ref="K355:O355"/>
    <mergeCell ref="N352:O352"/>
    <mergeCell ref="N376:O376"/>
    <mergeCell ref="K354:O354"/>
    <mergeCell ref="J343:K343"/>
    <mergeCell ref="N325:O325"/>
    <mergeCell ref="N326:O326"/>
    <mergeCell ref="J336:K336"/>
    <mergeCell ref="J337:K337"/>
    <mergeCell ref="J338:K338"/>
    <mergeCell ref="J339:K339"/>
    <mergeCell ref="M344:N344"/>
    <mergeCell ref="M346:N346"/>
    <mergeCell ref="N350:O350"/>
    <mergeCell ref="J335:K335"/>
    <mergeCell ref="J317:K317"/>
    <mergeCell ref="J318:K318"/>
    <mergeCell ref="K331:O331"/>
    <mergeCell ref="J333:K333"/>
    <mergeCell ref="M319:N319"/>
    <mergeCell ref="M321:N321"/>
    <mergeCell ref="J313:K313"/>
    <mergeCell ref="J314:K314"/>
    <mergeCell ref="J315:K315"/>
    <mergeCell ref="J316:K316"/>
    <mergeCell ref="N351:O351"/>
    <mergeCell ref="N327:O327"/>
    <mergeCell ref="K329:O329"/>
    <mergeCell ref="J340:K340"/>
    <mergeCell ref="J341:K341"/>
    <mergeCell ref="K330:O330"/>
    <mergeCell ref="J310:K310"/>
    <mergeCell ref="J311:K311"/>
    <mergeCell ref="J312:K312"/>
    <mergeCell ref="M294:N294"/>
    <mergeCell ref="M296:N296"/>
    <mergeCell ref="N300:O300"/>
    <mergeCell ref="K306:O306"/>
    <mergeCell ref="J308:K308"/>
    <mergeCell ref="N301:O301"/>
    <mergeCell ref="N302:O302"/>
    <mergeCell ref="K304:O304"/>
    <mergeCell ref="K305:O305"/>
    <mergeCell ref="M269:N269"/>
    <mergeCell ref="J293:K293"/>
    <mergeCell ref="J289:K289"/>
    <mergeCell ref="K279:O279"/>
    <mergeCell ref="K280:O280"/>
    <mergeCell ref="K281:O281"/>
    <mergeCell ref="J283:K283"/>
    <mergeCell ref="J290:K290"/>
    <mergeCell ref="J291:K291"/>
    <mergeCell ref="J292:K292"/>
    <mergeCell ref="J285:K285"/>
    <mergeCell ref="J264:K264"/>
    <mergeCell ref="J265:K265"/>
    <mergeCell ref="M271:N271"/>
    <mergeCell ref="N275:O275"/>
    <mergeCell ref="K256:O256"/>
    <mergeCell ref="J258:K258"/>
    <mergeCell ref="J260:K260"/>
    <mergeCell ref="J261:K261"/>
    <mergeCell ref="J288:K288"/>
    <mergeCell ref="J266:K266"/>
    <mergeCell ref="J267:K267"/>
    <mergeCell ref="J268:K268"/>
    <mergeCell ref="J287:K287"/>
    <mergeCell ref="J286:K286"/>
    <mergeCell ref="J263:K263"/>
    <mergeCell ref="J240:K240"/>
    <mergeCell ref="N225:O225"/>
    <mergeCell ref="N226:O226"/>
    <mergeCell ref="N227:O227"/>
    <mergeCell ref="J237:K237"/>
    <mergeCell ref="N252:O252"/>
    <mergeCell ref="K254:O254"/>
    <mergeCell ref="K255:O255"/>
    <mergeCell ref="N277:O277"/>
    <mergeCell ref="N276:O276"/>
    <mergeCell ref="M219:N219"/>
    <mergeCell ref="J216:K216"/>
    <mergeCell ref="J217:K217"/>
    <mergeCell ref="J238:K238"/>
    <mergeCell ref="J243:K243"/>
    <mergeCell ref="J262:K262"/>
    <mergeCell ref="J233:K233"/>
    <mergeCell ref="J235:K235"/>
    <mergeCell ref="J236:K236"/>
    <mergeCell ref="J239:K239"/>
    <mergeCell ref="J215:K215"/>
    <mergeCell ref="J218:K218"/>
    <mergeCell ref="M244:N244"/>
    <mergeCell ref="M246:N246"/>
    <mergeCell ref="N250:O250"/>
    <mergeCell ref="N251:O251"/>
    <mergeCell ref="M221:N221"/>
    <mergeCell ref="J241:K241"/>
    <mergeCell ref="J242:K242"/>
    <mergeCell ref="K229:O229"/>
    <mergeCell ref="K230:O230"/>
    <mergeCell ref="K231:O231"/>
    <mergeCell ref="M194:N194"/>
    <mergeCell ref="M196:N196"/>
    <mergeCell ref="N201:O201"/>
    <mergeCell ref="N202:O202"/>
    <mergeCell ref="K204:O204"/>
    <mergeCell ref="N200:O200"/>
    <mergeCell ref="J212:K212"/>
    <mergeCell ref="J210:K210"/>
    <mergeCell ref="J211:K211"/>
    <mergeCell ref="J190:K190"/>
    <mergeCell ref="J191:K191"/>
    <mergeCell ref="J192:K192"/>
    <mergeCell ref="J213:K213"/>
    <mergeCell ref="J214:K214"/>
    <mergeCell ref="K184:O184"/>
    <mergeCell ref="K185:O185"/>
    <mergeCell ref="K186:O186"/>
    <mergeCell ref="J193:K193"/>
    <mergeCell ref="J188:K188"/>
    <mergeCell ref="K205:O205"/>
    <mergeCell ref="K206:O206"/>
    <mergeCell ref="J208:K208"/>
    <mergeCell ref="N162:O162"/>
    <mergeCell ref="K164:O164"/>
    <mergeCell ref="M156:N156"/>
    <mergeCell ref="M176:N176"/>
    <mergeCell ref="N180:O180"/>
    <mergeCell ref="J170:K170"/>
    <mergeCell ref="M174:N174"/>
    <mergeCell ref="J171:K171"/>
    <mergeCell ref="J172:K172"/>
    <mergeCell ref="J173:K173"/>
    <mergeCell ref="N181:O181"/>
    <mergeCell ref="N182:O182"/>
    <mergeCell ref="J168:K168"/>
    <mergeCell ref="J148:K148"/>
    <mergeCell ref="J150:K150"/>
    <mergeCell ref="J151:K151"/>
    <mergeCell ref="J152:K152"/>
    <mergeCell ref="J153:K153"/>
    <mergeCell ref="K165:O165"/>
    <mergeCell ref="N160:O160"/>
    <mergeCell ref="K166:O166"/>
    <mergeCell ref="M154:N154"/>
    <mergeCell ref="K145:O145"/>
    <mergeCell ref="J130:K130"/>
    <mergeCell ref="J131:K131"/>
    <mergeCell ref="J132:K132"/>
    <mergeCell ref="J133:K133"/>
    <mergeCell ref="J113:K113"/>
    <mergeCell ref="K124:O124"/>
    <mergeCell ref="K125:O125"/>
    <mergeCell ref="K126:O126"/>
    <mergeCell ref="J128:K128"/>
    <mergeCell ref="M114:N114"/>
    <mergeCell ref="M116:N116"/>
    <mergeCell ref="N121:O121"/>
    <mergeCell ref="N122:O122"/>
    <mergeCell ref="N142:O142"/>
    <mergeCell ref="K144:O144"/>
    <mergeCell ref="N161:O161"/>
    <mergeCell ref="K146:O146"/>
    <mergeCell ref="J112:K112"/>
    <mergeCell ref="N120:O120"/>
    <mergeCell ref="M134:N134"/>
    <mergeCell ref="M136:N136"/>
    <mergeCell ref="N140:O140"/>
    <mergeCell ref="N141:O141"/>
    <mergeCell ref="J89:K89"/>
    <mergeCell ref="N98:O98"/>
    <mergeCell ref="J27:K27"/>
    <mergeCell ref="J28:K28"/>
    <mergeCell ref="J29:K29"/>
    <mergeCell ref="M30:N30"/>
    <mergeCell ref="M32:N32"/>
    <mergeCell ref="N36:O36"/>
    <mergeCell ref="N59:O59"/>
    <mergeCell ref="K61:O61"/>
    <mergeCell ref="K62:O62"/>
    <mergeCell ref="K63:O63"/>
    <mergeCell ref="J88:K88"/>
    <mergeCell ref="J90:K90"/>
    <mergeCell ref="J65:K65"/>
    <mergeCell ref="J71:K71"/>
    <mergeCell ref="M72:N72"/>
    <mergeCell ref="J70:K70"/>
    <mergeCell ref="J67:K67"/>
    <mergeCell ref="K84:O84"/>
    <mergeCell ref="M51:N51"/>
    <mergeCell ref="M53:N53"/>
    <mergeCell ref="N57:O57"/>
    <mergeCell ref="J49:K49"/>
    <mergeCell ref="J111:K111"/>
    <mergeCell ref="J91:K91"/>
    <mergeCell ref="J50:K50"/>
    <mergeCell ref="J109:K109"/>
    <mergeCell ref="K102:O102"/>
    <mergeCell ref="K42:O42"/>
    <mergeCell ref="N58:O58"/>
    <mergeCell ref="J110:K110"/>
    <mergeCell ref="K103:O103"/>
    <mergeCell ref="K104:O104"/>
    <mergeCell ref="J106:K106"/>
    <mergeCell ref="J108:K108"/>
    <mergeCell ref="K83:O83"/>
    <mergeCell ref="M92:N92"/>
    <mergeCell ref="N99:O99"/>
    <mergeCell ref="M74:N74"/>
    <mergeCell ref="N78:O78"/>
    <mergeCell ref="N79:O79"/>
    <mergeCell ref="N100:O100"/>
    <mergeCell ref="M94:N94"/>
    <mergeCell ref="B670:C670"/>
    <mergeCell ref="C664:G664"/>
    <mergeCell ref="C665:G665"/>
    <mergeCell ref="B646:C646"/>
    <mergeCell ref="N80:O80"/>
    <mergeCell ref="K82:O82"/>
    <mergeCell ref="J8:K8"/>
    <mergeCell ref="J9:K9"/>
    <mergeCell ref="M10:N10"/>
    <mergeCell ref="M12:N12"/>
    <mergeCell ref="K2:O2"/>
    <mergeCell ref="K3:O3"/>
    <mergeCell ref="K4:O4"/>
    <mergeCell ref="J6:K6"/>
    <mergeCell ref="J24:K24"/>
    <mergeCell ref="J26:K26"/>
    <mergeCell ref="N16:O16"/>
    <mergeCell ref="N17:O17"/>
    <mergeCell ref="N18:O18"/>
    <mergeCell ref="K20:O20"/>
    <mergeCell ref="C642:G642"/>
    <mergeCell ref="E630:F630"/>
    <mergeCell ref="B625:C625"/>
    <mergeCell ref="F534:G534"/>
    <mergeCell ref="B525:C525"/>
    <mergeCell ref="F532:G532"/>
    <mergeCell ref="E526:F526"/>
    <mergeCell ref="B542:C542"/>
    <mergeCell ref="B217:C217"/>
    <mergeCell ref="B213:C213"/>
    <mergeCell ref="C204:G204"/>
    <mergeCell ref="J86:K86"/>
    <mergeCell ref="F816:G816"/>
    <mergeCell ref="B807:C807"/>
    <mergeCell ref="F792:G792"/>
    <mergeCell ref="K21:O21"/>
    <mergeCell ref="K22:O22"/>
    <mergeCell ref="J44:K44"/>
    <mergeCell ref="N37:O37"/>
    <mergeCell ref="N38:O38"/>
    <mergeCell ref="K40:O40"/>
    <mergeCell ref="K41:O41"/>
    <mergeCell ref="B808:C808"/>
    <mergeCell ref="E809:F809"/>
    <mergeCell ref="C794:G794"/>
    <mergeCell ref="B798:C798"/>
    <mergeCell ref="E786:F786"/>
    <mergeCell ref="F817:G817"/>
    <mergeCell ref="E811:F811"/>
    <mergeCell ref="F815:G815"/>
    <mergeCell ref="C795:G795"/>
    <mergeCell ref="C796:G796"/>
    <mergeCell ref="B806:C806"/>
    <mergeCell ref="E784:F784"/>
    <mergeCell ref="B776:C776"/>
    <mergeCell ref="B783:C783"/>
    <mergeCell ref="B781:C781"/>
    <mergeCell ref="B782:C782"/>
    <mergeCell ref="B777:C777"/>
    <mergeCell ref="F790:G790"/>
    <mergeCell ref="B804:C804"/>
    <mergeCell ref="B805:C805"/>
    <mergeCell ref="B626:C626"/>
    <mergeCell ref="B628:C628"/>
    <mergeCell ref="F791:G791"/>
    <mergeCell ref="J46:K46"/>
    <mergeCell ref="J47:K47"/>
    <mergeCell ref="F637:G637"/>
    <mergeCell ref="F638:G638"/>
    <mergeCell ref="J48:K48"/>
    <mergeCell ref="E154:F154"/>
    <mergeCell ref="E608:F608"/>
    <mergeCell ref="E134:F134"/>
    <mergeCell ref="E156:F156"/>
    <mergeCell ref="F160:G160"/>
    <mergeCell ref="J68:K68"/>
    <mergeCell ref="B649:C649"/>
    <mergeCell ref="B647:C647"/>
    <mergeCell ref="B648:C648"/>
    <mergeCell ref="J69:K69"/>
    <mergeCell ref="B624:C624"/>
    <mergeCell ref="E632:F632"/>
    <mergeCell ref="F636:G636"/>
    <mergeCell ref="F614:G614"/>
    <mergeCell ref="C616:G616"/>
    <mergeCell ref="F766:G766"/>
    <mergeCell ref="C768:G768"/>
    <mergeCell ref="C741:G741"/>
    <mergeCell ref="F738:G738"/>
    <mergeCell ref="B751:C751"/>
    <mergeCell ref="F764:G764"/>
    <mergeCell ref="B747:C747"/>
    <mergeCell ref="B750:C750"/>
    <mergeCell ref="B748:C748"/>
    <mergeCell ref="C716:G716"/>
    <mergeCell ref="C692:G692"/>
    <mergeCell ref="B699:C699"/>
    <mergeCell ref="B702:C702"/>
    <mergeCell ref="B700:C700"/>
    <mergeCell ref="E705:F705"/>
    <mergeCell ref="B701:C701"/>
    <mergeCell ref="F713:G713"/>
    <mergeCell ref="C666:G666"/>
    <mergeCell ref="F660:G660"/>
    <mergeCell ref="E654:F654"/>
    <mergeCell ref="C641:G641"/>
    <mergeCell ref="F661:G661"/>
    <mergeCell ref="B679:C679"/>
    <mergeCell ref="B650:C650"/>
    <mergeCell ref="B653:C653"/>
    <mergeCell ref="B644:C644"/>
    <mergeCell ref="B546:C546"/>
    <mergeCell ref="C591:G591"/>
    <mergeCell ref="B599:C599"/>
    <mergeCell ref="C593:G593"/>
    <mergeCell ref="B597:C597"/>
    <mergeCell ref="E581:F581"/>
    <mergeCell ref="F589:G589"/>
    <mergeCell ref="B577:C577"/>
    <mergeCell ref="B549:C549"/>
    <mergeCell ref="E553:F553"/>
    <mergeCell ref="B551:C551"/>
    <mergeCell ref="B703:C703"/>
    <mergeCell ref="B672:C672"/>
    <mergeCell ref="F687:G687"/>
    <mergeCell ref="B674:C674"/>
    <mergeCell ref="E707:F707"/>
    <mergeCell ref="B678:C678"/>
    <mergeCell ref="B778:C778"/>
    <mergeCell ref="B620:C620"/>
    <mergeCell ref="B744:C744"/>
    <mergeCell ref="B622:C622"/>
    <mergeCell ref="B623:C623"/>
    <mergeCell ref="B724:C724"/>
    <mergeCell ref="B722:C722"/>
    <mergeCell ref="B675:C675"/>
    <mergeCell ref="B572:C572"/>
    <mergeCell ref="E583:F583"/>
    <mergeCell ref="F587:G587"/>
    <mergeCell ref="B569:C569"/>
    <mergeCell ref="B550:C550"/>
    <mergeCell ref="B552:C552"/>
    <mergeCell ref="B571:C571"/>
    <mergeCell ref="B543:C543"/>
    <mergeCell ref="C564:G564"/>
    <mergeCell ref="B601:C601"/>
    <mergeCell ref="B602:C602"/>
    <mergeCell ref="F559:G559"/>
    <mergeCell ref="B579:C579"/>
    <mergeCell ref="B580:C580"/>
    <mergeCell ref="B570:C570"/>
    <mergeCell ref="B576:C576"/>
    <mergeCell ref="B574:C574"/>
    <mergeCell ref="B573:C573"/>
    <mergeCell ref="F588:G588"/>
    <mergeCell ref="B578:C578"/>
    <mergeCell ref="B547:C547"/>
    <mergeCell ref="B575:C575"/>
    <mergeCell ref="B600:C600"/>
    <mergeCell ref="B696:C696"/>
    <mergeCell ref="B524:C524"/>
    <mergeCell ref="B358:C358"/>
    <mergeCell ref="F375:G375"/>
    <mergeCell ref="B366:C366"/>
    <mergeCell ref="F376:G376"/>
    <mergeCell ref="B368:C368"/>
    <mergeCell ref="F98:G98"/>
    <mergeCell ref="B170:C170"/>
    <mergeCell ref="B191:C191"/>
    <mergeCell ref="B133:C133"/>
    <mergeCell ref="B109:C109"/>
    <mergeCell ref="B111:C111"/>
    <mergeCell ref="C126:G126"/>
    <mergeCell ref="B128:C128"/>
    <mergeCell ref="F140:G140"/>
    <mergeCell ref="C186:G186"/>
    <mergeCell ref="B190:C190"/>
    <mergeCell ref="B514:C514"/>
    <mergeCell ref="B523:C523"/>
    <mergeCell ref="B218:C218"/>
    <mergeCell ref="E219:F219"/>
    <mergeCell ref="B150:C150"/>
    <mergeCell ref="B519:C519"/>
    <mergeCell ref="B522:C522"/>
    <mergeCell ref="F121:G121"/>
    <mergeCell ref="B151:C151"/>
    <mergeCell ref="C146:G146"/>
    <mergeCell ref="C231:G231"/>
    <mergeCell ref="C230:G230"/>
    <mergeCell ref="F227:G227"/>
    <mergeCell ref="E221:F221"/>
    <mergeCell ref="F225:G225"/>
    <mergeCell ref="B545:C545"/>
    <mergeCell ref="B47:C47"/>
    <mergeCell ref="B50:C50"/>
    <mergeCell ref="E94:F94"/>
    <mergeCell ref="E74:F74"/>
    <mergeCell ref="F80:G80"/>
    <mergeCell ref="E92:F92"/>
    <mergeCell ref="B49:C49"/>
    <mergeCell ref="B48:C48"/>
    <mergeCell ref="E53:F53"/>
    <mergeCell ref="F58:G58"/>
    <mergeCell ref="F162:G162"/>
    <mergeCell ref="B88:C88"/>
    <mergeCell ref="B90:C90"/>
    <mergeCell ref="B106:C106"/>
    <mergeCell ref="C166:G166"/>
    <mergeCell ref="C144:G144"/>
    <mergeCell ref="B148:C148"/>
    <mergeCell ref="B152:C152"/>
    <mergeCell ref="F122:G122"/>
    <mergeCell ref="C103:G103"/>
    <mergeCell ref="C62:G62"/>
    <mergeCell ref="F59:G59"/>
    <mergeCell ref="C84:G84"/>
    <mergeCell ref="B86:C86"/>
    <mergeCell ref="C83:G83"/>
    <mergeCell ref="C61:G61"/>
    <mergeCell ref="B210:C210"/>
    <mergeCell ref="E194:F194"/>
    <mergeCell ref="F201:G201"/>
    <mergeCell ref="F57:G57"/>
    <mergeCell ref="C124:G124"/>
    <mergeCell ref="E72:F72"/>
    <mergeCell ref="B70:C70"/>
    <mergeCell ref="B69:C69"/>
    <mergeCell ref="C82:G82"/>
    <mergeCell ref="B71:C71"/>
    <mergeCell ref="F79:G79"/>
    <mergeCell ref="E51:F51"/>
    <mergeCell ref="C63:G63"/>
    <mergeCell ref="B91:C91"/>
    <mergeCell ref="B89:C89"/>
    <mergeCell ref="E116:F116"/>
    <mergeCell ref="C104:G104"/>
    <mergeCell ref="B110:C110"/>
    <mergeCell ref="C40:G40"/>
    <mergeCell ref="B68:C68"/>
    <mergeCell ref="F78:G78"/>
    <mergeCell ref="B65:C65"/>
    <mergeCell ref="B67:C67"/>
    <mergeCell ref="C2:G2"/>
    <mergeCell ref="E32:F32"/>
    <mergeCell ref="F36:G36"/>
    <mergeCell ref="C3:G3"/>
    <mergeCell ref="B28:C28"/>
    <mergeCell ref="C22:G22"/>
    <mergeCell ref="B26:C26"/>
    <mergeCell ref="B8:C8"/>
    <mergeCell ref="B9:C9"/>
    <mergeCell ref="C21:G21"/>
    <mergeCell ref="B46:C46"/>
    <mergeCell ref="B24:C24"/>
    <mergeCell ref="B44:C44"/>
    <mergeCell ref="F37:G37"/>
    <mergeCell ref="C42:G42"/>
    <mergeCell ref="B27:C27"/>
    <mergeCell ref="F38:G38"/>
    <mergeCell ref="E30:F30"/>
    <mergeCell ref="B29:C29"/>
    <mergeCell ref="C41:G41"/>
    <mergeCell ref="C4:G4"/>
    <mergeCell ref="E10:F10"/>
    <mergeCell ref="B6:C6"/>
    <mergeCell ref="E12:F12"/>
    <mergeCell ref="F18:G18"/>
    <mergeCell ref="F17:G17"/>
    <mergeCell ref="F16:G16"/>
    <mergeCell ref="C20:G20"/>
    <mergeCell ref="F161:G161"/>
    <mergeCell ref="B153:C153"/>
    <mergeCell ref="B168:C168"/>
    <mergeCell ref="F120:G120"/>
    <mergeCell ref="F99:G99"/>
    <mergeCell ref="B113:C113"/>
    <mergeCell ref="B112:C112"/>
    <mergeCell ref="B108:C108"/>
    <mergeCell ref="B132:C132"/>
    <mergeCell ref="B131:C131"/>
    <mergeCell ref="E136:F136"/>
    <mergeCell ref="C145:G145"/>
    <mergeCell ref="F100:G100"/>
    <mergeCell ref="C102:G102"/>
    <mergeCell ref="F141:G141"/>
    <mergeCell ref="F142:G142"/>
    <mergeCell ref="C125:G125"/>
    <mergeCell ref="E114:F114"/>
    <mergeCell ref="B130:C130"/>
    <mergeCell ref="F200:G200"/>
    <mergeCell ref="C256:G256"/>
    <mergeCell ref="B285:C285"/>
    <mergeCell ref="B288:C288"/>
    <mergeCell ref="B260:C260"/>
    <mergeCell ref="C205:G205"/>
    <mergeCell ref="B233:C233"/>
    <mergeCell ref="B238:C238"/>
    <mergeCell ref="C254:G254"/>
    <mergeCell ref="B236:C236"/>
    <mergeCell ref="C164:G164"/>
    <mergeCell ref="C165:G165"/>
    <mergeCell ref="E176:F176"/>
    <mergeCell ref="C185:G185"/>
    <mergeCell ref="F182:G182"/>
    <mergeCell ref="F181:G181"/>
    <mergeCell ref="F180:G180"/>
    <mergeCell ref="B171:C171"/>
    <mergeCell ref="B172:C172"/>
    <mergeCell ref="B173:C173"/>
    <mergeCell ref="B192:C192"/>
    <mergeCell ref="B216:C216"/>
    <mergeCell ref="B208:C208"/>
    <mergeCell ref="B214:C214"/>
    <mergeCell ref="F202:G202"/>
    <mergeCell ref="B211:C211"/>
    <mergeCell ref="E196:F196"/>
    <mergeCell ref="E174:F174"/>
    <mergeCell ref="B237:C237"/>
    <mergeCell ref="B239:C239"/>
    <mergeCell ref="F250:G250"/>
    <mergeCell ref="B241:C241"/>
    <mergeCell ref="B240:C240"/>
    <mergeCell ref="B235:C235"/>
    <mergeCell ref="B193:C193"/>
    <mergeCell ref="B188:C188"/>
    <mergeCell ref="C184:G184"/>
    <mergeCell ref="B258:C258"/>
    <mergeCell ref="C206:G206"/>
    <mergeCell ref="B212:C212"/>
    <mergeCell ref="E246:F246"/>
    <mergeCell ref="E244:F244"/>
    <mergeCell ref="B242:C242"/>
    <mergeCell ref="B243:C243"/>
    <mergeCell ref="F226:G226"/>
    <mergeCell ref="B215:C215"/>
    <mergeCell ref="C229:G229"/>
    <mergeCell ref="B264:C264"/>
    <mergeCell ref="E449:F449"/>
    <mergeCell ref="B435:C435"/>
    <mergeCell ref="C433:G433"/>
    <mergeCell ref="B438:C438"/>
    <mergeCell ref="B440:C440"/>
    <mergeCell ref="B437:C437"/>
    <mergeCell ref="B439:C439"/>
    <mergeCell ref="B441:C441"/>
    <mergeCell ref="B442:C442"/>
    <mergeCell ref="B286:C286"/>
    <mergeCell ref="B267:C267"/>
    <mergeCell ref="C255:G255"/>
    <mergeCell ref="F251:G251"/>
    <mergeCell ref="F252:G252"/>
    <mergeCell ref="B261:C261"/>
    <mergeCell ref="B262:C262"/>
    <mergeCell ref="B266:C266"/>
    <mergeCell ref="B265:C265"/>
    <mergeCell ref="B263:C263"/>
    <mergeCell ref="C305:G305"/>
    <mergeCell ref="C432:G432"/>
    <mergeCell ref="F301:G301"/>
    <mergeCell ref="E294:F294"/>
    <mergeCell ref="B268:C268"/>
    <mergeCell ref="B339:C339"/>
    <mergeCell ref="B340:C340"/>
    <mergeCell ref="C304:G304"/>
    <mergeCell ref="B310:C310"/>
    <mergeCell ref="B293:C293"/>
    <mergeCell ref="B446:C446"/>
    <mergeCell ref="E321:F321"/>
    <mergeCell ref="E319:F319"/>
    <mergeCell ref="B283:C283"/>
    <mergeCell ref="E271:F271"/>
    <mergeCell ref="C281:G281"/>
    <mergeCell ref="F275:G275"/>
    <mergeCell ref="F276:G276"/>
    <mergeCell ref="F300:G300"/>
    <mergeCell ref="B287:C287"/>
    <mergeCell ref="F429:G429"/>
    <mergeCell ref="B342:C342"/>
    <mergeCell ref="B343:C343"/>
    <mergeCell ref="B362:C362"/>
    <mergeCell ref="E344:F344"/>
    <mergeCell ref="F350:G350"/>
    <mergeCell ref="E369:F369"/>
    <mergeCell ref="B367:C367"/>
    <mergeCell ref="B365:C365"/>
    <mergeCell ref="F277:G277"/>
    <mergeCell ref="B412:C412"/>
    <mergeCell ref="B416:C416"/>
    <mergeCell ref="B419:C419"/>
    <mergeCell ref="F325:G325"/>
    <mergeCell ref="B333:C333"/>
    <mergeCell ref="B336:C336"/>
    <mergeCell ref="F326:G326"/>
    <mergeCell ref="B497:C497"/>
    <mergeCell ref="E269:F269"/>
    <mergeCell ref="C279:G279"/>
    <mergeCell ref="C280:G280"/>
    <mergeCell ref="C536:G536"/>
    <mergeCell ref="E528:F528"/>
    <mergeCell ref="C511:G511"/>
    <mergeCell ref="B520:C520"/>
    <mergeCell ref="F533:G533"/>
    <mergeCell ref="C457:G457"/>
    <mergeCell ref="F453:G453"/>
    <mergeCell ref="E447:F447"/>
    <mergeCell ref="B489:C489"/>
    <mergeCell ref="B494:C494"/>
    <mergeCell ref="B463:C463"/>
    <mergeCell ref="B466:C466"/>
    <mergeCell ref="B472:C472"/>
    <mergeCell ref="C459:G459"/>
    <mergeCell ref="F479:G479"/>
    <mergeCell ref="F481:G481"/>
    <mergeCell ref="B337:C337"/>
    <mergeCell ref="E371:F371"/>
    <mergeCell ref="B361:C361"/>
    <mergeCell ref="E296:F296"/>
    <mergeCell ref="C510:G510"/>
    <mergeCell ref="F506:G506"/>
    <mergeCell ref="F507:G507"/>
    <mergeCell ref="E500:F500"/>
    <mergeCell ref="B491:C491"/>
    <mergeCell ref="B498:C498"/>
    <mergeCell ref="B487:C487"/>
    <mergeCell ref="C485:G485"/>
    <mergeCell ref="C483:G483"/>
    <mergeCell ref="B292:C292"/>
    <mergeCell ref="B291:C291"/>
    <mergeCell ref="F403:G403"/>
    <mergeCell ref="C405:G405"/>
    <mergeCell ref="C406:G406"/>
    <mergeCell ref="B389:C389"/>
    <mergeCell ref="B394:C394"/>
    <mergeCell ref="C380:G380"/>
    <mergeCell ref="B388:C388"/>
    <mergeCell ref="C355:G355"/>
    <mergeCell ref="B317:C317"/>
    <mergeCell ref="B318:C318"/>
    <mergeCell ref="B313:C313"/>
    <mergeCell ref="B311:C311"/>
    <mergeCell ref="B315:C315"/>
    <mergeCell ref="B314:C314"/>
    <mergeCell ref="B312:C312"/>
    <mergeCell ref="B341:C341"/>
    <mergeCell ref="B338:C338"/>
    <mergeCell ref="C484:G484"/>
    <mergeCell ref="C329:G329"/>
    <mergeCell ref="B335:C335"/>
    <mergeCell ref="F302:G302"/>
    <mergeCell ref="B289:C289"/>
    <mergeCell ref="B290:C290"/>
    <mergeCell ref="C306:G306"/>
    <mergeCell ref="B316:C316"/>
    <mergeCell ref="B308:C308"/>
    <mergeCell ref="F327:G327"/>
    <mergeCell ref="C330:G330"/>
    <mergeCell ref="C331:G331"/>
    <mergeCell ref="C458:G458"/>
    <mergeCell ref="F455:G455"/>
    <mergeCell ref="F454:G454"/>
    <mergeCell ref="E346:F346"/>
    <mergeCell ref="C354:G354"/>
    <mergeCell ref="C356:G356"/>
    <mergeCell ref="B360:C360"/>
    <mergeCell ref="B364:C364"/>
    <mergeCell ref="F377:G377"/>
    <mergeCell ref="C379:G379"/>
    <mergeCell ref="C381:G381"/>
    <mergeCell ref="B385:C385"/>
    <mergeCell ref="B386:C386"/>
    <mergeCell ref="B387:C387"/>
    <mergeCell ref="B383:C383"/>
    <mergeCell ref="C407:G407"/>
    <mergeCell ref="B393:C393"/>
    <mergeCell ref="B390:C390"/>
    <mergeCell ref="E397:F397"/>
    <mergeCell ref="B363:C363"/>
    <mergeCell ref="F352:G352"/>
    <mergeCell ref="F351:G351"/>
    <mergeCell ref="C431:G431"/>
    <mergeCell ref="B490:C490"/>
    <mergeCell ref="B468:C468"/>
    <mergeCell ref="B470:C470"/>
    <mergeCell ref="B471:C471"/>
    <mergeCell ref="B464:C464"/>
    <mergeCell ref="B465:C465"/>
    <mergeCell ref="B469:C469"/>
    <mergeCell ref="B467:C467"/>
    <mergeCell ref="B461:C461"/>
    <mergeCell ref="E473:F473"/>
    <mergeCell ref="E475:F475"/>
    <mergeCell ref="B392:C392"/>
    <mergeCell ref="B391:C391"/>
    <mergeCell ref="E395:F395"/>
    <mergeCell ref="F401:G401"/>
    <mergeCell ref="F402:G402"/>
    <mergeCell ref="E423:F423"/>
    <mergeCell ref="F480:G480"/>
    <mergeCell ref="B414:C414"/>
    <mergeCell ref="B413:C413"/>
    <mergeCell ref="B445:C445"/>
    <mergeCell ref="B444:C444"/>
    <mergeCell ref="B443:C443"/>
    <mergeCell ref="E421:F421"/>
    <mergeCell ref="B409:C409"/>
    <mergeCell ref="F428:G428"/>
    <mergeCell ref="B418:C418"/>
    <mergeCell ref="B411:C411"/>
    <mergeCell ref="B415:C415"/>
    <mergeCell ref="B420:C420"/>
    <mergeCell ref="B417:C417"/>
    <mergeCell ref="F427:G427"/>
    <mergeCell ref="B673:C673"/>
    <mergeCell ref="B516:C516"/>
    <mergeCell ref="B492:C492"/>
    <mergeCell ref="B493:C493"/>
    <mergeCell ref="B518:C518"/>
    <mergeCell ref="B499:C499"/>
    <mergeCell ref="C512:G512"/>
    <mergeCell ref="F508:G508"/>
    <mergeCell ref="E502:F502"/>
    <mergeCell ref="B495:C495"/>
    <mergeCell ref="B496:C496"/>
    <mergeCell ref="B521:C521"/>
    <mergeCell ref="B544:C544"/>
    <mergeCell ref="B567:C567"/>
    <mergeCell ref="C538:G538"/>
    <mergeCell ref="E555:F555"/>
    <mergeCell ref="F560:G560"/>
    <mergeCell ref="F561:G561"/>
    <mergeCell ref="C563:G563"/>
    <mergeCell ref="C565:G565"/>
    <mergeCell ref="B548:C548"/>
    <mergeCell ref="B598:C598"/>
    <mergeCell ref="B595:C595"/>
    <mergeCell ref="C592:G592"/>
    <mergeCell ref="F662:G662"/>
    <mergeCell ref="B668:C668"/>
    <mergeCell ref="B651:C651"/>
    <mergeCell ref="B652:C652"/>
    <mergeCell ref="E656:F656"/>
    <mergeCell ref="C537:G537"/>
    <mergeCell ref="B540:C540"/>
    <mergeCell ref="B517:C517"/>
    <mergeCell ref="B604:C604"/>
    <mergeCell ref="E680:F680"/>
    <mergeCell ref="B677:C677"/>
    <mergeCell ref="B676:C676"/>
    <mergeCell ref="E606:F606"/>
    <mergeCell ref="B603:C603"/>
    <mergeCell ref="F612:G612"/>
    <mergeCell ref="F613:G613"/>
    <mergeCell ref="C640:G640"/>
    <mergeCell ref="C617:G617"/>
    <mergeCell ref="B774:C774"/>
    <mergeCell ref="C769:G769"/>
    <mergeCell ref="F765:G765"/>
    <mergeCell ref="C770:G770"/>
    <mergeCell ref="B772:C772"/>
    <mergeCell ref="B605:C605"/>
    <mergeCell ref="B627:C627"/>
    <mergeCell ref="C618:G618"/>
    <mergeCell ref="B629:C629"/>
    <mergeCell ref="B671:C671"/>
    <mergeCell ref="F736:G736"/>
    <mergeCell ref="B746:C746"/>
    <mergeCell ref="B698:C698"/>
    <mergeCell ref="E760:F760"/>
    <mergeCell ref="C715:G715"/>
    <mergeCell ref="B756:C756"/>
    <mergeCell ref="B757:C757"/>
    <mergeCell ref="B721:C721"/>
    <mergeCell ref="B719:C719"/>
    <mergeCell ref="C740:G740"/>
    <mergeCell ref="E730:F730"/>
    <mergeCell ref="F737:G737"/>
    <mergeCell ref="B723:C723"/>
    <mergeCell ref="E758:F758"/>
    <mergeCell ref="E732:F732"/>
    <mergeCell ref="B728:C728"/>
    <mergeCell ref="B727:C727"/>
    <mergeCell ref="B753:C753"/>
    <mergeCell ref="C742:G742"/>
    <mergeCell ref="B749:C749"/>
    <mergeCell ref="E682:F682"/>
    <mergeCell ref="B754:C754"/>
    <mergeCell ref="B755:C755"/>
    <mergeCell ref="B803:C803"/>
    <mergeCell ref="B800:C800"/>
    <mergeCell ref="B802:C802"/>
    <mergeCell ref="B779:C779"/>
    <mergeCell ref="B780:C780"/>
    <mergeCell ref="B801:C801"/>
    <mergeCell ref="B752:C752"/>
    <mergeCell ref="B729:C729"/>
    <mergeCell ref="B725:C725"/>
    <mergeCell ref="B726:C726"/>
    <mergeCell ref="F686:G686"/>
    <mergeCell ref="B694:C694"/>
    <mergeCell ref="C691:G691"/>
    <mergeCell ref="B697:C697"/>
    <mergeCell ref="C717:G717"/>
    <mergeCell ref="B704:C704"/>
    <mergeCell ref="F712:G712"/>
    <mergeCell ref="F711:G711"/>
    <mergeCell ref="C690:G690"/>
    <mergeCell ref="F688:G688"/>
    <mergeCell ref="B775:C775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94" orientation="portrait" horizontalDpi="4294967293" r:id="rId1"/>
  <headerFooter alignWithMargins="0">
    <oddHeader>&amp;L&amp;8HRVATSKE CESTE d.o.o.&amp;C&amp;8STANDARD REDOVNOG ODRŽAVANJA CESTA 2009.&amp;R&amp;8&amp;D</oddHeader>
    <oddFooter>&amp;L&amp;8&amp;F&amp;C&amp;8&amp;A&amp;R&amp;8&amp;P / &amp;N</oddFooter>
  </headerFooter>
  <rowBreaks count="33" manualBreakCount="33">
    <brk id="18" max="16383" man="1"/>
    <brk id="38" max="6" man="1"/>
    <brk id="59" max="6" man="1"/>
    <brk id="80" max="6" man="1"/>
    <brk id="100" max="6" man="1"/>
    <brk id="122" max="6" man="1"/>
    <brk id="142" max="6" man="1"/>
    <brk id="162" max="6" man="1"/>
    <brk id="182" max="6" man="1"/>
    <brk id="202" max="6" man="1"/>
    <brk id="227" max="6" man="1"/>
    <brk id="252" max="6" man="1"/>
    <brk id="277" max="6" man="1"/>
    <brk id="302" max="6" man="1"/>
    <brk id="327" max="6" man="1"/>
    <brk id="352" max="6" man="1"/>
    <brk id="377" max="6" man="1"/>
    <brk id="403" max="6" man="1"/>
    <brk id="429" max="6" man="1"/>
    <brk id="455" max="6" man="1"/>
    <brk id="481" max="6" man="1"/>
    <brk id="508" max="6" man="1"/>
    <brk id="534" max="6" man="1"/>
    <brk id="561" max="6" man="1"/>
    <brk id="589" max="6" man="1"/>
    <brk id="614" max="6" man="1"/>
    <brk id="638" max="6" man="1"/>
    <brk id="662" max="6" man="1"/>
    <brk id="688" max="6" man="1"/>
    <brk id="713" max="6" man="1"/>
    <brk id="738" max="6" man="1"/>
    <brk id="766" max="6" man="1"/>
    <brk id="792" max="6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'Cjenik RS'!$C$11:$C$26</xm:f>
          </x14:formula1>
          <xm:sqref>B9:C9 J9:K9 B27:C27 J27:K27 B47:C47 J47:K47 B68:C68 J68:K68 B89:C89 J89:K89 J747:K747 J775:K775 B801:C801 J801:K801 B211:C211 J211:K211 B236:C236 J361:K361 B386:C386 J386:K386 B412:C412 J412:K412 B438:C438 J438:K438 B464:C464 J464:K464 B490:C490 J490:K490 B517:C517 B543:C543 J543:K543 B570:C570 J570:K570 B598:C598 J598:K598 B623:C623 J623:K623 B647:C647 J647:K647 B671:C671 J671:K671 B697:C697 J697:K697 B722:C722 J722:K722 B747:C747 B775:C775 J109:K109 B109:C109 B131:C131 J131:K131 B151:C151 J151:K151 B171:C171 J171:K171 B191:C191 J191:K191 J236:K236 B261:C261 J261:K261 B286:C286 J286:K286 B311:C311 J311:K311 B336:C336 J336:K336 B361:C361 J517:K517</xm:sqref>
        </x14:dataValidation>
        <x14:dataValidation type="list" allowBlank="1" showInputMessage="1" showErrorMessage="1" xr:uid="{00000000-0002-0000-0600-000001000000}">
          <x14:formula1>
            <xm:f>'Cjenik VSO (pomoćna)'!$B$9:$B$13</xm:f>
          </x14:formula1>
          <xm:sqref>B777:C779 J777:K779 B803:C804 J29:K29 B29:C29 B49:C50 J49:K50 B70:C71 J70:K71 B91:C91 J91:K91 B111:C111 J111:K111 B133:C133 J133:K133 B153:C153 J153:K153 B173:C173 J173:K173 B193:C193 J193:K193 B213:C215 J213:K215 B238:C240 J238:K240 B263:C265 J263:K265 B288:C290 J288:K290 B313:C315 J313:K315 B338:C340 J338:K340 B363:C365 J363:K365 T363:U363 B388:C391 J388:K391 B414:C417 J414:K417 B440:C442 J440:K442 B466:C468 J466:K468 B492:C493 J492:K493 B519:C521 J519:K521 B545:C548 J545:K548 B572:C574 J572:K574 B600:C602 J600:K602 B625:C625 J625:K625 B649:C649 J649:K649 B749:C751 J749:K751 J803:K804</xm:sqref>
        </x14:dataValidation>
        <x14:dataValidation type="list" allowBlank="1" showInputMessage="1" showErrorMessage="1" xr:uid="{00000000-0002-0000-0600-000002000000}">
          <x14:formula1>
            <xm:f>'Cjenik M'!$B$11:$B$119</xm:f>
          </x14:formula1>
          <xm:sqref>B470:C472 J495:K499 J470:K472 B444:C446 J523:K525 B495:C499 B781:C783 B755:C757 J755:K757 J781:K783 B726:C729 J726:K729 B701:C704 J701:K704 B676:C679 J676:K679 B651:C653 J651:K653 B627:C629 J627:K629 B604:C605 J604:K605 B576:C580 J576:K580 B550:C552 J550:K552 B523:C525 J444:K446 B419:C420 J419:K420 B393:C394 J393:K394 B367:C368 J367:K368 B342:C343 J342:K343 B317:C318 J317:K318 B292:C293 J292:K293 B267:C268 J267:K268 B242:C243 J242:K243 B217:C218 J217:K218 B113:C113 J113:K113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O1707"/>
  <sheetViews>
    <sheetView showZeros="0" view="pageBreakPreview" topLeftCell="A40" zoomScaleNormal="70" zoomScaleSheetLayoutView="100" workbookViewId="0">
      <selection activeCell="C57" sqref="C57:C58"/>
    </sheetView>
  </sheetViews>
  <sheetFormatPr defaultRowHeight="12.75"/>
  <cols>
    <col min="1" max="1" width="3.7109375" style="1" customWidth="1"/>
    <col min="2" max="2" width="10.7109375" style="37" customWidth="1"/>
    <col min="3" max="3" width="25.7109375" style="2" customWidth="1"/>
    <col min="4" max="4" width="6.7109375" style="3" customWidth="1"/>
    <col min="5" max="5" width="11.7109375" style="4" customWidth="1"/>
    <col min="6" max="6" width="11.7109375" style="30" customWidth="1"/>
    <col min="7" max="7" width="11.7109375" style="5" customWidth="1"/>
    <col min="8" max="8" width="9.140625" style="2"/>
    <col min="9" max="9" width="3.7109375" style="1" customWidth="1"/>
    <col min="10" max="10" width="10.7109375" style="37" customWidth="1"/>
    <col min="11" max="11" width="25.7109375" style="2" customWidth="1"/>
    <col min="12" max="12" width="6.7109375" style="3" customWidth="1"/>
    <col min="13" max="13" width="11.7109375" style="4" customWidth="1"/>
    <col min="14" max="14" width="11.7109375" style="30" customWidth="1"/>
    <col min="15" max="15" width="11.7109375" style="5" customWidth="1"/>
    <col min="16" max="16384" width="9.140625" style="2"/>
  </cols>
  <sheetData>
    <row r="1" spans="1:15" ht="15" hidden="1" customHeight="1"/>
    <row r="2" spans="1:15" s="6" customFormat="1" ht="15" customHeight="1">
      <c r="A2" s="144"/>
      <c r="B2" s="145" t="s">
        <v>39</v>
      </c>
      <c r="C2" s="836" t="s">
        <v>360</v>
      </c>
      <c r="D2" s="836"/>
      <c r="E2" s="836"/>
      <c r="F2" s="836"/>
      <c r="G2" s="836"/>
      <c r="I2" s="144"/>
      <c r="J2" s="145" t="s">
        <v>39</v>
      </c>
      <c r="K2" s="836" t="s">
        <v>360</v>
      </c>
      <c r="L2" s="836"/>
      <c r="M2" s="836"/>
      <c r="N2" s="836"/>
      <c r="O2" s="836"/>
    </row>
    <row r="3" spans="1:15" s="6" customFormat="1" ht="15" customHeight="1">
      <c r="A3" s="38"/>
      <c r="B3" s="39" t="s">
        <v>41</v>
      </c>
      <c r="C3" s="860" t="s">
        <v>361</v>
      </c>
      <c r="D3" s="860"/>
      <c r="E3" s="860"/>
      <c r="F3" s="860"/>
      <c r="G3" s="860"/>
      <c r="I3" s="38"/>
      <c r="J3" s="39" t="s">
        <v>41</v>
      </c>
      <c r="K3" s="860" t="s">
        <v>361</v>
      </c>
      <c r="L3" s="860"/>
      <c r="M3" s="860"/>
      <c r="N3" s="860"/>
      <c r="O3" s="860"/>
    </row>
    <row r="4" spans="1:15" ht="150" customHeight="1">
      <c r="A4" s="40"/>
      <c r="B4" s="556" t="s">
        <v>43</v>
      </c>
      <c r="C4" s="852" t="s">
        <v>362</v>
      </c>
      <c r="D4" s="852"/>
      <c r="E4" s="852"/>
      <c r="F4" s="852"/>
      <c r="G4" s="852"/>
      <c r="I4" s="40"/>
      <c r="J4" s="41" t="s">
        <v>43</v>
      </c>
      <c r="K4" s="869" t="s">
        <v>362</v>
      </c>
      <c r="L4" s="869"/>
      <c r="M4" s="869"/>
      <c r="N4" s="869"/>
      <c r="O4" s="869"/>
    </row>
    <row r="5" spans="1:15" ht="15" customHeight="1" thickBot="1"/>
    <row r="6" spans="1:15" s="11" customFormat="1" ht="30" customHeight="1" thickTop="1" thickBot="1">
      <c r="A6" s="10"/>
      <c r="B6" s="835" t="str">
        <f>'Obrazac kalkulacije'!$B$6:$C$6</f>
        <v>Opis</v>
      </c>
      <c r="C6" s="835"/>
      <c r="D6" s="10" t="str">
        <f>'Obrazac kalkulacije'!$D$6</f>
        <v>Jed.
mjere</v>
      </c>
      <c r="E6" s="10" t="str">
        <f>'Obrazac kalkulacije'!$E$6</f>
        <v>Normativ</v>
      </c>
      <c r="F6" s="10" t="str">
        <f>'Obrazac kalkulacije'!$F$6</f>
        <v>Jed.
cijena</v>
      </c>
      <c r="G6" s="10" t="str">
        <f>'Obrazac kalkulacije'!$G$6</f>
        <v>Iznos</v>
      </c>
      <c r="I6" s="10"/>
      <c r="J6" s="835" t="e">
        <f>'Obrazac kalkulacije'!$B$6:$C$6</f>
        <v>#VALUE!</v>
      </c>
      <c r="K6" s="835"/>
      <c r="L6" s="10" t="str">
        <f>'Obrazac kalkulacije'!$D$6</f>
        <v>Jed.
mjere</v>
      </c>
      <c r="M6" s="10" t="str">
        <f>'Obrazac kalkulacije'!$E$6</f>
        <v>Normativ</v>
      </c>
      <c r="N6" s="10" t="str">
        <f>'Obrazac kalkulacije'!$F$6</f>
        <v>Jed.
cijena</v>
      </c>
      <c r="O6" s="10" t="str">
        <f>'Obrazac kalkulacije'!$G$6</f>
        <v>Iznos</v>
      </c>
    </row>
    <row r="7" spans="1:15" s="12" customFormat="1" ht="4.5" customHeight="1" thickTop="1">
      <c r="A7" s="1"/>
      <c r="B7" s="42"/>
      <c r="C7" s="1"/>
      <c r="D7" s="11"/>
      <c r="E7" s="13"/>
      <c r="F7" s="258"/>
      <c r="G7" s="15"/>
      <c r="I7" s="1"/>
      <c r="J7" s="42"/>
      <c r="K7" s="1"/>
      <c r="L7" s="11"/>
      <c r="M7" s="13"/>
      <c r="N7" s="258"/>
      <c r="O7" s="15"/>
    </row>
    <row r="8" spans="1:15" s="12" customFormat="1" ht="25.15" customHeight="1">
      <c r="A8" s="16"/>
      <c r="B8" s="837" t="str">
        <f>'Obrazac kalkulacije'!$B$8</f>
        <v>Radna snaga:</v>
      </c>
      <c r="C8" s="837"/>
      <c r="D8" s="16"/>
      <c r="E8" s="16"/>
      <c r="F8" s="44"/>
      <c r="G8" s="18">
        <f>SUM(G9:G9)</f>
        <v>4.72</v>
      </c>
      <c r="I8" s="16"/>
      <c r="J8" s="837" t="str">
        <f>'Obrazac kalkulacije'!$B$8</f>
        <v>Radna snaga:</v>
      </c>
      <c r="K8" s="837"/>
      <c r="L8" s="16"/>
      <c r="M8" s="16"/>
      <c r="N8" s="44"/>
      <c r="O8" s="18">
        <f>SUM(O9:O9)</f>
        <v>6.0204246299999999</v>
      </c>
    </row>
    <row r="9" spans="1:15" s="12" customFormat="1" ht="25.15" customHeight="1">
      <c r="A9" s="19"/>
      <c r="B9" s="854" t="s">
        <v>363</v>
      </c>
      <c r="C9" s="854"/>
      <c r="D9" s="33" t="s">
        <v>51</v>
      </c>
      <c r="E9" s="34">
        <f>8/H9</f>
        <v>5.5172413793103448E-2</v>
      </c>
      <c r="F9" s="238">
        <f>SUMIF('Cjenik RS'!$C$11:$C$26,B9,'Cjenik RS'!$D$11:$D$90)</f>
        <v>85.55</v>
      </c>
      <c r="G9" s="35">
        <f>+F9*E9</f>
        <v>4.72</v>
      </c>
      <c r="H9" s="20">
        <v>145</v>
      </c>
      <c r="I9" s="19"/>
      <c r="J9" s="854" t="s">
        <v>57</v>
      </c>
      <c r="K9" s="854"/>
      <c r="L9" s="33" t="s">
        <v>51</v>
      </c>
      <c r="M9" s="34">
        <v>5.7320999999999997E-2</v>
      </c>
      <c r="N9" s="44">
        <f>SUMIF('Cjenik RS'!$C$11:$C$26,J9,'Cjenik RS'!$D$11:$D$90)</f>
        <v>105.03</v>
      </c>
      <c r="O9" s="35">
        <f>+N9*M9</f>
        <v>6.0204246299999999</v>
      </c>
    </row>
    <row r="10" spans="1:15" ht="25.15" customHeight="1">
      <c r="B10" s="47"/>
      <c r="C10" s="24"/>
      <c r="D10" s="25"/>
      <c r="E10" s="850" t="str">
        <f>'Obrazac kalkulacije'!$E$18</f>
        <v>Ukupno (kn):</v>
      </c>
      <c r="F10" s="850"/>
      <c r="G10" s="26">
        <f>ROUND(SUM(G8),2)</f>
        <v>4.72</v>
      </c>
      <c r="H10" s="269" t="e">
        <f>SUMIF(#REF!,$B4,#REF!)</f>
        <v>#REF!</v>
      </c>
      <c r="J10" s="47"/>
      <c r="K10" s="24"/>
      <c r="L10" s="25"/>
      <c r="M10" s="850" t="str">
        <f>'Obrazac kalkulacije'!$E$18</f>
        <v>Ukupno (kn):</v>
      </c>
      <c r="N10" s="850"/>
      <c r="O10" s="26">
        <f>ROUND(SUM(O8),2)</f>
        <v>6.02</v>
      </c>
    </row>
    <row r="11" spans="1:15" ht="25.15" customHeight="1" thickTop="1" thickBot="1">
      <c r="E11" s="27" t="str">
        <f>'Obrazac kalkulacije'!$E$19</f>
        <v>PDV:</v>
      </c>
      <c r="F11" s="259">
        <f>'Obrazac kalkulacije'!$F$19</f>
        <v>0.25</v>
      </c>
      <c r="G11" s="29">
        <f>G10*F11</f>
        <v>1.18</v>
      </c>
      <c r="H11" s="270" t="e">
        <f>H10-G10</f>
        <v>#REF!</v>
      </c>
      <c r="M11" s="27" t="str">
        <f>'Obrazac kalkulacije'!$E$19</f>
        <v>PDV:</v>
      </c>
      <c r="N11" s="259">
        <f>'Obrazac kalkulacije'!$F$19</f>
        <v>0.25</v>
      </c>
      <c r="O11" s="29">
        <f>O10*N11</f>
        <v>1.5049999999999999</v>
      </c>
    </row>
    <row r="12" spans="1:15" ht="25.15" customHeight="1" thickTop="1" thickBot="1">
      <c r="E12" s="840" t="str">
        <f>'Obrazac kalkulacije'!$E$20</f>
        <v>Sveukupno (kn):</v>
      </c>
      <c r="F12" s="840"/>
      <c r="G12" s="29">
        <f>ROUND(SUM(G10:G11),2)</f>
        <v>5.9</v>
      </c>
      <c r="H12" s="271" t="e">
        <f>G7+H11</f>
        <v>#REF!</v>
      </c>
      <c r="M12" s="840" t="str">
        <f>'Obrazac kalkulacije'!$E$20</f>
        <v>Sveukupno (kn):</v>
      </c>
      <c r="N12" s="840"/>
      <c r="O12" s="29">
        <f>ROUND(SUM(O10:O11),2)</f>
        <v>7.53</v>
      </c>
    </row>
    <row r="13" spans="1:15" ht="15" customHeight="1" thickTop="1"/>
    <row r="14" spans="1:15" ht="15" customHeight="1"/>
    <row r="15" spans="1:15" ht="15" customHeight="1"/>
    <row r="16" spans="1:15" ht="15" customHeight="1">
      <c r="C16" s="3" t="str">
        <f>'Obrazac kalkulacije'!$C$24</f>
        <v>IZVODITELJ:</v>
      </c>
      <c r="F16" s="841" t="str">
        <f>'Obrazac kalkulacije'!$F$24</f>
        <v>NARUČITELJ:</v>
      </c>
      <c r="G16" s="841"/>
      <c r="K16" s="3" t="str">
        <f>'Obrazac kalkulacije'!$C$24</f>
        <v>IZVODITELJ:</v>
      </c>
      <c r="N16" s="841" t="str">
        <f>'Obrazac kalkulacije'!$F$24</f>
        <v>NARUČITELJ:</v>
      </c>
      <c r="O16" s="841"/>
    </row>
    <row r="17" spans="1:15" ht="25.15" customHeight="1">
      <c r="C17" s="3" t="str">
        <f>'Obrazac kalkulacije'!$C$25</f>
        <v>__________________</v>
      </c>
      <c r="F17" s="841" t="str">
        <f>'Obrazac kalkulacije'!$F$25</f>
        <v>___________________</v>
      </c>
      <c r="G17" s="841"/>
      <c r="K17" s="3" t="str">
        <f>'Obrazac kalkulacije'!$C$25</f>
        <v>__________________</v>
      </c>
      <c r="N17" s="841" t="str">
        <f>'Obrazac kalkulacije'!$F$25</f>
        <v>___________________</v>
      </c>
      <c r="O17" s="841"/>
    </row>
    <row r="18" spans="1:15">
      <c r="F18" s="841"/>
      <c r="G18" s="841"/>
      <c r="N18" s="841"/>
      <c r="O18" s="841"/>
    </row>
    <row r="19" spans="1:15" ht="15" customHeight="1"/>
    <row r="20" spans="1:15" ht="15" customHeight="1">
      <c r="A20" s="144"/>
      <c r="B20" s="145" t="s">
        <v>39</v>
      </c>
      <c r="C20" s="836" t="s">
        <v>360</v>
      </c>
      <c r="D20" s="836"/>
      <c r="E20" s="836"/>
      <c r="F20" s="836"/>
      <c r="G20" s="836"/>
      <c r="I20" s="144"/>
      <c r="J20" s="145" t="s">
        <v>39</v>
      </c>
      <c r="K20" s="836" t="s">
        <v>360</v>
      </c>
      <c r="L20" s="836"/>
      <c r="M20" s="836"/>
      <c r="N20" s="836"/>
      <c r="O20" s="836"/>
    </row>
    <row r="21" spans="1:15" ht="15" customHeight="1">
      <c r="A21" s="38"/>
      <c r="B21" s="39" t="s">
        <v>41</v>
      </c>
      <c r="C21" s="860" t="s">
        <v>361</v>
      </c>
      <c r="D21" s="860"/>
      <c r="E21" s="860"/>
      <c r="F21" s="860"/>
      <c r="G21" s="860"/>
      <c r="I21" s="38"/>
      <c r="J21" s="39" t="s">
        <v>41</v>
      </c>
      <c r="K21" s="860" t="s">
        <v>361</v>
      </c>
      <c r="L21" s="860"/>
      <c r="M21" s="860"/>
      <c r="N21" s="860"/>
      <c r="O21" s="860"/>
    </row>
    <row r="22" spans="1:15" ht="150" customHeight="1">
      <c r="A22" s="40"/>
      <c r="B22" s="556" t="s">
        <v>364</v>
      </c>
      <c r="C22" s="852" t="s">
        <v>365</v>
      </c>
      <c r="D22" s="852"/>
      <c r="E22" s="852"/>
      <c r="F22" s="852"/>
      <c r="G22" s="852"/>
      <c r="I22" s="40"/>
      <c r="J22" s="41" t="s">
        <v>364</v>
      </c>
      <c r="K22" s="869" t="s">
        <v>365</v>
      </c>
      <c r="L22" s="869"/>
      <c r="M22" s="869"/>
      <c r="N22" s="869"/>
      <c r="O22" s="869"/>
    </row>
    <row r="23" spans="1:15" ht="15" customHeight="1" thickBot="1"/>
    <row r="24" spans="1:15" ht="30" customHeight="1" thickTop="1" thickBot="1">
      <c r="A24" s="10"/>
      <c r="B24" s="835" t="str">
        <f>'Obrazac kalkulacije'!$B$6:$C$6</f>
        <v>Opis</v>
      </c>
      <c r="C24" s="835"/>
      <c r="D24" s="10" t="str">
        <f>'Obrazac kalkulacije'!$D$6</f>
        <v>Jed.
mjere</v>
      </c>
      <c r="E24" s="10" t="str">
        <f>'Obrazac kalkulacije'!$E$6</f>
        <v>Normativ</v>
      </c>
      <c r="F24" s="10" t="str">
        <f>'Obrazac kalkulacije'!$F$6</f>
        <v>Jed.
cijena</v>
      </c>
      <c r="G24" s="10" t="str">
        <f>'Obrazac kalkulacije'!$G$6</f>
        <v>Iznos</v>
      </c>
      <c r="I24" s="10"/>
      <c r="J24" s="835" t="e">
        <f>'Obrazac kalkulacije'!$B$6:$C$6</f>
        <v>#VALUE!</v>
      </c>
      <c r="K24" s="835"/>
      <c r="L24" s="10" t="str">
        <f>'Obrazac kalkulacije'!$D$6</f>
        <v>Jed.
mjere</v>
      </c>
      <c r="M24" s="10" t="str">
        <f>'Obrazac kalkulacije'!$E$6</f>
        <v>Normativ</v>
      </c>
      <c r="N24" s="10" t="str">
        <f>'Obrazac kalkulacije'!$F$6</f>
        <v>Jed.
cijena</v>
      </c>
      <c r="O24" s="10" t="str">
        <f>'Obrazac kalkulacije'!$G$6</f>
        <v>Iznos</v>
      </c>
    </row>
    <row r="25" spans="1:15" ht="4.5" customHeight="1" thickTop="1">
      <c r="B25" s="42"/>
      <c r="C25" s="1"/>
      <c r="D25" s="11"/>
      <c r="E25" s="13"/>
      <c r="F25" s="258"/>
      <c r="G25" s="15"/>
      <c r="J25" s="42"/>
      <c r="K25" s="1"/>
      <c r="L25" s="11"/>
      <c r="M25" s="13"/>
      <c r="N25" s="258"/>
      <c r="O25" s="15"/>
    </row>
    <row r="26" spans="1:15" ht="25.15" customHeight="1">
      <c r="A26" s="16"/>
      <c r="B26" s="837" t="str">
        <f>'Obrazac kalkulacije'!$B$8</f>
        <v>Radna snaga:</v>
      </c>
      <c r="C26" s="837"/>
      <c r="D26" s="16"/>
      <c r="E26" s="16"/>
      <c r="F26" s="44"/>
      <c r="G26" s="18">
        <f>SUM(G27:G27)</f>
        <v>1.8380250000000002</v>
      </c>
      <c r="I26" s="16"/>
      <c r="J26" s="837" t="str">
        <f>'Obrazac kalkulacije'!$B$8</f>
        <v>Radna snaga:</v>
      </c>
      <c r="K26" s="837"/>
      <c r="L26" s="16"/>
      <c r="M26" s="16"/>
      <c r="N26" s="44"/>
      <c r="O26" s="18">
        <f>SUM(O27:O27)</f>
        <v>1.9500920100000001</v>
      </c>
    </row>
    <row r="27" spans="1:15" ht="25.15" customHeight="1">
      <c r="A27" s="19"/>
      <c r="B27" s="854" t="s">
        <v>57</v>
      </c>
      <c r="C27" s="854"/>
      <c r="D27" s="33" t="s">
        <v>51</v>
      </c>
      <c r="E27" s="34">
        <v>1.7500000000000002E-2</v>
      </c>
      <c r="F27" s="238">
        <f>SUMIF('Cjenik RS'!$C$11:$C$26,$B27,'Cjenik RS'!$D$11:$D$90)</f>
        <v>105.03</v>
      </c>
      <c r="G27" s="35">
        <f>+F27*E27</f>
        <v>1.8380250000000002</v>
      </c>
      <c r="I27" s="19"/>
      <c r="J27" s="854" t="s">
        <v>57</v>
      </c>
      <c r="K27" s="854"/>
      <c r="L27" s="33" t="s">
        <v>51</v>
      </c>
      <c r="M27" s="34">
        <v>1.8567E-2</v>
      </c>
      <c r="N27" s="44">
        <f>SUMIF('Cjenik RS'!$C$11:$C$26,J27,'Cjenik RS'!$D$11:$D$90)</f>
        <v>105.03</v>
      </c>
      <c r="O27" s="35">
        <f>+N27*M27</f>
        <v>1.9500920100000001</v>
      </c>
    </row>
    <row r="28" spans="1:15" ht="25.15" customHeight="1" thickTop="1" thickBot="1">
      <c r="B28" s="47"/>
      <c r="C28" s="24"/>
      <c r="D28" s="25"/>
      <c r="E28" s="850" t="str">
        <f>'Obrazac kalkulacije'!$E$18</f>
        <v>Ukupno (kn):</v>
      </c>
      <c r="F28" s="850"/>
      <c r="G28" s="26">
        <f>ROUND(SUM(G26),2)</f>
        <v>1.84</v>
      </c>
      <c r="H28" s="269" t="e">
        <f>SUMIF(#REF!,$B22,#REF!)</f>
        <v>#REF!</v>
      </c>
      <c r="J28" s="47"/>
      <c r="K28" s="24"/>
      <c r="L28" s="25"/>
      <c r="M28" s="850" t="str">
        <f>'Obrazac kalkulacije'!$E$18</f>
        <v>Ukupno (kn):</v>
      </c>
      <c r="N28" s="850"/>
      <c r="O28" s="26">
        <f>ROUND(SUM(O26),2)</f>
        <v>1.95</v>
      </c>
    </row>
    <row r="29" spans="1:15" ht="25.15" customHeight="1" thickTop="1" thickBot="1">
      <c r="E29" s="27" t="str">
        <f>'Obrazac kalkulacije'!$E$19</f>
        <v>PDV:</v>
      </c>
      <c r="F29" s="259">
        <f>'Obrazac kalkulacije'!$F$19</f>
        <v>0.25</v>
      </c>
      <c r="G29" s="29">
        <f>G28*F29</f>
        <v>0.46</v>
      </c>
      <c r="H29" s="270" t="e">
        <f>H28-G28</f>
        <v>#REF!</v>
      </c>
      <c r="M29" s="27" t="str">
        <f>'Obrazac kalkulacije'!$E$19</f>
        <v>PDV:</v>
      </c>
      <c r="N29" s="259">
        <f>'Obrazac kalkulacije'!$F$19</f>
        <v>0.25</v>
      </c>
      <c r="O29" s="29">
        <f>O28*N29</f>
        <v>0.48749999999999999</v>
      </c>
    </row>
    <row r="30" spans="1:15" ht="25.15" customHeight="1" thickTop="1" thickBot="1">
      <c r="E30" s="840" t="str">
        <f>'Obrazac kalkulacije'!$E$20</f>
        <v>Sveukupno (kn):</v>
      </c>
      <c r="F30" s="840"/>
      <c r="G30" s="29">
        <f>ROUND(SUM(G28:G29),2)</f>
        <v>2.2999999999999998</v>
      </c>
      <c r="H30" s="271" t="e">
        <f>G25+H29</f>
        <v>#REF!</v>
      </c>
      <c r="M30" s="840" t="str">
        <f>'Obrazac kalkulacije'!$E$20</f>
        <v>Sveukupno (kn):</v>
      </c>
      <c r="N30" s="840"/>
      <c r="O30" s="29">
        <f>ROUND(SUM(O28:O29),2)</f>
        <v>2.44</v>
      </c>
    </row>
    <row r="31" spans="1:15" ht="15" customHeight="1" thickTop="1"/>
    <row r="32" spans="1:15" ht="15" customHeight="1"/>
    <row r="33" spans="1:15" ht="15" customHeight="1"/>
    <row r="34" spans="1:15" ht="15" customHeight="1">
      <c r="C34" s="3" t="str">
        <f>'Obrazac kalkulacije'!$C$24</f>
        <v>IZVODITELJ:</v>
      </c>
      <c r="F34" s="841" t="str">
        <f>'Obrazac kalkulacije'!$F$24</f>
        <v>NARUČITELJ:</v>
      </c>
      <c r="G34" s="841"/>
      <c r="K34" s="3" t="str">
        <f>'Obrazac kalkulacije'!$C$24</f>
        <v>IZVODITELJ:</v>
      </c>
      <c r="N34" s="841" t="str">
        <f>'Obrazac kalkulacije'!$F$24</f>
        <v>NARUČITELJ:</v>
      </c>
      <c r="O34" s="841"/>
    </row>
    <row r="35" spans="1:15" ht="25.15" customHeight="1">
      <c r="C35" s="3" t="str">
        <f>'Obrazac kalkulacije'!$C$25</f>
        <v>__________________</v>
      </c>
      <c r="F35" s="841" t="str">
        <f>'Obrazac kalkulacije'!$F$25</f>
        <v>___________________</v>
      </c>
      <c r="G35" s="841"/>
      <c r="K35" s="3" t="str">
        <f>'Obrazac kalkulacije'!$C$25</f>
        <v>__________________</v>
      </c>
      <c r="N35" s="841" t="str">
        <f>'Obrazac kalkulacije'!$F$25</f>
        <v>___________________</v>
      </c>
      <c r="O35" s="841"/>
    </row>
    <row r="36" spans="1:15" ht="15" customHeight="1">
      <c r="F36" s="841"/>
      <c r="G36" s="841"/>
      <c r="N36" s="841"/>
      <c r="O36" s="841"/>
    </row>
    <row r="37" spans="1:15" ht="15" customHeight="1"/>
    <row r="38" spans="1:15" ht="15" customHeight="1">
      <c r="A38" s="144"/>
      <c r="B38" s="145" t="s">
        <v>39</v>
      </c>
      <c r="C38" s="836" t="s">
        <v>360</v>
      </c>
      <c r="D38" s="836"/>
      <c r="E38" s="836"/>
      <c r="F38" s="836"/>
      <c r="G38" s="836"/>
      <c r="I38" s="144"/>
      <c r="J38" s="145" t="s">
        <v>39</v>
      </c>
      <c r="K38" s="836" t="s">
        <v>360</v>
      </c>
      <c r="L38" s="836"/>
      <c r="M38" s="836"/>
      <c r="N38" s="836"/>
      <c r="O38" s="836"/>
    </row>
    <row r="39" spans="1:15" ht="15" customHeight="1">
      <c r="A39" s="38"/>
      <c r="B39" s="39" t="s">
        <v>41</v>
      </c>
      <c r="C39" s="860" t="s">
        <v>361</v>
      </c>
      <c r="D39" s="860"/>
      <c r="E39" s="860"/>
      <c r="F39" s="860"/>
      <c r="G39" s="860"/>
      <c r="I39" s="38"/>
      <c r="J39" s="39" t="s">
        <v>41</v>
      </c>
      <c r="K39" s="860" t="s">
        <v>361</v>
      </c>
      <c r="L39" s="860"/>
      <c r="M39" s="860"/>
      <c r="N39" s="860"/>
      <c r="O39" s="860"/>
    </row>
    <row r="40" spans="1:15" ht="150" customHeight="1">
      <c r="A40" s="40"/>
      <c r="B40" s="556" t="s">
        <v>366</v>
      </c>
      <c r="C40" s="852" t="s">
        <v>367</v>
      </c>
      <c r="D40" s="852"/>
      <c r="E40" s="852"/>
      <c r="F40" s="852"/>
      <c r="G40" s="852"/>
      <c r="I40" s="40"/>
      <c r="J40" s="41" t="s">
        <v>366</v>
      </c>
      <c r="K40" s="869" t="s">
        <v>367</v>
      </c>
      <c r="L40" s="869"/>
      <c r="M40" s="869"/>
      <c r="N40" s="869"/>
      <c r="O40" s="869"/>
    </row>
    <row r="41" spans="1:15" ht="15" customHeight="1" thickBot="1"/>
    <row r="42" spans="1:15" ht="30" customHeight="1" thickTop="1" thickBot="1">
      <c r="A42" s="10"/>
      <c r="B42" s="835" t="str">
        <f>'Obrazac kalkulacije'!$B$6:$C$6</f>
        <v>Opis</v>
      </c>
      <c r="C42" s="835"/>
      <c r="D42" s="10" t="str">
        <f>'Obrazac kalkulacije'!$D$6</f>
        <v>Jed.
mjere</v>
      </c>
      <c r="E42" s="10" t="str">
        <f>'Obrazac kalkulacije'!$E$6</f>
        <v>Normativ</v>
      </c>
      <c r="F42" s="10" t="str">
        <f>'Obrazac kalkulacije'!$F$6</f>
        <v>Jed.
cijena</v>
      </c>
      <c r="G42" s="10" t="str">
        <f>'Obrazac kalkulacije'!$G$6</f>
        <v>Iznos</v>
      </c>
      <c r="I42" s="10"/>
      <c r="J42" s="835" t="e">
        <f>'Obrazac kalkulacije'!$B$6:$C$6</f>
        <v>#VALUE!</v>
      </c>
      <c r="K42" s="835"/>
      <c r="L42" s="10" t="str">
        <f>'Obrazac kalkulacije'!$D$6</f>
        <v>Jed.
mjere</v>
      </c>
      <c r="M42" s="10" t="str">
        <f>'Obrazac kalkulacije'!$E$6</f>
        <v>Normativ</v>
      </c>
      <c r="N42" s="10" t="str">
        <f>'Obrazac kalkulacije'!$F$6</f>
        <v>Jed.
cijena</v>
      </c>
      <c r="O42" s="10" t="str">
        <f>'Obrazac kalkulacije'!$G$6</f>
        <v>Iznos</v>
      </c>
    </row>
    <row r="43" spans="1:15" ht="4.5" customHeight="1" thickTop="1">
      <c r="B43" s="42"/>
      <c r="C43" s="1"/>
      <c r="D43" s="11"/>
      <c r="E43" s="13"/>
      <c r="F43" s="258"/>
      <c r="G43" s="15"/>
      <c r="J43" s="42"/>
      <c r="K43" s="1"/>
      <c r="L43" s="11"/>
      <c r="M43" s="13"/>
      <c r="N43" s="258"/>
      <c r="O43" s="15"/>
    </row>
    <row r="44" spans="1:15" ht="25.15" customHeight="1">
      <c r="A44" s="16"/>
      <c r="B44" s="837" t="str">
        <f>'Obrazac kalkulacije'!$B$8</f>
        <v>Radna snaga:</v>
      </c>
      <c r="C44" s="837"/>
      <c r="D44" s="16"/>
      <c r="E44" s="16"/>
      <c r="F44" s="44"/>
      <c r="G44" s="18">
        <f>SUM(G45:G45)</f>
        <v>4.7223599999999998E-2</v>
      </c>
      <c r="I44" s="16"/>
      <c r="J44" s="837" t="str">
        <f>'Obrazac kalkulacije'!$B$8</f>
        <v>Radna snaga:</v>
      </c>
      <c r="K44" s="837"/>
      <c r="L44" s="16"/>
      <c r="M44" s="16"/>
      <c r="N44" s="44"/>
      <c r="O44" s="18">
        <f>SUM(O45:O45)</f>
        <v>5.7976559999999996E-2</v>
      </c>
    </row>
    <row r="45" spans="1:15" ht="25.15" customHeight="1">
      <c r="A45" s="32"/>
      <c r="B45" s="854" t="s">
        <v>363</v>
      </c>
      <c r="C45" s="854"/>
      <c r="D45" s="33" t="s">
        <v>51</v>
      </c>
      <c r="E45" s="34">
        <v>5.5199999999999997E-4</v>
      </c>
      <c r="F45" s="238">
        <f>SUMIF('Cjenik RS'!$C$11:$C$26,$B45,'Cjenik RS'!$D$11:$D$90)</f>
        <v>85.55</v>
      </c>
      <c r="G45" s="35">
        <f>+F45*E45</f>
        <v>4.7223599999999998E-2</v>
      </c>
      <c r="I45" s="32"/>
      <c r="J45" s="854" t="s">
        <v>57</v>
      </c>
      <c r="K45" s="854"/>
      <c r="L45" s="33" t="s">
        <v>51</v>
      </c>
      <c r="M45" s="34">
        <v>5.5199999999999997E-4</v>
      </c>
      <c r="N45" s="44">
        <f>SUMIF('Cjenik RS'!$C$11:$C$26,J45,'Cjenik RS'!$D$11:$D$90)</f>
        <v>105.03</v>
      </c>
      <c r="O45" s="35">
        <f>+N45*M45</f>
        <v>5.7976559999999996E-2</v>
      </c>
    </row>
    <row r="46" spans="1:15" ht="25.15" customHeight="1">
      <c r="A46" s="88"/>
      <c r="B46" s="837" t="str">
        <f>'Obrazac kalkulacije'!$B$11</f>
        <v>Vozila, strojevi i oprema:</v>
      </c>
      <c r="C46" s="837"/>
      <c r="D46" s="16"/>
      <c r="E46" s="16"/>
      <c r="F46" s="238"/>
      <c r="G46" s="18">
        <f>SUM(G47:G48)</f>
        <v>0.21605279999999999</v>
      </c>
      <c r="I46" s="88"/>
      <c r="J46" s="837" t="str">
        <f>'Obrazac kalkulacije'!$B$11</f>
        <v>Vozila, strojevi i oprema:</v>
      </c>
      <c r="K46" s="837"/>
      <c r="L46" s="16"/>
      <c r="M46" s="16"/>
      <c r="N46" s="238"/>
      <c r="O46" s="18">
        <f>SUM(O47:O48)</f>
        <v>0.21605279999999999</v>
      </c>
    </row>
    <row r="47" spans="1:15" ht="25.15" customHeight="1">
      <c r="A47" s="51"/>
      <c r="B47" s="863" t="s">
        <v>60</v>
      </c>
      <c r="C47" s="863"/>
      <c r="D47" s="52" t="s">
        <v>51</v>
      </c>
      <c r="E47" s="53">
        <v>5.5199999999999997E-4</v>
      </c>
      <c r="F47" s="260">
        <f>SUMIF('Cjenik VSO'!$B$9:$B$85,$B47,'Cjenik VSO'!$C$9:$C$85)</f>
        <v>328.73</v>
      </c>
      <c r="G47" s="55">
        <f>E47*F47</f>
        <v>0.18145896</v>
      </c>
      <c r="I47" s="51"/>
      <c r="J47" s="863" t="s">
        <v>60</v>
      </c>
      <c r="K47" s="863"/>
      <c r="L47" s="52" t="s">
        <v>51</v>
      </c>
      <c r="M47" s="53">
        <v>5.5199999999999997E-4</v>
      </c>
      <c r="N47" s="260">
        <f>SUMIF('Cjenik VSO'!$B$9:$B$85,$B47,'Cjenik VSO'!$C$9:$C$85)</f>
        <v>328.73</v>
      </c>
      <c r="O47" s="55">
        <f>M47*N47</f>
        <v>0.18145896</v>
      </c>
    </row>
    <row r="48" spans="1:15" ht="25.15" customHeight="1">
      <c r="A48" s="61"/>
      <c r="B48" s="864" t="s">
        <v>61</v>
      </c>
      <c r="C48" s="864"/>
      <c r="D48" s="62" t="s">
        <v>51</v>
      </c>
      <c r="E48" s="63">
        <v>5.5199999999999997E-4</v>
      </c>
      <c r="F48" s="261">
        <f>SUMIF('Cjenik VSO'!$B$9:$B$85,$B48,'Cjenik VSO'!$C$9:$C$85)</f>
        <v>62.67</v>
      </c>
      <c r="G48" s="65">
        <f>E48*F48</f>
        <v>3.4593840000000001E-2</v>
      </c>
      <c r="I48" s="61"/>
      <c r="J48" s="864" t="s">
        <v>61</v>
      </c>
      <c r="K48" s="864"/>
      <c r="L48" s="62" t="s">
        <v>51</v>
      </c>
      <c r="M48" s="63">
        <v>5.5199999999999997E-4</v>
      </c>
      <c r="N48" s="261">
        <f>SUMIF('Cjenik VSO'!$B$9:$B$85,$B48,'Cjenik VSO'!$C$9:$C$85)</f>
        <v>62.67</v>
      </c>
      <c r="O48" s="65">
        <f>M48*N48</f>
        <v>3.4593840000000001E-2</v>
      </c>
    </row>
    <row r="49" spans="1:15" ht="25.15" customHeight="1">
      <c r="A49" s="16"/>
      <c r="B49" s="837" t="str">
        <f>'Obrazac kalkulacije'!$B$15</f>
        <v>Materijali:</v>
      </c>
      <c r="C49" s="837"/>
      <c r="D49" s="16"/>
      <c r="E49" s="16"/>
      <c r="F49" s="238"/>
      <c r="G49" s="18">
        <f>SUM(G50:G50)</f>
        <v>0</v>
      </c>
      <c r="I49" s="16"/>
      <c r="J49" s="837" t="str">
        <f>'Obrazac kalkulacije'!$B$15</f>
        <v>Materijali:</v>
      </c>
      <c r="K49" s="837"/>
      <c r="L49" s="16"/>
      <c r="M49" s="16"/>
      <c r="N49" s="238"/>
      <c r="O49" s="18">
        <f>SUM(O50:O50)</f>
        <v>0</v>
      </c>
    </row>
    <row r="50" spans="1:15" ht="25.15" customHeight="1" thickBot="1">
      <c r="A50" s="43"/>
      <c r="B50" s="863">
        <f>'Cjenik M'!$B$95</f>
        <v>0</v>
      </c>
      <c r="C50" s="863"/>
      <c r="D50" s="52">
        <f>'Cjenik M'!$C$95</f>
        <v>0</v>
      </c>
      <c r="E50" s="53">
        <v>2E-3</v>
      </c>
      <c r="F50" s="260">
        <f>'Cjenik M'!$D$95</f>
        <v>0</v>
      </c>
      <c r="G50" s="55">
        <f>E50*F50</f>
        <v>0</v>
      </c>
      <c r="I50" s="43"/>
      <c r="J50" s="863">
        <f>'Cjenik M'!$B$95</f>
        <v>0</v>
      </c>
      <c r="K50" s="863"/>
      <c r="L50" s="52">
        <f>'Cjenik M'!$C$95</f>
        <v>0</v>
      </c>
      <c r="M50" s="53">
        <v>2E-3</v>
      </c>
      <c r="N50" s="260">
        <f>'Cjenik M'!$D$95</f>
        <v>0</v>
      </c>
      <c r="O50" s="55">
        <f>M50*N50</f>
        <v>0</v>
      </c>
    </row>
    <row r="51" spans="1:15" ht="25.15" customHeight="1" thickTop="1" thickBot="1">
      <c r="B51" s="47"/>
      <c r="C51" s="24"/>
      <c r="D51" s="25"/>
      <c r="E51" s="850" t="str">
        <f>'Obrazac kalkulacije'!$E$18</f>
        <v>Ukupno (kn):</v>
      </c>
      <c r="F51" s="850"/>
      <c r="G51" s="26">
        <f>ROUND(SUM(G44+G46+G49),2)</f>
        <v>0.26</v>
      </c>
      <c r="H51" s="269" t="e">
        <f>SUMIF(#REF!,$B40,#REF!)</f>
        <v>#REF!</v>
      </c>
      <c r="J51" s="47"/>
      <c r="K51" s="24"/>
      <c r="L51" s="25"/>
      <c r="M51" s="850" t="str">
        <f>'Obrazac kalkulacije'!$E$18</f>
        <v>Ukupno (kn):</v>
      </c>
      <c r="N51" s="850"/>
      <c r="O51" s="26">
        <f>ROUND(SUM(O44+O46+O49),2)</f>
        <v>0.27</v>
      </c>
    </row>
    <row r="52" spans="1:15" ht="25.15" customHeight="1" thickTop="1" thickBot="1">
      <c r="E52" s="27" t="str">
        <f>'Obrazac kalkulacije'!$E$19</f>
        <v>PDV:</v>
      </c>
      <c r="F52" s="259">
        <f>'Obrazac kalkulacije'!$F$19</f>
        <v>0.25</v>
      </c>
      <c r="G52" s="29">
        <f>G51*F52</f>
        <v>6.5000000000000002E-2</v>
      </c>
      <c r="H52" s="270" t="e">
        <f>H51-G51</f>
        <v>#REF!</v>
      </c>
      <c r="M52" s="27" t="str">
        <f>'Obrazac kalkulacije'!$E$19</f>
        <v>PDV:</v>
      </c>
      <c r="N52" s="259">
        <f>'Obrazac kalkulacije'!$F$19</f>
        <v>0.25</v>
      </c>
      <c r="O52" s="29">
        <f>O51*N52</f>
        <v>6.7500000000000004E-2</v>
      </c>
    </row>
    <row r="53" spans="1:15" ht="25.15" customHeight="1" thickTop="1" thickBot="1">
      <c r="E53" s="840" t="str">
        <f>'Obrazac kalkulacije'!$E$20</f>
        <v>Sveukupno (kn):</v>
      </c>
      <c r="F53" s="840"/>
      <c r="G53" s="29">
        <f>ROUND(SUM(G51:G52),2)</f>
        <v>0.33</v>
      </c>
      <c r="H53" s="271" t="e">
        <f>G47+H52</f>
        <v>#REF!</v>
      </c>
      <c r="M53" s="840" t="str">
        <f>'Obrazac kalkulacije'!$E$20</f>
        <v>Sveukupno (kn):</v>
      </c>
      <c r="N53" s="840"/>
      <c r="O53" s="29">
        <f>ROUND(SUM(O51:O52),2)</f>
        <v>0.34</v>
      </c>
    </row>
    <row r="54" spans="1:15" ht="15" customHeight="1" thickTop="1"/>
    <row r="55" spans="1:15" ht="15" customHeight="1"/>
    <row r="56" spans="1:15" ht="15" customHeight="1"/>
    <row r="57" spans="1:15" ht="15" customHeight="1">
      <c r="C57" s="3" t="str">
        <f>'Obrazac kalkulacije'!$C$24</f>
        <v>IZVODITELJ:</v>
      </c>
      <c r="F57" s="841" t="str">
        <f>'Obrazac kalkulacije'!$F$24</f>
        <v>NARUČITELJ:</v>
      </c>
      <c r="G57" s="841"/>
      <c r="K57" s="3" t="str">
        <f>'Obrazac kalkulacije'!$C$24</f>
        <v>IZVODITELJ:</v>
      </c>
      <c r="N57" s="841" t="str">
        <f>'Obrazac kalkulacije'!$F$24</f>
        <v>NARUČITELJ:</v>
      </c>
      <c r="O57" s="841"/>
    </row>
    <row r="58" spans="1:15" ht="25.15" customHeight="1">
      <c r="C58" s="3" t="str">
        <f>'Obrazac kalkulacije'!$C$25</f>
        <v>__________________</v>
      </c>
      <c r="F58" s="841" t="str">
        <f>'Obrazac kalkulacije'!$F$25</f>
        <v>___________________</v>
      </c>
      <c r="G58" s="841"/>
      <c r="K58" s="3" t="str">
        <f>'Obrazac kalkulacije'!$C$25</f>
        <v>__________________</v>
      </c>
      <c r="N58" s="841" t="str">
        <f>'Obrazac kalkulacije'!$F$25</f>
        <v>___________________</v>
      </c>
      <c r="O58" s="841"/>
    </row>
    <row r="59" spans="1:15" ht="15" customHeight="1">
      <c r="F59" s="841"/>
      <c r="G59" s="841"/>
      <c r="N59" s="841"/>
      <c r="O59" s="841"/>
    </row>
    <row r="60" spans="1:15" ht="15" customHeight="1"/>
    <row r="61" spans="1:15" ht="15" customHeight="1">
      <c r="A61" s="144"/>
      <c r="B61" s="145" t="s">
        <v>39</v>
      </c>
      <c r="C61" s="836" t="s">
        <v>360</v>
      </c>
      <c r="D61" s="836"/>
      <c r="E61" s="836"/>
      <c r="F61" s="836"/>
      <c r="G61" s="836"/>
      <c r="I61" s="144"/>
      <c r="J61" s="145" t="s">
        <v>39</v>
      </c>
      <c r="K61" s="836" t="s">
        <v>360</v>
      </c>
      <c r="L61" s="836"/>
      <c r="M61" s="836"/>
      <c r="N61" s="836"/>
      <c r="O61" s="836"/>
    </row>
    <row r="62" spans="1:15" ht="15" customHeight="1">
      <c r="A62" s="38"/>
      <c r="B62" s="39" t="s">
        <v>41</v>
      </c>
      <c r="C62" s="860" t="s">
        <v>361</v>
      </c>
      <c r="D62" s="860"/>
      <c r="E62" s="860"/>
      <c r="F62" s="860"/>
      <c r="G62" s="860"/>
      <c r="I62" s="38"/>
      <c r="J62" s="39" t="s">
        <v>41</v>
      </c>
      <c r="K62" s="860" t="s">
        <v>361</v>
      </c>
      <c r="L62" s="860"/>
      <c r="M62" s="860"/>
      <c r="N62" s="860"/>
      <c r="O62" s="860"/>
    </row>
    <row r="63" spans="1:15" ht="150" customHeight="1">
      <c r="A63" s="40"/>
      <c r="B63" s="556" t="s">
        <v>368</v>
      </c>
      <c r="C63" s="852" t="s">
        <v>369</v>
      </c>
      <c r="D63" s="852"/>
      <c r="E63" s="852"/>
      <c r="F63" s="852"/>
      <c r="G63" s="852"/>
      <c r="I63" s="40"/>
      <c r="J63" s="41" t="s">
        <v>368</v>
      </c>
      <c r="K63" s="869" t="s">
        <v>370</v>
      </c>
      <c r="L63" s="869"/>
      <c r="M63" s="869"/>
      <c r="N63" s="869"/>
      <c r="O63" s="869"/>
    </row>
    <row r="64" spans="1:15" ht="15" customHeight="1" thickBot="1"/>
    <row r="65" spans="1:15" ht="30" customHeight="1" thickTop="1" thickBot="1">
      <c r="A65" s="10"/>
      <c r="B65" s="835" t="str">
        <f>'Obrazac kalkulacije'!$B$6:$C$6</f>
        <v>Opis</v>
      </c>
      <c r="C65" s="835"/>
      <c r="D65" s="10" t="str">
        <f>'Obrazac kalkulacije'!$D$6</f>
        <v>Jed.
mjere</v>
      </c>
      <c r="E65" s="10" t="str">
        <f>'Obrazac kalkulacije'!$E$6</f>
        <v>Normativ</v>
      </c>
      <c r="F65" s="10" t="str">
        <f>'Obrazac kalkulacije'!$F$6</f>
        <v>Jed.
cijena</v>
      </c>
      <c r="G65" s="10" t="str">
        <f>'Obrazac kalkulacije'!$G$6</f>
        <v>Iznos</v>
      </c>
      <c r="I65" s="10"/>
      <c r="J65" s="835" t="e">
        <f>'Obrazac kalkulacije'!$B$6:$C$6</f>
        <v>#VALUE!</v>
      </c>
      <c r="K65" s="835"/>
      <c r="L65" s="10" t="str">
        <f>'Obrazac kalkulacije'!$D$6</f>
        <v>Jed.
mjere</v>
      </c>
      <c r="M65" s="10" t="str">
        <f>'Obrazac kalkulacije'!$E$6</f>
        <v>Normativ</v>
      </c>
      <c r="N65" s="10" t="str">
        <f>'Obrazac kalkulacije'!$F$6</f>
        <v>Jed.
cijena</v>
      </c>
      <c r="O65" s="10" t="str">
        <f>'Obrazac kalkulacije'!$G$6</f>
        <v>Iznos</v>
      </c>
    </row>
    <row r="66" spans="1:15" ht="4.5" customHeight="1" thickTop="1">
      <c r="B66" s="42"/>
      <c r="C66" s="1"/>
      <c r="D66" s="11"/>
      <c r="E66" s="13"/>
      <c r="F66" s="258"/>
      <c r="G66" s="15"/>
      <c r="J66" s="42"/>
      <c r="K66" s="1"/>
      <c r="L66" s="11"/>
      <c r="M66" s="13"/>
      <c r="N66" s="258"/>
      <c r="O66" s="15"/>
    </row>
    <row r="67" spans="1:15" ht="25.15" customHeight="1">
      <c r="A67" s="16"/>
      <c r="B67" s="837" t="str">
        <f>'Obrazac kalkulacije'!$B$8</f>
        <v>Radna snaga:</v>
      </c>
      <c r="C67" s="837"/>
      <c r="D67" s="16"/>
      <c r="E67" s="16"/>
      <c r="F67" s="44"/>
      <c r="G67" s="18">
        <f>SUM(G68:G68)</f>
        <v>63.018000000000001</v>
      </c>
      <c r="I67" s="16"/>
      <c r="J67" s="837" t="str">
        <f>'Obrazac kalkulacije'!$B$8</f>
        <v>Radna snaga:</v>
      </c>
      <c r="K67" s="837"/>
      <c r="L67" s="16"/>
      <c r="M67" s="16"/>
      <c r="N67" s="44"/>
      <c r="O67" s="18">
        <f>SUM(O68:O68)</f>
        <v>29.779628535000004</v>
      </c>
    </row>
    <row r="68" spans="1:15" ht="25.15" customHeight="1">
      <c r="A68" s="32"/>
      <c r="B68" s="854" t="s">
        <v>57</v>
      </c>
      <c r="C68" s="854"/>
      <c r="D68" s="33" t="s">
        <v>51</v>
      </c>
      <c r="E68" s="34">
        <v>0.6</v>
      </c>
      <c r="F68" s="238">
        <f>SUMIF('Cjenik RS'!$C$11:$C$26,$B68,'Cjenik RS'!$D$11:$D$90)</f>
        <v>105.03</v>
      </c>
      <c r="G68" s="35">
        <f>+F68*E68</f>
        <v>63.018000000000001</v>
      </c>
      <c r="I68" s="32"/>
      <c r="J68" s="854" t="s">
        <v>57</v>
      </c>
      <c r="K68" s="854"/>
      <c r="L68" s="33" t="s">
        <v>51</v>
      </c>
      <c r="M68" s="34">
        <v>0.28353450000000002</v>
      </c>
      <c r="N68" s="44">
        <f>SUMIF('Cjenik RS'!$C$11:$C$26,J68,'Cjenik RS'!$D$11:$D$90)</f>
        <v>105.03</v>
      </c>
      <c r="O68" s="35">
        <f>+N68*M68</f>
        <v>29.779628535000004</v>
      </c>
    </row>
    <row r="69" spans="1:15" ht="25.15" customHeight="1">
      <c r="A69" s="16"/>
      <c r="B69" s="837" t="str">
        <f>'Obrazac kalkulacije'!$B$11</f>
        <v>Vozila, strojevi i oprema:</v>
      </c>
      <c r="C69" s="837"/>
      <c r="D69" s="16"/>
      <c r="E69" s="16"/>
      <c r="F69" s="238">
        <f>'Obrazac kalkulacije'!$F$11</f>
        <v>0</v>
      </c>
      <c r="G69" s="18">
        <f>SUM(G70:G71)</f>
        <v>32.804000000000002</v>
      </c>
      <c r="I69" s="16"/>
      <c r="J69" s="837" t="str">
        <f>'Obrazac kalkulacije'!$B$11</f>
        <v>Vozila, strojevi i oprema:</v>
      </c>
      <c r="K69" s="837"/>
      <c r="L69" s="16"/>
      <c r="M69" s="16"/>
      <c r="N69" s="238">
        <f>'Obrazac kalkulacije'!$F$11</f>
        <v>0</v>
      </c>
      <c r="O69" s="18">
        <f>SUM(O70:O71)</f>
        <v>53.846186800000005</v>
      </c>
    </row>
    <row r="70" spans="1:15" ht="25.15" customHeight="1">
      <c r="A70" s="51"/>
      <c r="B70" s="863" t="s">
        <v>69</v>
      </c>
      <c r="C70" s="863"/>
      <c r="D70" s="52" t="s">
        <v>51</v>
      </c>
      <c r="E70" s="53">
        <v>0.04</v>
      </c>
      <c r="F70" s="260">
        <f>SUMIF('Cjenik VSO'!$B$9:$B$85,$B70,'Cjenik VSO'!$C$9:$C$85)</f>
        <v>179.6</v>
      </c>
      <c r="G70" s="55">
        <f>E70*F70</f>
        <v>7.1840000000000002</v>
      </c>
      <c r="I70" s="51"/>
      <c r="J70" s="863" t="s">
        <v>69</v>
      </c>
      <c r="K70" s="863"/>
      <c r="L70" s="52" t="s">
        <v>51</v>
      </c>
      <c r="M70" s="53">
        <v>2.8448000000000001E-2</v>
      </c>
      <c r="N70" s="260">
        <f>SUMIF('Cjenik VSO'!$B$9:$B$85,$B70,'Cjenik VSO'!$C$9:$C$85)</f>
        <v>179.6</v>
      </c>
      <c r="O70" s="55">
        <f>M70*N70</f>
        <v>5.1092608000000004</v>
      </c>
    </row>
    <row r="71" spans="1:15" ht="25.15" customHeight="1">
      <c r="A71" s="61"/>
      <c r="B71" s="864" t="s">
        <v>288</v>
      </c>
      <c r="C71" s="864"/>
      <c r="D71" s="62" t="s">
        <v>51</v>
      </c>
      <c r="E71" s="63">
        <v>0.15</v>
      </c>
      <c r="F71" s="261">
        <f>SUMIF('Cjenik VSO'!$B$9:$B$85,$B71,'Cjenik VSO'!$C$9:$C$85)</f>
        <v>170.8</v>
      </c>
      <c r="G71" s="65">
        <f>E71*F71</f>
        <v>25.62</v>
      </c>
      <c r="I71" s="61"/>
      <c r="J71" s="864" t="s">
        <v>288</v>
      </c>
      <c r="K71" s="864"/>
      <c r="L71" s="62" t="s">
        <v>51</v>
      </c>
      <c r="M71" s="63">
        <v>0.28534500000000002</v>
      </c>
      <c r="N71" s="261">
        <f>SUMIF('Cjenik VSO'!$B$9:$B$85,$B71,'Cjenik VSO'!$C$9:$C$85)</f>
        <v>170.8</v>
      </c>
      <c r="O71" s="65">
        <f>M71*N71</f>
        <v>48.736926000000004</v>
      </c>
    </row>
    <row r="72" spans="1:15" ht="25.15" customHeight="1">
      <c r="A72" s="16"/>
      <c r="B72" s="837" t="str">
        <f>'Obrazac kalkulacije'!$B$15</f>
        <v>Materijali:</v>
      </c>
      <c r="C72" s="837"/>
      <c r="D72" s="16"/>
      <c r="E72" s="16"/>
      <c r="F72" s="238"/>
      <c r="G72" s="18">
        <f>SUM(G73:G75)</f>
        <v>0</v>
      </c>
      <c r="I72" s="16"/>
      <c r="J72" s="837" t="str">
        <f>'Obrazac kalkulacije'!$B$15</f>
        <v>Materijali:</v>
      </c>
      <c r="K72" s="837"/>
      <c r="L72" s="16"/>
      <c r="M72" s="16"/>
      <c r="N72" s="238"/>
      <c r="O72" s="18">
        <f>SUM(O73:O75)</f>
        <v>0</v>
      </c>
    </row>
    <row r="73" spans="1:15" ht="25.15" customHeight="1">
      <c r="A73" s="51"/>
      <c r="B73" s="863">
        <f>'Cjenik M'!$B$75</f>
        <v>0</v>
      </c>
      <c r="C73" s="863"/>
      <c r="D73" s="52">
        <f>'Cjenik M'!$C$75</f>
        <v>0</v>
      </c>
      <c r="E73" s="53">
        <v>0.33</v>
      </c>
      <c r="F73" s="260">
        <f>'Cjenik M'!$D$75</f>
        <v>0</v>
      </c>
      <c r="G73" s="55">
        <f>E73*F73</f>
        <v>0</v>
      </c>
      <c r="I73" s="51"/>
      <c r="J73" s="863">
        <f>'Cjenik M'!$B$75</f>
        <v>0</v>
      </c>
      <c r="K73" s="863"/>
      <c r="L73" s="52">
        <f>'Cjenik M'!$C$75</f>
        <v>0</v>
      </c>
      <c r="M73" s="53">
        <v>0.28999999999999998</v>
      </c>
      <c r="N73" s="260">
        <f>'Cjenik M'!$D$75</f>
        <v>0</v>
      </c>
      <c r="O73" s="55">
        <f>M73*N73</f>
        <v>0</v>
      </c>
    </row>
    <row r="74" spans="1:15" ht="25.15" customHeight="1">
      <c r="A74" s="56"/>
      <c r="B74" s="834">
        <f>'Cjenik M'!$B$77</f>
        <v>0</v>
      </c>
      <c r="C74" s="834"/>
      <c r="D74" s="57">
        <f>'Cjenik M'!$C$77</f>
        <v>0</v>
      </c>
      <c r="E74" s="58">
        <v>3.3000000000000002E-2</v>
      </c>
      <c r="F74" s="263">
        <f>'Cjenik M'!$D$77</f>
        <v>0</v>
      </c>
      <c r="G74" s="60">
        <f>E74*F74</f>
        <v>0</v>
      </c>
      <c r="I74" s="56"/>
      <c r="J74" s="834">
        <f>'Cjenik M'!$B$77</f>
        <v>0</v>
      </c>
      <c r="K74" s="834"/>
      <c r="L74" s="57">
        <f>'Cjenik M'!$C$77</f>
        <v>0</v>
      </c>
      <c r="M74" s="58">
        <v>0.03</v>
      </c>
      <c r="N74" s="263">
        <f>'Cjenik M'!$D$77</f>
        <v>0</v>
      </c>
      <c r="O74" s="60">
        <f>M74*N74</f>
        <v>0</v>
      </c>
    </row>
    <row r="75" spans="1:15" ht="25.15" customHeight="1" thickBot="1">
      <c r="A75" s="66"/>
      <c r="B75" s="859">
        <f>'Cjenik M'!$B$104</f>
        <v>0</v>
      </c>
      <c r="C75" s="859"/>
      <c r="D75" s="67">
        <f>'Cjenik M'!$C$104</f>
        <v>0</v>
      </c>
      <c r="E75" s="68">
        <v>0.05</v>
      </c>
      <c r="F75" s="262">
        <f>'Cjenik M'!$D$104</f>
        <v>0</v>
      </c>
      <c r="G75" s="70">
        <f>E75*F75</f>
        <v>0</v>
      </c>
      <c r="I75" s="66"/>
      <c r="J75" s="859">
        <f>'Cjenik M'!$B$104</f>
        <v>0</v>
      </c>
      <c r="K75" s="859"/>
      <c r="L75" s="67">
        <f>'Cjenik M'!$C$104</f>
        <v>0</v>
      </c>
      <c r="M75" s="68">
        <v>0.05</v>
      </c>
      <c r="N75" s="262">
        <f>'Cjenik M'!$D$104</f>
        <v>0</v>
      </c>
      <c r="O75" s="70">
        <f>M75*N75</f>
        <v>0</v>
      </c>
    </row>
    <row r="76" spans="1:15" ht="25.15" customHeight="1" thickTop="1" thickBot="1">
      <c r="B76" s="47"/>
      <c r="C76" s="24"/>
      <c r="D76" s="25"/>
      <c r="E76" s="850" t="str">
        <f>'Obrazac kalkulacije'!$E$18</f>
        <v>Ukupno (kn):</v>
      </c>
      <c r="F76" s="850"/>
      <c r="G76" s="26">
        <f>ROUND(SUM(G67+G69+G72),2)</f>
        <v>95.82</v>
      </c>
      <c r="H76" s="269" t="e">
        <f>SUMIF(#REF!,$B63,#REF!)</f>
        <v>#REF!</v>
      </c>
      <c r="J76" s="47"/>
      <c r="K76" s="24"/>
      <c r="L76" s="25"/>
      <c r="M76" s="850" t="str">
        <f>'Obrazac kalkulacije'!$E$18</f>
        <v>Ukupno (kn):</v>
      </c>
      <c r="N76" s="850"/>
      <c r="O76" s="26">
        <f>ROUND(SUM(O67+O69+O72),2)</f>
        <v>83.63</v>
      </c>
    </row>
    <row r="77" spans="1:15" ht="25.15" customHeight="1" thickTop="1" thickBot="1">
      <c r="E77" s="27" t="str">
        <f>'Obrazac kalkulacije'!$E$19</f>
        <v>PDV:</v>
      </c>
      <c r="F77" s="259">
        <f>'Obrazac kalkulacije'!$F$19</f>
        <v>0.25</v>
      </c>
      <c r="G77" s="29">
        <f>G76*F77</f>
        <v>23.954999999999998</v>
      </c>
      <c r="H77" s="270" t="e">
        <f>H76-G76</f>
        <v>#REF!</v>
      </c>
      <c r="M77" s="27" t="str">
        <f>'Obrazac kalkulacije'!$E$19</f>
        <v>PDV:</v>
      </c>
      <c r="N77" s="259">
        <f>'Obrazac kalkulacije'!$F$19</f>
        <v>0.25</v>
      </c>
      <c r="O77" s="29">
        <f>O76*N77</f>
        <v>20.907499999999999</v>
      </c>
    </row>
    <row r="78" spans="1:15" ht="25.15" customHeight="1" thickTop="1" thickBot="1">
      <c r="E78" s="840" t="str">
        <f>'Obrazac kalkulacije'!$E$20</f>
        <v>Sveukupno (kn):</v>
      </c>
      <c r="F78" s="840"/>
      <c r="G78" s="29">
        <f>ROUND(SUM(G76:G77),2)</f>
        <v>119.78</v>
      </c>
      <c r="H78" s="271" t="e">
        <f>G71+H77</f>
        <v>#REF!</v>
      </c>
      <c r="M78" s="840" t="str">
        <f>'Obrazac kalkulacije'!$E$20</f>
        <v>Sveukupno (kn):</v>
      </c>
      <c r="N78" s="840"/>
      <c r="O78" s="29">
        <f>ROUND(SUM(O76:O77),2)</f>
        <v>104.54</v>
      </c>
    </row>
    <row r="79" spans="1:15" ht="15" customHeight="1" thickTop="1"/>
    <row r="80" spans="1:15" ht="15" customHeight="1"/>
    <row r="81" spans="1:15" ht="15" customHeight="1"/>
    <row r="82" spans="1:15" ht="15" customHeight="1">
      <c r="C82" s="3" t="str">
        <f>'Obrazac kalkulacije'!$C$24</f>
        <v>IZVODITELJ:</v>
      </c>
      <c r="F82" s="841" t="str">
        <f>'Obrazac kalkulacije'!$F$24</f>
        <v>NARUČITELJ:</v>
      </c>
      <c r="G82" s="841"/>
      <c r="K82" s="3" t="str">
        <f>'Obrazac kalkulacije'!$C$24</f>
        <v>IZVODITELJ:</v>
      </c>
      <c r="N82" s="841" t="str">
        <f>'Obrazac kalkulacije'!$F$24</f>
        <v>NARUČITELJ:</v>
      </c>
      <c r="O82" s="841"/>
    </row>
    <row r="83" spans="1:15" ht="25.15" customHeight="1">
      <c r="C83" s="3" t="str">
        <f>'Obrazac kalkulacije'!$C$25</f>
        <v>__________________</v>
      </c>
      <c r="F83" s="841" t="str">
        <f>'Obrazac kalkulacije'!$F$25</f>
        <v>___________________</v>
      </c>
      <c r="G83" s="841"/>
      <c r="K83" s="3" t="str">
        <f>'Obrazac kalkulacije'!$C$25</f>
        <v>__________________</v>
      </c>
      <c r="N83" s="841" t="str">
        <f>'Obrazac kalkulacije'!$F$25</f>
        <v>___________________</v>
      </c>
      <c r="O83" s="841"/>
    </row>
    <row r="84" spans="1:15" ht="15" customHeight="1">
      <c r="F84" s="841"/>
      <c r="G84" s="841"/>
      <c r="N84" s="841"/>
      <c r="O84" s="841"/>
    </row>
    <row r="85" spans="1:15" ht="15" customHeight="1"/>
    <row r="86" spans="1:15" ht="15" customHeight="1">
      <c r="A86" s="144"/>
      <c r="B86" s="145" t="s">
        <v>39</v>
      </c>
      <c r="C86" s="836" t="s">
        <v>360</v>
      </c>
      <c r="D86" s="836"/>
      <c r="E86" s="836"/>
      <c r="F86" s="836"/>
      <c r="G86" s="836"/>
      <c r="I86" s="144"/>
      <c r="J86" s="145" t="s">
        <v>39</v>
      </c>
      <c r="K86" s="836" t="s">
        <v>360</v>
      </c>
      <c r="L86" s="836"/>
      <c r="M86" s="836"/>
      <c r="N86" s="836"/>
      <c r="O86" s="836"/>
    </row>
    <row r="87" spans="1:15" ht="15" customHeight="1">
      <c r="A87" s="38"/>
      <c r="B87" s="39" t="s">
        <v>41</v>
      </c>
      <c r="C87" s="860" t="s">
        <v>361</v>
      </c>
      <c r="D87" s="860"/>
      <c r="E87" s="860"/>
      <c r="F87" s="860"/>
      <c r="G87" s="860"/>
      <c r="I87" s="38"/>
      <c r="J87" s="39" t="s">
        <v>41</v>
      </c>
      <c r="K87" s="860" t="s">
        <v>361</v>
      </c>
      <c r="L87" s="860"/>
      <c r="M87" s="860"/>
      <c r="N87" s="860"/>
      <c r="O87" s="860"/>
    </row>
    <row r="88" spans="1:15" ht="150" customHeight="1">
      <c r="A88" s="40"/>
      <c r="B88" s="556" t="s">
        <v>371</v>
      </c>
      <c r="C88" s="852" t="s">
        <v>372</v>
      </c>
      <c r="D88" s="852"/>
      <c r="E88" s="852"/>
      <c r="F88" s="852"/>
      <c r="G88" s="852"/>
      <c r="I88" s="40"/>
      <c r="J88" s="41" t="s">
        <v>371</v>
      </c>
      <c r="K88" s="869" t="s">
        <v>373</v>
      </c>
      <c r="L88" s="869"/>
      <c r="M88" s="869"/>
      <c r="N88" s="869"/>
      <c r="O88" s="869"/>
    </row>
    <row r="89" spans="1:15" ht="15" customHeight="1" thickBot="1"/>
    <row r="90" spans="1:15" ht="30" customHeight="1" thickTop="1" thickBot="1">
      <c r="A90" s="10"/>
      <c r="B90" s="835" t="str">
        <f>'Obrazac kalkulacije'!$B$6:$C$6</f>
        <v>Opis</v>
      </c>
      <c r="C90" s="835"/>
      <c r="D90" s="10" t="str">
        <f>'Obrazac kalkulacije'!$D$6</f>
        <v>Jed.
mjere</v>
      </c>
      <c r="E90" s="10" t="str">
        <f>'Obrazac kalkulacije'!$E$6</f>
        <v>Normativ</v>
      </c>
      <c r="F90" s="10" t="str">
        <f>'Obrazac kalkulacije'!$F$6</f>
        <v>Jed.
cijena</v>
      </c>
      <c r="G90" s="10" t="str">
        <f>'Obrazac kalkulacije'!$G$6</f>
        <v>Iznos</v>
      </c>
      <c r="I90" s="10"/>
      <c r="J90" s="835" t="e">
        <f>'Obrazac kalkulacije'!$B$6:$C$6</f>
        <v>#VALUE!</v>
      </c>
      <c r="K90" s="835"/>
      <c r="L90" s="10" t="str">
        <f>'Obrazac kalkulacije'!$D$6</f>
        <v>Jed.
mjere</v>
      </c>
      <c r="M90" s="10" t="str">
        <f>'Obrazac kalkulacije'!$E$6</f>
        <v>Normativ</v>
      </c>
      <c r="N90" s="10" t="str">
        <f>'Obrazac kalkulacije'!$F$6</f>
        <v>Jed.
cijena</v>
      </c>
      <c r="O90" s="10" t="str">
        <f>'Obrazac kalkulacije'!$G$6</f>
        <v>Iznos</v>
      </c>
    </row>
    <row r="91" spans="1:15" ht="4.5" customHeight="1" thickTop="1">
      <c r="B91" s="42"/>
      <c r="C91" s="1"/>
      <c r="D91" s="11"/>
      <c r="E91" s="13"/>
      <c r="F91" s="258"/>
      <c r="G91" s="15"/>
      <c r="J91" s="42"/>
      <c r="K91" s="1"/>
      <c r="L91" s="11"/>
      <c r="M91" s="13"/>
      <c r="N91" s="258"/>
      <c r="O91" s="15"/>
    </row>
    <row r="92" spans="1:15" ht="25.15" customHeight="1">
      <c r="A92" s="16"/>
      <c r="B92" s="837" t="str">
        <f>'Obrazac kalkulacije'!$B$8</f>
        <v>Radna snaga:</v>
      </c>
      <c r="C92" s="837"/>
      <c r="D92" s="16"/>
      <c r="E92" s="16"/>
      <c r="F92" s="44"/>
      <c r="G92" s="18">
        <f>SUM(G93:G93)</f>
        <v>5.1733576800000005</v>
      </c>
      <c r="I92" s="16"/>
      <c r="J92" s="837" t="str">
        <f>'Obrazac kalkulacije'!$B$8</f>
        <v>Radna snaga:</v>
      </c>
      <c r="K92" s="837"/>
      <c r="L92" s="16"/>
      <c r="M92" s="16"/>
      <c r="N92" s="44"/>
      <c r="O92" s="18">
        <f>SUM(O93:O93)</f>
        <v>5.1733576800000005</v>
      </c>
    </row>
    <row r="93" spans="1:15" ht="25.15" customHeight="1">
      <c r="A93" s="19"/>
      <c r="B93" s="854" t="s">
        <v>57</v>
      </c>
      <c r="C93" s="854"/>
      <c r="D93" s="33" t="s">
        <v>51</v>
      </c>
      <c r="E93" s="34">
        <v>4.9256000000000001E-2</v>
      </c>
      <c r="F93" s="238">
        <f>SUMIF('Cjenik RS'!$C$11:$C$26,$B93,'Cjenik RS'!$D$11:$D$90)</f>
        <v>105.03</v>
      </c>
      <c r="G93" s="35">
        <f>+F93*E93</f>
        <v>5.1733576800000005</v>
      </c>
      <c r="I93" s="19"/>
      <c r="J93" s="854" t="s">
        <v>57</v>
      </c>
      <c r="K93" s="854"/>
      <c r="L93" s="33" t="s">
        <v>51</v>
      </c>
      <c r="M93" s="34">
        <v>4.9256000000000001E-2</v>
      </c>
      <c r="N93" s="44">
        <f>SUMIF('Cjenik RS'!$C$11:$C$26,J93,'Cjenik RS'!$D$11:$D$90)</f>
        <v>105.03</v>
      </c>
      <c r="O93" s="35">
        <f>+N93*M93</f>
        <v>5.1733576800000005</v>
      </c>
    </row>
    <row r="94" spans="1:15" ht="25.15" customHeight="1" thickTop="1" thickBot="1">
      <c r="B94" s="47"/>
      <c r="C94" s="24"/>
      <c r="D94" s="25"/>
      <c r="E94" s="850" t="str">
        <f>'Obrazac kalkulacije'!$E$18</f>
        <v>Ukupno (kn):</v>
      </c>
      <c r="F94" s="850"/>
      <c r="G94" s="26">
        <f>ROUND(SUM(G92),2)</f>
        <v>5.17</v>
      </c>
      <c r="H94" s="269" t="e">
        <f>SUMIF(#REF!,$B88,#REF!)</f>
        <v>#REF!</v>
      </c>
      <c r="J94" s="47"/>
      <c r="K94" s="24"/>
      <c r="L94" s="25"/>
      <c r="M94" s="850" t="str">
        <f>'Obrazac kalkulacije'!$E$18</f>
        <v>Ukupno (kn):</v>
      </c>
      <c r="N94" s="850"/>
      <c r="O94" s="26">
        <f>ROUND(SUM(O92),2)</f>
        <v>5.17</v>
      </c>
    </row>
    <row r="95" spans="1:15" ht="25.15" customHeight="1" thickTop="1" thickBot="1">
      <c r="E95" s="27" t="str">
        <f>'Obrazac kalkulacije'!$E$19</f>
        <v>PDV:</v>
      </c>
      <c r="F95" s="259">
        <f>'Obrazac kalkulacije'!$F$19</f>
        <v>0.25</v>
      </c>
      <c r="G95" s="29">
        <f>G94*F95</f>
        <v>1.2925</v>
      </c>
      <c r="H95" s="270" t="e">
        <f>H94-G94</f>
        <v>#REF!</v>
      </c>
      <c r="M95" s="27" t="str">
        <f>'Obrazac kalkulacije'!$E$19</f>
        <v>PDV:</v>
      </c>
      <c r="N95" s="259">
        <f>'Obrazac kalkulacije'!$F$19</f>
        <v>0.25</v>
      </c>
      <c r="O95" s="29">
        <f>O94*N95</f>
        <v>1.2925</v>
      </c>
    </row>
    <row r="96" spans="1:15" ht="25.15" customHeight="1" thickTop="1" thickBot="1">
      <c r="E96" s="840" t="str">
        <f>'Obrazac kalkulacije'!$E$20</f>
        <v>Sveukupno (kn):</v>
      </c>
      <c r="F96" s="840"/>
      <c r="G96" s="29">
        <f>ROUND(SUM(G94:G95),2)</f>
        <v>6.46</v>
      </c>
      <c r="H96" s="271" t="e">
        <f>G89+H95</f>
        <v>#REF!</v>
      </c>
      <c r="M96" s="840" t="str">
        <f>'Obrazac kalkulacije'!$E$20</f>
        <v>Sveukupno (kn):</v>
      </c>
      <c r="N96" s="840"/>
      <c r="O96" s="29">
        <f>ROUND(SUM(O94:O95),2)</f>
        <v>6.46</v>
      </c>
    </row>
    <row r="97" spans="1:15" ht="15" customHeight="1" thickTop="1"/>
    <row r="98" spans="1:15" ht="15" customHeight="1"/>
    <row r="99" spans="1:15" ht="15" customHeight="1"/>
    <row r="100" spans="1:15" ht="15" customHeight="1">
      <c r="C100" s="3" t="str">
        <f>'Obrazac kalkulacije'!$C$24</f>
        <v>IZVODITELJ:</v>
      </c>
      <c r="F100" s="841" t="str">
        <f>'Obrazac kalkulacije'!$F$24</f>
        <v>NARUČITELJ:</v>
      </c>
      <c r="G100" s="841"/>
      <c r="K100" s="3" t="str">
        <f>'Obrazac kalkulacije'!$C$24</f>
        <v>IZVODITELJ:</v>
      </c>
      <c r="N100" s="841" t="str">
        <f>'Obrazac kalkulacije'!$F$24</f>
        <v>NARUČITELJ:</v>
      </c>
      <c r="O100" s="841"/>
    </row>
    <row r="101" spans="1:15" ht="25.15" customHeight="1">
      <c r="C101" s="3" t="str">
        <f>'Obrazac kalkulacije'!$C$25</f>
        <v>__________________</v>
      </c>
      <c r="F101" s="841" t="str">
        <f>'Obrazac kalkulacije'!$F$25</f>
        <v>___________________</v>
      </c>
      <c r="G101" s="841"/>
      <c r="K101" s="3" t="str">
        <f>'Obrazac kalkulacije'!$C$25</f>
        <v>__________________</v>
      </c>
      <c r="N101" s="841" t="str">
        <f>'Obrazac kalkulacije'!$F$25</f>
        <v>___________________</v>
      </c>
      <c r="O101" s="841"/>
    </row>
    <row r="102" spans="1:15" ht="15" customHeight="1">
      <c r="F102" s="841"/>
      <c r="G102" s="841"/>
      <c r="N102" s="841"/>
      <c r="O102" s="841"/>
    </row>
    <row r="103" spans="1:15" ht="15" customHeight="1"/>
    <row r="104" spans="1:15" ht="15" customHeight="1">
      <c r="A104" s="144"/>
      <c r="B104" s="145" t="s">
        <v>39</v>
      </c>
      <c r="C104" s="836" t="s">
        <v>360</v>
      </c>
      <c r="D104" s="836"/>
      <c r="E104" s="836"/>
      <c r="F104" s="836"/>
      <c r="G104" s="836"/>
      <c r="I104" s="144"/>
      <c r="J104" s="145" t="s">
        <v>39</v>
      </c>
      <c r="K104" s="836" t="s">
        <v>360</v>
      </c>
      <c r="L104" s="836"/>
      <c r="M104" s="836"/>
      <c r="N104" s="836"/>
      <c r="O104" s="836"/>
    </row>
    <row r="105" spans="1:15" ht="15" customHeight="1">
      <c r="A105" s="38"/>
      <c r="B105" s="39" t="s">
        <v>41</v>
      </c>
      <c r="C105" s="860" t="s">
        <v>361</v>
      </c>
      <c r="D105" s="860"/>
      <c r="E105" s="860"/>
      <c r="F105" s="860"/>
      <c r="G105" s="860"/>
      <c r="I105" s="38"/>
      <c r="J105" s="39" t="s">
        <v>41</v>
      </c>
      <c r="K105" s="860" t="s">
        <v>361</v>
      </c>
      <c r="L105" s="860"/>
      <c r="M105" s="860"/>
      <c r="N105" s="860"/>
      <c r="O105" s="860"/>
    </row>
    <row r="106" spans="1:15" ht="150" customHeight="1">
      <c r="A106" s="40"/>
      <c r="B106" s="556" t="s">
        <v>374</v>
      </c>
      <c r="C106" s="852" t="s">
        <v>375</v>
      </c>
      <c r="D106" s="852"/>
      <c r="E106" s="852"/>
      <c r="F106" s="852"/>
      <c r="G106" s="852"/>
      <c r="I106" s="40"/>
      <c r="J106" s="41" t="s">
        <v>374</v>
      </c>
      <c r="K106" s="869" t="s">
        <v>376</v>
      </c>
      <c r="L106" s="869"/>
      <c r="M106" s="869"/>
      <c r="N106" s="869"/>
      <c r="O106" s="869"/>
    </row>
    <row r="107" spans="1:15" ht="15" customHeight="1" thickBot="1"/>
    <row r="108" spans="1:15" ht="30" customHeight="1" thickTop="1" thickBot="1">
      <c r="A108" s="10"/>
      <c r="B108" s="835" t="str">
        <f>'Obrazac kalkulacije'!$B$6:$C$6</f>
        <v>Opis</v>
      </c>
      <c r="C108" s="835"/>
      <c r="D108" s="10" t="str">
        <f>'Obrazac kalkulacije'!$D$6</f>
        <v>Jed.
mjere</v>
      </c>
      <c r="E108" s="10" t="str">
        <f>'Obrazac kalkulacije'!$E$6</f>
        <v>Normativ</v>
      </c>
      <c r="F108" s="10" t="str">
        <f>'Obrazac kalkulacije'!$F$6</f>
        <v>Jed.
cijena</v>
      </c>
      <c r="G108" s="10" t="str">
        <f>'Obrazac kalkulacije'!$G$6</f>
        <v>Iznos</v>
      </c>
      <c r="I108" s="10"/>
      <c r="J108" s="835" t="e">
        <f>'Obrazac kalkulacije'!$B$6:$C$6</f>
        <v>#VALUE!</v>
      </c>
      <c r="K108" s="835"/>
      <c r="L108" s="10" t="str">
        <f>'Obrazac kalkulacije'!$D$6</f>
        <v>Jed.
mjere</v>
      </c>
      <c r="M108" s="10" t="str">
        <f>'Obrazac kalkulacije'!$E$6</f>
        <v>Normativ</v>
      </c>
      <c r="N108" s="10" t="str">
        <f>'Obrazac kalkulacije'!$F$6</f>
        <v>Jed.
cijena</v>
      </c>
      <c r="O108" s="10" t="str">
        <f>'Obrazac kalkulacije'!$G$6</f>
        <v>Iznos</v>
      </c>
    </row>
    <row r="109" spans="1:15" ht="4.5" customHeight="1" thickTop="1">
      <c r="B109" s="42"/>
      <c r="C109" s="1"/>
      <c r="D109" s="11"/>
      <c r="E109" s="13"/>
      <c r="F109" s="258"/>
      <c r="G109" s="15"/>
      <c r="J109" s="42"/>
      <c r="K109" s="1"/>
      <c r="L109" s="11"/>
      <c r="M109" s="13"/>
      <c r="N109" s="258"/>
      <c r="O109" s="15"/>
    </row>
    <row r="110" spans="1:15" ht="25.15" customHeight="1">
      <c r="A110" s="16"/>
      <c r="B110" s="837" t="str">
        <f>'Obrazac kalkulacije'!$B$8</f>
        <v>Radna snaga:</v>
      </c>
      <c r="C110" s="837"/>
      <c r="D110" s="16"/>
      <c r="E110" s="16"/>
      <c r="F110" s="44"/>
      <c r="G110" s="18">
        <f>SUM(G111:G111)</f>
        <v>63.018000000000001</v>
      </c>
      <c r="I110" s="16"/>
      <c r="J110" s="837" t="str">
        <f>'Obrazac kalkulacije'!$B$8</f>
        <v>Radna snaga:</v>
      </c>
      <c r="K110" s="837"/>
      <c r="L110" s="16"/>
      <c r="M110" s="16"/>
      <c r="N110" s="44"/>
      <c r="O110" s="18">
        <f>SUM(O111:O111)</f>
        <v>63.779047379999994</v>
      </c>
    </row>
    <row r="111" spans="1:15" ht="25.15" customHeight="1">
      <c r="A111" s="32"/>
      <c r="B111" s="854" t="s">
        <v>57</v>
      </c>
      <c r="C111" s="854"/>
      <c r="D111" s="33" t="s">
        <v>51</v>
      </c>
      <c r="E111" s="34">
        <v>0.6</v>
      </c>
      <c r="F111" s="238">
        <f>SUMIF('Cjenik RS'!$C$11:$C$26,$B111,'Cjenik RS'!$D$11:$D$90)</f>
        <v>105.03</v>
      </c>
      <c r="G111" s="35">
        <f>+F111*E111</f>
        <v>63.018000000000001</v>
      </c>
      <c r="I111" s="32"/>
      <c r="J111" s="854" t="s">
        <v>57</v>
      </c>
      <c r="K111" s="854"/>
      <c r="L111" s="33" t="s">
        <v>51</v>
      </c>
      <c r="M111" s="34">
        <v>0.60724599999999995</v>
      </c>
      <c r="N111" s="44">
        <f>SUMIF('Cjenik RS'!$C$11:$C$26,J111,'Cjenik RS'!$D$11:$D$90)</f>
        <v>105.03</v>
      </c>
      <c r="O111" s="35">
        <f>+N111*M111</f>
        <v>63.779047379999994</v>
      </c>
    </row>
    <row r="112" spans="1:15" ht="25.15" customHeight="1">
      <c r="A112" s="16"/>
      <c r="B112" s="837" t="str">
        <f>'Obrazac kalkulacije'!$B$11</f>
        <v>Vozila, strojevi i oprema:</v>
      </c>
      <c r="C112" s="837"/>
      <c r="D112" s="16"/>
      <c r="E112" s="16"/>
      <c r="F112" s="238">
        <f>'Obrazac kalkulacije'!$F$11</f>
        <v>0</v>
      </c>
      <c r="G112" s="18">
        <f>SUM(G113:G114)</f>
        <v>40.296000000000006</v>
      </c>
      <c r="I112" s="16"/>
      <c r="J112" s="837" t="str">
        <f>'Obrazac kalkulacije'!$B$11</f>
        <v>Vozila, strojevi i oprema:</v>
      </c>
      <c r="K112" s="837"/>
      <c r="L112" s="16"/>
      <c r="M112" s="16"/>
      <c r="N112" s="238">
        <f>'Obrazac kalkulacije'!$F$11</f>
        <v>0</v>
      </c>
      <c r="O112" s="18">
        <f>SUM(O113:O114)</f>
        <v>58.243307999999999</v>
      </c>
    </row>
    <row r="113" spans="1:15" ht="25.15" customHeight="1">
      <c r="A113" s="51"/>
      <c r="B113" s="863" t="s">
        <v>69</v>
      </c>
      <c r="C113" s="863"/>
      <c r="D113" s="52" t="s">
        <v>51</v>
      </c>
      <c r="E113" s="53">
        <v>0.115</v>
      </c>
      <c r="F113" s="260">
        <f>SUMIF('Cjenik VSO'!$B$9:$B$85,$B113,'Cjenik VSO'!$C$9:$C$85)</f>
        <v>179.6</v>
      </c>
      <c r="G113" s="55">
        <f>E113*F113</f>
        <v>20.654</v>
      </c>
      <c r="I113" s="51"/>
      <c r="J113" s="863" t="s">
        <v>69</v>
      </c>
      <c r="K113" s="863"/>
      <c r="L113" s="52" t="s">
        <v>51</v>
      </c>
      <c r="M113" s="53">
        <v>0.15094399999999999</v>
      </c>
      <c r="N113" s="260">
        <f>SUMIF('Cjenik VSO'!$B$9:$B$85,$B113,'Cjenik VSO'!$C$9:$C$85)</f>
        <v>179.6</v>
      </c>
      <c r="O113" s="55">
        <f>M113*N113</f>
        <v>27.109542399999999</v>
      </c>
    </row>
    <row r="114" spans="1:15" ht="25.15" customHeight="1" thickBot="1">
      <c r="A114" s="66"/>
      <c r="B114" s="864" t="s">
        <v>288</v>
      </c>
      <c r="C114" s="864"/>
      <c r="D114" s="62" t="s">
        <v>51</v>
      </c>
      <c r="E114" s="63">
        <v>0.115</v>
      </c>
      <c r="F114" s="261">
        <f>SUMIF('Cjenik VSO'!$B$9:$B$85,$B114,'Cjenik VSO'!$C$9:$C$85)</f>
        <v>170.8</v>
      </c>
      <c r="G114" s="65">
        <f>E114*F114</f>
        <v>19.642000000000003</v>
      </c>
      <c r="I114" s="66"/>
      <c r="J114" s="864" t="s">
        <v>288</v>
      </c>
      <c r="K114" s="864"/>
      <c r="L114" s="62" t="s">
        <v>51</v>
      </c>
      <c r="M114" s="63">
        <v>0.182282</v>
      </c>
      <c r="N114" s="261">
        <f>SUMIF('Cjenik VSO'!$B$9:$B$85,$B114,'Cjenik VSO'!$C$9:$C$85)</f>
        <v>170.8</v>
      </c>
      <c r="O114" s="65">
        <f>M114*N114</f>
        <v>31.1337656</v>
      </c>
    </row>
    <row r="115" spans="1:15" ht="25.15" customHeight="1" thickTop="1" thickBot="1">
      <c r="B115" s="47"/>
      <c r="C115" s="24"/>
      <c r="D115" s="25"/>
      <c r="E115" s="850" t="str">
        <f>'Obrazac kalkulacije'!$E$18</f>
        <v>Ukupno (kn):</v>
      </c>
      <c r="F115" s="850"/>
      <c r="G115" s="26">
        <f>ROUND(SUM(G110+G112),2)</f>
        <v>103.31</v>
      </c>
      <c r="H115" s="269" t="e">
        <f>SUMIF(#REF!,$B106,#REF!)</f>
        <v>#REF!</v>
      </c>
      <c r="J115" s="47"/>
      <c r="K115" s="24"/>
      <c r="L115" s="25"/>
      <c r="M115" s="850" t="str">
        <f>'Obrazac kalkulacije'!$E$18</f>
        <v>Ukupno (kn):</v>
      </c>
      <c r="N115" s="850"/>
      <c r="O115" s="26">
        <f>ROUND(SUM(O110+O112),2)</f>
        <v>122.02</v>
      </c>
    </row>
    <row r="116" spans="1:15" ht="25.15" customHeight="1" thickTop="1" thickBot="1">
      <c r="E116" s="27" t="str">
        <f>'Obrazac kalkulacije'!$E$19</f>
        <v>PDV:</v>
      </c>
      <c r="F116" s="259">
        <f>'Obrazac kalkulacije'!$F$19</f>
        <v>0.25</v>
      </c>
      <c r="G116" s="29">
        <f>G115*F116</f>
        <v>25.827500000000001</v>
      </c>
      <c r="H116" s="270" t="e">
        <f>H115-G115</f>
        <v>#REF!</v>
      </c>
      <c r="M116" s="27" t="str">
        <f>'Obrazac kalkulacije'!$E$19</f>
        <v>PDV:</v>
      </c>
      <c r="N116" s="259">
        <f>'Obrazac kalkulacije'!$F$19</f>
        <v>0.25</v>
      </c>
      <c r="O116" s="29">
        <f>O115*N116</f>
        <v>30.504999999999999</v>
      </c>
    </row>
    <row r="117" spans="1:15" ht="25.15" customHeight="1" thickTop="1" thickBot="1">
      <c r="E117" s="840" t="str">
        <f>'Obrazac kalkulacije'!$E$20</f>
        <v>Sveukupno (kn):</v>
      </c>
      <c r="F117" s="840"/>
      <c r="G117" s="29">
        <f>ROUND(SUM(G115:G116),2)</f>
        <v>129.13999999999999</v>
      </c>
      <c r="H117" s="271" t="e">
        <f>G114+H116</f>
        <v>#REF!</v>
      </c>
      <c r="M117" s="840" t="str">
        <f>'Obrazac kalkulacije'!$E$20</f>
        <v>Sveukupno (kn):</v>
      </c>
      <c r="N117" s="840"/>
      <c r="O117" s="29">
        <f>ROUND(SUM(O115:O116),2)</f>
        <v>152.53</v>
      </c>
    </row>
    <row r="118" spans="1:15" ht="15" customHeight="1" thickTop="1"/>
    <row r="119" spans="1:15" ht="15" customHeight="1"/>
    <row r="120" spans="1:15" ht="15" customHeight="1"/>
    <row r="121" spans="1:15" ht="15" customHeight="1">
      <c r="C121" s="3" t="str">
        <f>'Obrazac kalkulacije'!$C$24</f>
        <v>IZVODITELJ:</v>
      </c>
      <c r="F121" s="841" t="str">
        <f>'Obrazac kalkulacije'!$F$24</f>
        <v>NARUČITELJ:</v>
      </c>
      <c r="G121" s="841"/>
      <c r="K121" s="3" t="str">
        <f>'Obrazac kalkulacije'!$C$24</f>
        <v>IZVODITELJ:</v>
      </c>
      <c r="N121" s="841" t="str">
        <f>'Obrazac kalkulacije'!$F$24</f>
        <v>NARUČITELJ:</v>
      </c>
      <c r="O121" s="841"/>
    </row>
    <row r="122" spans="1:15" ht="25.15" customHeight="1">
      <c r="C122" s="3" t="str">
        <f>'Obrazac kalkulacije'!$C$25</f>
        <v>__________________</v>
      </c>
      <c r="F122" s="841" t="str">
        <f>'Obrazac kalkulacije'!$F$25</f>
        <v>___________________</v>
      </c>
      <c r="G122" s="841"/>
      <c r="K122" s="3" t="str">
        <f>'Obrazac kalkulacije'!$C$25</f>
        <v>__________________</v>
      </c>
      <c r="N122" s="841" t="str">
        <f>'Obrazac kalkulacije'!$F$25</f>
        <v>___________________</v>
      </c>
      <c r="O122" s="841"/>
    </row>
    <row r="123" spans="1:15" ht="15" customHeight="1">
      <c r="F123" s="841"/>
      <c r="G123" s="841"/>
      <c r="N123" s="841"/>
      <c r="O123" s="841"/>
    </row>
    <row r="124" spans="1:15" ht="15" customHeight="1"/>
    <row r="125" spans="1:15" ht="15" customHeight="1">
      <c r="A125" s="144"/>
      <c r="B125" s="145" t="s">
        <v>39</v>
      </c>
      <c r="C125" s="836" t="s">
        <v>360</v>
      </c>
      <c r="D125" s="836"/>
      <c r="E125" s="836"/>
      <c r="F125" s="836"/>
      <c r="G125" s="836"/>
      <c r="I125" s="144"/>
      <c r="J125" s="145" t="s">
        <v>39</v>
      </c>
      <c r="K125" s="836" t="s">
        <v>360</v>
      </c>
      <c r="L125" s="836"/>
      <c r="M125" s="836"/>
      <c r="N125" s="836"/>
      <c r="O125" s="836"/>
    </row>
    <row r="126" spans="1:15" ht="15" customHeight="1">
      <c r="A126" s="38"/>
      <c r="B126" s="39" t="s">
        <v>41</v>
      </c>
      <c r="C126" s="860" t="s">
        <v>361</v>
      </c>
      <c r="D126" s="860"/>
      <c r="E126" s="860"/>
      <c r="F126" s="860"/>
      <c r="G126" s="860"/>
      <c r="I126" s="38"/>
      <c r="J126" s="39" t="s">
        <v>41</v>
      </c>
      <c r="K126" s="860" t="s">
        <v>361</v>
      </c>
      <c r="L126" s="860"/>
      <c r="M126" s="860"/>
      <c r="N126" s="860"/>
      <c r="O126" s="860"/>
    </row>
    <row r="127" spans="1:15" ht="150" customHeight="1">
      <c r="A127" s="40"/>
      <c r="B127" s="556" t="s">
        <v>377</v>
      </c>
      <c r="C127" s="852" t="s">
        <v>378</v>
      </c>
      <c r="D127" s="852"/>
      <c r="E127" s="852"/>
      <c r="F127" s="852"/>
      <c r="G127" s="852"/>
      <c r="I127" s="40"/>
      <c r="J127" s="41" t="s">
        <v>377</v>
      </c>
      <c r="K127" s="869" t="s">
        <v>378</v>
      </c>
      <c r="L127" s="869"/>
      <c r="M127" s="869"/>
      <c r="N127" s="869"/>
      <c r="O127" s="869"/>
    </row>
    <row r="128" spans="1:15" ht="15" customHeight="1" thickBot="1"/>
    <row r="129" spans="1:15" ht="30" customHeight="1" thickTop="1" thickBot="1">
      <c r="A129" s="10"/>
      <c r="B129" s="835" t="str">
        <f>'Obrazac kalkulacije'!$B$6:$C$6</f>
        <v>Opis</v>
      </c>
      <c r="C129" s="835"/>
      <c r="D129" s="10" t="str">
        <f>'Obrazac kalkulacije'!$D$6</f>
        <v>Jed.
mjere</v>
      </c>
      <c r="E129" s="10" t="str">
        <f>'Obrazac kalkulacije'!$E$6</f>
        <v>Normativ</v>
      </c>
      <c r="F129" s="10" t="str">
        <f>'Obrazac kalkulacije'!$F$6</f>
        <v>Jed.
cijena</v>
      </c>
      <c r="G129" s="10" t="str">
        <f>'Obrazac kalkulacije'!$G$6</f>
        <v>Iznos</v>
      </c>
      <c r="I129" s="10"/>
      <c r="J129" s="835" t="e">
        <f>'Obrazac kalkulacije'!$B$6:$C$6</f>
        <v>#VALUE!</v>
      </c>
      <c r="K129" s="835"/>
      <c r="L129" s="10" t="str">
        <f>'Obrazac kalkulacije'!$D$6</f>
        <v>Jed.
mjere</v>
      </c>
      <c r="M129" s="10" t="str">
        <f>'Obrazac kalkulacije'!$E$6</f>
        <v>Normativ</v>
      </c>
      <c r="N129" s="10" t="str">
        <f>'Obrazac kalkulacije'!$F$6</f>
        <v>Jed.
cijena</v>
      </c>
      <c r="O129" s="10" t="str">
        <f>'Obrazac kalkulacije'!$G$6</f>
        <v>Iznos</v>
      </c>
    </row>
    <row r="130" spans="1:15" ht="4.5" customHeight="1" thickTop="1">
      <c r="B130" s="42"/>
      <c r="C130" s="1"/>
      <c r="D130" s="11"/>
      <c r="E130" s="13"/>
      <c r="F130" s="258"/>
      <c r="G130" s="15"/>
      <c r="J130" s="42"/>
      <c r="K130" s="1"/>
      <c r="L130" s="11"/>
      <c r="M130" s="13"/>
      <c r="N130" s="258"/>
      <c r="O130" s="15"/>
    </row>
    <row r="131" spans="1:15" ht="25.15" customHeight="1">
      <c r="A131" s="16"/>
      <c r="B131" s="837" t="str">
        <f>'Obrazac kalkulacije'!$B$8</f>
        <v>Radna snaga:</v>
      </c>
      <c r="C131" s="837"/>
      <c r="D131" s="16"/>
      <c r="E131" s="16"/>
      <c r="F131" s="44"/>
      <c r="G131" s="18">
        <f>SUM(G132:G132)</f>
        <v>21.006</v>
      </c>
      <c r="I131" s="16"/>
      <c r="J131" s="837" t="str">
        <f>'Obrazac kalkulacije'!$B$8</f>
        <v>Radna snaga:</v>
      </c>
      <c r="K131" s="837"/>
      <c r="L131" s="16"/>
      <c r="M131" s="16"/>
      <c r="N131" s="44"/>
      <c r="O131" s="18">
        <f>SUM(O132:O132)</f>
        <v>16.132607999999998</v>
      </c>
    </row>
    <row r="132" spans="1:15" ht="25.15" customHeight="1">
      <c r="A132" s="32"/>
      <c r="B132" s="854" t="s">
        <v>57</v>
      </c>
      <c r="C132" s="854"/>
      <c r="D132" s="33" t="s">
        <v>51</v>
      </c>
      <c r="E132" s="34">
        <v>0.2</v>
      </c>
      <c r="F132" s="238">
        <f>SUMIF('Cjenik RS'!$C$11:$C$26,$B132,'Cjenik RS'!$D$11:$D$90)</f>
        <v>105.03</v>
      </c>
      <c r="G132" s="35">
        <f>+F132*E132</f>
        <v>21.006</v>
      </c>
      <c r="I132" s="32"/>
      <c r="J132" s="854" t="s">
        <v>57</v>
      </c>
      <c r="K132" s="854"/>
      <c r="L132" s="33" t="s">
        <v>51</v>
      </c>
      <c r="M132" s="34">
        <v>0.15359999999999999</v>
      </c>
      <c r="N132" s="44">
        <f>SUMIF('Cjenik RS'!$C$11:$C$26,J132,'Cjenik RS'!$D$11:$D$90)</f>
        <v>105.03</v>
      </c>
      <c r="O132" s="35">
        <f>+N132*M132</f>
        <v>16.132607999999998</v>
      </c>
    </row>
    <row r="133" spans="1:15" ht="25.15" customHeight="1">
      <c r="A133" s="16"/>
      <c r="B133" s="837" t="str">
        <f>'Obrazac kalkulacije'!$B$11</f>
        <v>Vozila, strojevi i oprema:</v>
      </c>
      <c r="C133" s="837"/>
      <c r="D133" s="16"/>
      <c r="E133" s="16"/>
      <c r="F133" s="238">
        <f>'Obrazac kalkulacije'!$F$11</f>
        <v>0</v>
      </c>
      <c r="G133" s="18">
        <f>SUM(G134:G134)</f>
        <v>2.3656170710318616</v>
      </c>
      <c r="I133" s="16"/>
      <c r="J133" s="837" t="str">
        <f>'Obrazac kalkulacije'!$B$11</f>
        <v>Vozila, strojevi i oprema:</v>
      </c>
      <c r="K133" s="837"/>
      <c r="L133" s="16"/>
      <c r="M133" s="16"/>
      <c r="N133" s="238">
        <f>'Obrazac kalkulacije'!$F$11</f>
        <v>0</v>
      </c>
      <c r="O133" s="18">
        <f>SUM(O134:O134)</f>
        <v>2.5862399999999997</v>
      </c>
    </row>
    <row r="134" spans="1:15" ht="25.15" customHeight="1">
      <c r="A134" s="51"/>
      <c r="B134" s="863" t="s">
        <v>69</v>
      </c>
      <c r="C134" s="863"/>
      <c r="D134" s="52" t="s">
        <v>51</v>
      </c>
      <c r="E134" s="53">
        <v>1.3171587255188539E-2</v>
      </c>
      <c r="F134" s="260">
        <f>SUMIF('Cjenik VSO'!$B$9:$B$85,$B134,'Cjenik VSO'!$C$9:$C$85)</f>
        <v>179.6</v>
      </c>
      <c r="G134" s="55">
        <f>E134*F134</f>
        <v>2.3656170710318616</v>
      </c>
      <c r="I134" s="51"/>
      <c r="J134" s="863" t="s">
        <v>69</v>
      </c>
      <c r="K134" s="863"/>
      <c r="L134" s="52" t="s">
        <v>51</v>
      </c>
      <c r="M134" s="53">
        <v>1.44E-2</v>
      </c>
      <c r="N134" s="260">
        <f>SUMIF('Cjenik VSO'!$B$9:$B$85,$B134,'Cjenik VSO'!$C$9:$C$85)</f>
        <v>179.6</v>
      </c>
      <c r="O134" s="55">
        <f>M134*N134</f>
        <v>2.5862399999999997</v>
      </c>
    </row>
    <row r="135" spans="1:15" ht="25.15" customHeight="1">
      <c r="A135" s="16"/>
      <c r="B135" s="837" t="str">
        <f>'Obrazac kalkulacije'!$B$15</f>
        <v>Materijali:</v>
      </c>
      <c r="C135" s="837"/>
      <c r="D135" s="16"/>
      <c r="E135" s="16"/>
      <c r="F135" s="238"/>
      <c r="G135" s="18">
        <f>SUM(G136:G136)</f>
        <v>0</v>
      </c>
      <c r="I135" s="16"/>
      <c r="J135" s="837" t="str">
        <f>'Obrazac kalkulacije'!$B$15</f>
        <v>Materijali:</v>
      </c>
      <c r="K135" s="837"/>
      <c r="L135" s="16"/>
      <c r="M135" s="16"/>
      <c r="N135" s="238"/>
      <c r="O135" s="18">
        <f>SUM(O136:O136)</f>
        <v>0</v>
      </c>
    </row>
    <row r="136" spans="1:15" ht="25.15" customHeight="1" thickBot="1">
      <c r="A136" s="43"/>
      <c r="B136" s="863">
        <f>'Cjenik M'!$B$68</f>
        <v>0</v>
      </c>
      <c r="C136" s="863"/>
      <c r="D136" s="52">
        <f>'Cjenik M'!$C$68</f>
        <v>0</v>
      </c>
      <c r="E136" s="53">
        <v>0.33</v>
      </c>
      <c r="F136" s="260">
        <f>'Cjenik M'!$D$68</f>
        <v>0</v>
      </c>
      <c r="G136" s="55">
        <f>E136*F136</f>
        <v>0</v>
      </c>
      <c r="I136" s="43"/>
      <c r="J136" s="863">
        <f>'Cjenik M'!$B$68</f>
        <v>0</v>
      </c>
      <c r="K136" s="863"/>
      <c r="L136" s="52">
        <f>'Cjenik M'!$C$68</f>
        <v>0</v>
      </c>
      <c r="M136" s="53">
        <v>0.33</v>
      </c>
      <c r="N136" s="260">
        <f>'Cjenik M'!$D$68</f>
        <v>0</v>
      </c>
      <c r="O136" s="55">
        <f>M136*N136</f>
        <v>0</v>
      </c>
    </row>
    <row r="137" spans="1:15" ht="25.15" customHeight="1" thickTop="1" thickBot="1">
      <c r="B137" s="47"/>
      <c r="C137" s="24"/>
      <c r="D137" s="25"/>
      <c r="E137" s="850" t="str">
        <f>'Obrazac kalkulacije'!$E$18</f>
        <v>Ukupno (kn):</v>
      </c>
      <c r="F137" s="850"/>
      <c r="G137" s="26">
        <f>ROUND(SUM(G131+G133+G135),2)</f>
        <v>23.37</v>
      </c>
      <c r="H137" s="269" t="e">
        <f>SUMIF(#REF!,$B127,#REF!)</f>
        <v>#REF!</v>
      </c>
      <c r="J137" s="47"/>
      <c r="K137" s="24"/>
      <c r="L137" s="25"/>
      <c r="M137" s="850" t="str">
        <f>'Obrazac kalkulacije'!$E$18</f>
        <v>Ukupno (kn):</v>
      </c>
      <c r="N137" s="850"/>
      <c r="O137" s="26">
        <f>ROUND(SUM(O131+O133+O135),2)</f>
        <v>18.72</v>
      </c>
    </row>
    <row r="138" spans="1:15" ht="25.15" customHeight="1" thickTop="1" thickBot="1">
      <c r="E138" s="27" t="str">
        <f>'Obrazac kalkulacije'!$E$19</f>
        <v>PDV:</v>
      </c>
      <c r="F138" s="259">
        <f>'Obrazac kalkulacije'!$F$19</f>
        <v>0.25</v>
      </c>
      <c r="G138" s="29">
        <f>G137*F138</f>
        <v>5.8425000000000002</v>
      </c>
      <c r="H138" s="270" t="e">
        <f>H137-G137</f>
        <v>#REF!</v>
      </c>
      <c r="M138" s="27" t="str">
        <f>'Obrazac kalkulacije'!$E$19</f>
        <v>PDV:</v>
      </c>
      <c r="N138" s="259">
        <f>'Obrazac kalkulacije'!$F$19</f>
        <v>0.25</v>
      </c>
      <c r="O138" s="29">
        <f>O137*N138</f>
        <v>4.68</v>
      </c>
    </row>
    <row r="139" spans="1:15" ht="25.15" customHeight="1" thickTop="1" thickBot="1">
      <c r="E139" s="840" t="str">
        <f>'Obrazac kalkulacije'!$E$20</f>
        <v>Sveukupno (kn):</v>
      </c>
      <c r="F139" s="840"/>
      <c r="G139" s="29">
        <f>ROUND(SUM(G137:G138),2)</f>
        <v>29.21</v>
      </c>
      <c r="H139" s="271" t="e">
        <f>G134+H138</f>
        <v>#REF!</v>
      </c>
      <c r="M139" s="840" t="str">
        <f>'Obrazac kalkulacije'!$E$20</f>
        <v>Sveukupno (kn):</v>
      </c>
      <c r="N139" s="840"/>
      <c r="O139" s="29">
        <f>ROUND(SUM(O137:O138),2)</f>
        <v>23.4</v>
      </c>
    </row>
    <row r="140" spans="1:15" ht="15" customHeight="1" thickTop="1"/>
    <row r="141" spans="1:15" ht="15" customHeight="1"/>
    <row r="142" spans="1:15" ht="15" customHeight="1"/>
    <row r="143" spans="1:15" ht="15" customHeight="1">
      <c r="C143" s="3" t="str">
        <f>'Obrazac kalkulacije'!$C$24</f>
        <v>IZVODITELJ:</v>
      </c>
      <c r="F143" s="841" t="str">
        <f>'Obrazac kalkulacije'!$F$24</f>
        <v>NARUČITELJ:</v>
      </c>
      <c r="G143" s="841"/>
      <c r="K143" s="3" t="str">
        <f>'Obrazac kalkulacije'!$C$24</f>
        <v>IZVODITELJ:</v>
      </c>
      <c r="N143" s="841" t="str">
        <f>'Obrazac kalkulacije'!$F$24</f>
        <v>NARUČITELJ:</v>
      </c>
      <c r="O143" s="841"/>
    </row>
    <row r="144" spans="1:15" ht="25.15" customHeight="1">
      <c r="C144" s="3" t="str">
        <f>'Obrazac kalkulacije'!$C$25</f>
        <v>__________________</v>
      </c>
      <c r="F144" s="841" t="str">
        <f>'Obrazac kalkulacije'!$F$25</f>
        <v>___________________</v>
      </c>
      <c r="G144" s="841"/>
      <c r="K144" s="3" t="str">
        <f>'Obrazac kalkulacije'!$C$25</f>
        <v>__________________</v>
      </c>
      <c r="N144" s="841" t="str">
        <f>'Obrazac kalkulacije'!$F$25</f>
        <v>___________________</v>
      </c>
      <c r="O144" s="841"/>
    </row>
    <row r="145" spans="1:15" ht="15" customHeight="1">
      <c r="F145" s="841"/>
      <c r="G145" s="841"/>
      <c r="N145" s="841"/>
      <c r="O145" s="841"/>
    </row>
    <row r="146" spans="1:15" ht="15" customHeight="1"/>
    <row r="147" spans="1:15" ht="15" customHeight="1">
      <c r="A147" s="144"/>
      <c r="B147" s="145" t="s">
        <v>39</v>
      </c>
      <c r="C147" s="836" t="s">
        <v>360</v>
      </c>
      <c r="D147" s="836"/>
      <c r="E147" s="836"/>
      <c r="F147" s="836"/>
      <c r="G147" s="836"/>
      <c r="I147" s="144"/>
      <c r="J147" s="145" t="s">
        <v>39</v>
      </c>
      <c r="K147" s="836" t="s">
        <v>360</v>
      </c>
      <c r="L147" s="836"/>
      <c r="M147" s="836"/>
      <c r="N147" s="836"/>
      <c r="O147" s="836"/>
    </row>
    <row r="148" spans="1:15" ht="15" customHeight="1">
      <c r="A148" s="38"/>
      <c r="B148" s="39" t="s">
        <v>41</v>
      </c>
      <c r="C148" s="860" t="s">
        <v>361</v>
      </c>
      <c r="D148" s="860"/>
      <c r="E148" s="860"/>
      <c r="F148" s="860"/>
      <c r="G148" s="860"/>
      <c r="I148" s="38"/>
      <c r="J148" s="39" t="s">
        <v>41</v>
      </c>
      <c r="K148" s="860" t="s">
        <v>361</v>
      </c>
      <c r="L148" s="860"/>
      <c r="M148" s="860"/>
      <c r="N148" s="860"/>
      <c r="O148" s="860"/>
    </row>
    <row r="149" spans="1:15" ht="150" customHeight="1">
      <c r="A149" s="40"/>
      <c r="B149" s="556" t="s">
        <v>379</v>
      </c>
      <c r="C149" s="852" t="s">
        <v>380</v>
      </c>
      <c r="D149" s="852"/>
      <c r="E149" s="852"/>
      <c r="F149" s="852"/>
      <c r="G149" s="852"/>
      <c r="I149" s="40"/>
      <c r="J149" s="41" t="s">
        <v>379</v>
      </c>
      <c r="K149" s="869" t="s">
        <v>380</v>
      </c>
      <c r="L149" s="869"/>
      <c r="M149" s="869"/>
      <c r="N149" s="869"/>
      <c r="O149" s="869"/>
    </row>
    <row r="150" spans="1:15" ht="15" customHeight="1" thickBot="1"/>
    <row r="151" spans="1:15" ht="30" customHeight="1" thickTop="1" thickBot="1">
      <c r="A151" s="10"/>
      <c r="B151" s="835" t="str">
        <f>'Obrazac kalkulacije'!$B$6:$C$6</f>
        <v>Opis</v>
      </c>
      <c r="C151" s="835"/>
      <c r="D151" s="10" t="str">
        <f>'Obrazac kalkulacije'!$D$6</f>
        <v>Jed.
mjere</v>
      </c>
      <c r="E151" s="10" t="str">
        <f>'Obrazac kalkulacije'!$E$6</f>
        <v>Normativ</v>
      </c>
      <c r="F151" s="10" t="str">
        <f>'Obrazac kalkulacije'!$F$6</f>
        <v>Jed.
cijena</v>
      </c>
      <c r="G151" s="10" t="str">
        <f>'Obrazac kalkulacije'!$G$6</f>
        <v>Iznos</v>
      </c>
      <c r="I151" s="10"/>
      <c r="J151" s="835" t="e">
        <f>'Obrazac kalkulacije'!$B$6:$C$6</f>
        <v>#VALUE!</v>
      </c>
      <c r="K151" s="835"/>
      <c r="L151" s="10" t="str">
        <f>'Obrazac kalkulacije'!$D$6</f>
        <v>Jed.
mjere</v>
      </c>
      <c r="M151" s="10" t="str">
        <f>'Obrazac kalkulacije'!$E$6</f>
        <v>Normativ</v>
      </c>
      <c r="N151" s="10" t="str">
        <f>'Obrazac kalkulacije'!$F$6</f>
        <v>Jed.
cijena</v>
      </c>
      <c r="O151" s="10" t="str">
        <f>'Obrazac kalkulacije'!$G$6</f>
        <v>Iznos</v>
      </c>
    </row>
    <row r="152" spans="1:15" ht="4.5" customHeight="1" thickTop="1">
      <c r="B152" s="42"/>
      <c r="C152" s="1"/>
      <c r="D152" s="11"/>
      <c r="E152" s="13"/>
      <c r="F152" s="258"/>
      <c r="G152" s="15"/>
      <c r="J152" s="42"/>
      <c r="K152" s="1"/>
      <c r="L152" s="11"/>
      <c r="M152" s="13"/>
      <c r="N152" s="258"/>
      <c r="O152" s="15"/>
    </row>
    <row r="153" spans="1:15" ht="25.15" customHeight="1">
      <c r="A153" s="16"/>
      <c r="B153" s="837" t="str">
        <f>'Obrazac kalkulacije'!$B$8</f>
        <v>Radna snaga:</v>
      </c>
      <c r="C153" s="837"/>
      <c r="D153" s="16"/>
      <c r="E153" s="16"/>
      <c r="F153" s="44"/>
      <c r="G153" s="18">
        <f>SUM(G154:G154)</f>
        <v>10.503</v>
      </c>
      <c r="I153" s="16"/>
      <c r="J153" s="837" t="str">
        <f>'Obrazac kalkulacije'!$B$8</f>
        <v>Radna snaga:</v>
      </c>
      <c r="K153" s="837"/>
      <c r="L153" s="16"/>
      <c r="M153" s="16"/>
      <c r="N153" s="44"/>
      <c r="O153" s="18">
        <f>SUM(O154:O154)</f>
        <v>7.4824736476239009</v>
      </c>
    </row>
    <row r="154" spans="1:15" ht="25.15" customHeight="1">
      <c r="A154" s="32"/>
      <c r="B154" s="854" t="s">
        <v>57</v>
      </c>
      <c r="C154" s="854"/>
      <c r="D154" s="33" t="s">
        <v>51</v>
      </c>
      <c r="E154" s="34">
        <v>0.1</v>
      </c>
      <c r="F154" s="238">
        <f>SUMIF('Cjenik RS'!$C$11:$C$26,$B154,'Cjenik RS'!$D$11:$D$90)</f>
        <v>105.03</v>
      </c>
      <c r="G154" s="35">
        <f>+F154*E154</f>
        <v>10.503</v>
      </c>
      <c r="H154" s="2">
        <f>8/E154</f>
        <v>80</v>
      </c>
      <c r="I154" s="32"/>
      <c r="J154" s="854" t="s">
        <v>57</v>
      </c>
      <c r="K154" s="854"/>
      <c r="L154" s="33" t="s">
        <v>51</v>
      </c>
      <c r="M154" s="34">
        <v>7.1241299130000005E-2</v>
      </c>
      <c r="N154" s="44">
        <f>SUMIF('Cjenik RS'!$C$11:$C$26,J154,'Cjenik RS'!$D$11:$D$90)</f>
        <v>105.03</v>
      </c>
      <c r="O154" s="35">
        <f>+N154*M154</f>
        <v>7.4824736476239009</v>
      </c>
    </row>
    <row r="155" spans="1:15" ht="25.15" customHeight="1">
      <c r="A155" s="16"/>
      <c r="B155" s="837" t="str">
        <f>'Obrazac kalkulacije'!$B$11</f>
        <v>Vozila, strojevi i oprema:</v>
      </c>
      <c r="C155" s="837"/>
      <c r="D155" s="16"/>
      <c r="E155" s="16"/>
      <c r="F155" s="238">
        <f>'Obrazac kalkulacije'!$F$11</f>
        <v>0</v>
      </c>
      <c r="G155" s="18">
        <f>SUM(G156:G156)</f>
        <v>4.49</v>
      </c>
      <c r="I155" s="16"/>
      <c r="J155" s="837" t="str">
        <f>'Obrazac kalkulacije'!$B$11</f>
        <v>Vozila, strojevi i oprema:</v>
      </c>
      <c r="K155" s="837"/>
      <c r="L155" s="16"/>
      <c r="M155" s="16"/>
      <c r="N155" s="238">
        <f>'Obrazac kalkulacije'!$F$11</f>
        <v>0</v>
      </c>
      <c r="O155" s="18">
        <f>SUM(O156:O156)</f>
        <v>3.8026708</v>
      </c>
    </row>
    <row r="156" spans="1:15" ht="25.15" customHeight="1">
      <c r="A156" s="51"/>
      <c r="B156" s="863" t="s">
        <v>69</v>
      </c>
      <c r="C156" s="863"/>
      <c r="D156" s="52" t="s">
        <v>51</v>
      </c>
      <c r="E156" s="53">
        <v>2.5000000000000001E-2</v>
      </c>
      <c r="F156" s="260">
        <f>SUMIF('Cjenik VSO'!$B$9:$B$85,$B156,'Cjenik VSO'!$C$9:$C$85)</f>
        <v>179.6</v>
      </c>
      <c r="G156" s="55">
        <f>E156*F156</f>
        <v>4.49</v>
      </c>
      <c r="H156" s="2">
        <f>8/E156</f>
        <v>320</v>
      </c>
      <c r="I156" s="51"/>
      <c r="J156" s="863" t="s">
        <v>69</v>
      </c>
      <c r="K156" s="863"/>
      <c r="L156" s="52" t="s">
        <v>51</v>
      </c>
      <c r="M156" s="53">
        <v>2.1173000000000001E-2</v>
      </c>
      <c r="N156" s="260">
        <f>SUMIF('Cjenik VSO'!$B$9:$B$85,$B156,'Cjenik VSO'!$C$9:$C$85)</f>
        <v>179.6</v>
      </c>
      <c r="O156" s="55">
        <f>M156*N156</f>
        <v>3.8026708</v>
      </c>
    </row>
    <row r="157" spans="1:15" ht="25.15" customHeight="1">
      <c r="A157" s="16"/>
      <c r="B157" s="837" t="str">
        <f>'Obrazac kalkulacije'!$B$15</f>
        <v>Materijali:</v>
      </c>
      <c r="C157" s="837"/>
      <c r="D157" s="16"/>
      <c r="E157" s="16"/>
      <c r="F157" s="238"/>
      <c r="G157" s="18">
        <f>SUM(G158:G158)</f>
        <v>0</v>
      </c>
      <c r="I157" s="16"/>
      <c r="J157" s="837" t="str">
        <f>'Obrazac kalkulacije'!$B$15</f>
        <v>Materijali:</v>
      </c>
      <c r="K157" s="837"/>
      <c r="L157" s="16"/>
      <c r="M157" s="16"/>
      <c r="N157" s="238"/>
      <c r="O157" s="18">
        <f>SUM(O158:O158)</f>
        <v>0</v>
      </c>
    </row>
    <row r="158" spans="1:15" ht="25.15" customHeight="1" thickBot="1">
      <c r="A158" s="43"/>
      <c r="B158" s="863">
        <f>'Cjenik M'!$B$53</f>
        <v>0</v>
      </c>
      <c r="C158" s="863"/>
      <c r="D158" s="52">
        <f>'Cjenik M'!$C$53</f>
        <v>0</v>
      </c>
      <c r="E158" s="53">
        <v>1</v>
      </c>
      <c r="F158" s="260">
        <f>'Cjenik M'!$D$53</f>
        <v>0</v>
      </c>
      <c r="G158" s="55">
        <f>E158*F158</f>
        <v>0</v>
      </c>
      <c r="I158" s="43"/>
      <c r="J158" s="863">
        <f>'Cjenik M'!$B$53</f>
        <v>0</v>
      </c>
      <c r="K158" s="863"/>
      <c r="L158" s="52">
        <f>'Cjenik M'!$C$53</f>
        <v>0</v>
      </c>
      <c r="M158" s="53">
        <v>1</v>
      </c>
      <c r="N158" s="260">
        <f>'Cjenik M'!$D$53</f>
        <v>0</v>
      </c>
      <c r="O158" s="55">
        <f>M158*N158</f>
        <v>0</v>
      </c>
    </row>
    <row r="159" spans="1:15" ht="25.15" customHeight="1" thickTop="1" thickBot="1">
      <c r="B159" s="47"/>
      <c r="C159" s="24"/>
      <c r="D159" s="25"/>
      <c r="E159" s="850" t="str">
        <f>'Obrazac kalkulacije'!$E$18</f>
        <v>Ukupno (kn):</v>
      </c>
      <c r="F159" s="850"/>
      <c r="G159" s="26">
        <f>ROUND(SUM(G153+G155+G157),2)</f>
        <v>14.99</v>
      </c>
      <c r="H159" s="269" t="e">
        <f>SUMIF(#REF!,$B149,#REF!)</f>
        <v>#REF!</v>
      </c>
      <c r="J159" s="47"/>
      <c r="K159" s="24"/>
      <c r="L159" s="25"/>
      <c r="M159" s="850" t="str">
        <f>'Obrazac kalkulacije'!$E$18</f>
        <v>Ukupno (kn):</v>
      </c>
      <c r="N159" s="850"/>
      <c r="O159" s="26">
        <f>ROUND(SUM(O153+O155+O157),2)</f>
        <v>11.29</v>
      </c>
    </row>
    <row r="160" spans="1:15" ht="25.15" customHeight="1" thickTop="1" thickBot="1">
      <c r="E160" s="27" t="str">
        <f>'Obrazac kalkulacije'!$E$19</f>
        <v>PDV:</v>
      </c>
      <c r="F160" s="259">
        <f>'Obrazac kalkulacije'!$F$19</f>
        <v>0.25</v>
      </c>
      <c r="G160" s="29">
        <f>G159*F160</f>
        <v>3.7475000000000001</v>
      </c>
      <c r="H160" s="270" t="e">
        <f>H159-G159</f>
        <v>#REF!</v>
      </c>
      <c r="M160" s="27" t="str">
        <f>'Obrazac kalkulacije'!$E$19</f>
        <v>PDV:</v>
      </c>
      <c r="N160" s="259">
        <f>'Obrazac kalkulacije'!$F$19</f>
        <v>0.25</v>
      </c>
      <c r="O160" s="29">
        <f>O159*N160</f>
        <v>2.8224999999999998</v>
      </c>
    </row>
    <row r="161" spans="1:15" ht="25.15" customHeight="1" thickTop="1" thickBot="1">
      <c r="E161" s="840" t="str">
        <f>'Obrazac kalkulacije'!$E$20</f>
        <v>Sveukupno (kn):</v>
      </c>
      <c r="F161" s="840"/>
      <c r="G161" s="29">
        <f>ROUND(SUM(G159:G160),2)</f>
        <v>18.739999999999998</v>
      </c>
      <c r="H161" s="271" t="e">
        <f>G156+H160</f>
        <v>#REF!</v>
      </c>
      <c r="M161" s="840" t="str">
        <f>'Obrazac kalkulacije'!$E$20</f>
        <v>Sveukupno (kn):</v>
      </c>
      <c r="N161" s="840"/>
      <c r="O161" s="29">
        <f>ROUND(SUM(O159:O160),2)</f>
        <v>14.11</v>
      </c>
    </row>
    <row r="162" spans="1:15" ht="15" customHeight="1" thickTop="1"/>
    <row r="163" spans="1:15" ht="15" customHeight="1"/>
    <row r="164" spans="1:15" ht="15" customHeight="1"/>
    <row r="165" spans="1:15" ht="15" customHeight="1">
      <c r="C165" s="3" t="str">
        <f>'Obrazac kalkulacije'!$C$24</f>
        <v>IZVODITELJ:</v>
      </c>
      <c r="F165" s="841" t="str">
        <f>'Obrazac kalkulacije'!$F$24</f>
        <v>NARUČITELJ:</v>
      </c>
      <c r="G165" s="841"/>
      <c r="K165" s="3" t="str">
        <f>'Obrazac kalkulacije'!$C$24</f>
        <v>IZVODITELJ:</v>
      </c>
      <c r="N165" s="841" t="str">
        <f>'Obrazac kalkulacije'!$F$24</f>
        <v>NARUČITELJ:</v>
      </c>
      <c r="O165" s="841"/>
    </row>
    <row r="166" spans="1:15" ht="25.15" customHeight="1">
      <c r="C166" s="3" t="str">
        <f>'Obrazac kalkulacije'!$C$25</f>
        <v>__________________</v>
      </c>
      <c r="F166" s="841" t="str">
        <f>'Obrazac kalkulacije'!$F$25</f>
        <v>___________________</v>
      </c>
      <c r="G166" s="841"/>
      <c r="K166" s="3" t="str">
        <f>'Obrazac kalkulacije'!$C$25</f>
        <v>__________________</v>
      </c>
      <c r="N166" s="841" t="str">
        <f>'Obrazac kalkulacije'!$F$25</f>
        <v>___________________</v>
      </c>
      <c r="O166" s="841"/>
    </row>
    <row r="167" spans="1:15" ht="15" customHeight="1">
      <c r="F167" s="841"/>
      <c r="G167" s="841"/>
      <c r="N167" s="841"/>
      <c r="O167" s="841"/>
    </row>
    <row r="168" spans="1:15" ht="15" customHeight="1"/>
    <row r="169" spans="1:15" ht="15" customHeight="1">
      <c r="A169" s="144"/>
      <c r="B169" s="145" t="s">
        <v>39</v>
      </c>
      <c r="C169" s="836" t="s">
        <v>360</v>
      </c>
      <c r="D169" s="836"/>
      <c r="E169" s="836"/>
      <c r="F169" s="836"/>
      <c r="G169" s="836"/>
      <c r="I169" s="144"/>
      <c r="J169" s="145" t="s">
        <v>39</v>
      </c>
      <c r="K169" s="836" t="s">
        <v>360</v>
      </c>
      <c r="L169" s="836"/>
      <c r="M169" s="836"/>
      <c r="N169" s="836"/>
      <c r="O169" s="836"/>
    </row>
    <row r="170" spans="1:15" ht="15" customHeight="1">
      <c r="A170" s="38"/>
      <c r="B170" s="39" t="s">
        <v>41</v>
      </c>
      <c r="C170" s="860" t="s">
        <v>361</v>
      </c>
      <c r="D170" s="860"/>
      <c r="E170" s="860"/>
      <c r="F170" s="860"/>
      <c r="G170" s="860"/>
      <c r="I170" s="38"/>
      <c r="J170" s="39" t="s">
        <v>41</v>
      </c>
      <c r="K170" s="860" t="s">
        <v>361</v>
      </c>
      <c r="L170" s="860"/>
      <c r="M170" s="860"/>
      <c r="N170" s="860"/>
      <c r="O170" s="860"/>
    </row>
    <row r="171" spans="1:15" ht="150" customHeight="1">
      <c r="A171" s="40"/>
      <c r="B171" s="556" t="s">
        <v>381</v>
      </c>
      <c r="C171" s="852" t="s">
        <v>382</v>
      </c>
      <c r="D171" s="852"/>
      <c r="E171" s="852"/>
      <c r="F171" s="852"/>
      <c r="G171" s="852"/>
      <c r="I171" s="40"/>
      <c r="J171" s="41" t="s">
        <v>381</v>
      </c>
      <c r="K171" s="869" t="s">
        <v>383</v>
      </c>
      <c r="L171" s="869"/>
      <c r="M171" s="869"/>
      <c r="N171" s="869"/>
      <c r="O171" s="869"/>
    </row>
    <row r="172" spans="1:15" ht="15" customHeight="1" thickBot="1"/>
    <row r="173" spans="1:15" ht="30" customHeight="1" thickTop="1" thickBot="1">
      <c r="A173" s="10"/>
      <c r="B173" s="835" t="str">
        <f>'Obrazac kalkulacije'!$B$6:$C$6</f>
        <v>Opis</v>
      </c>
      <c r="C173" s="835"/>
      <c r="D173" s="10" t="str">
        <f>'Obrazac kalkulacije'!$D$6</f>
        <v>Jed.
mjere</v>
      </c>
      <c r="E173" s="10" t="str">
        <f>'Obrazac kalkulacije'!$E$6</f>
        <v>Normativ</v>
      </c>
      <c r="F173" s="10" t="str">
        <f>'Obrazac kalkulacije'!$F$6</f>
        <v>Jed.
cijena</v>
      </c>
      <c r="G173" s="10" t="str">
        <f>'Obrazac kalkulacije'!$G$6</f>
        <v>Iznos</v>
      </c>
      <c r="I173" s="10"/>
      <c r="J173" s="835" t="e">
        <f>'Obrazac kalkulacije'!$B$6:$C$6</f>
        <v>#VALUE!</v>
      </c>
      <c r="K173" s="835"/>
      <c r="L173" s="10" t="str">
        <f>'Obrazac kalkulacije'!$D$6</f>
        <v>Jed.
mjere</v>
      </c>
      <c r="M173" s="10" t="str">
        <f>'Obrazac kalkulacije'!$E$6</f>
        <v>Normativ</v>
      </c>
      <c r="N173" s="10" t="str">
        <f>'Obrazac kalkulacije'!$F$6</f>
        <v>Jed.
cijena</v>
      </c>
      <c r="O173" s="10" t="str">
        <f>'Obrazac kalkulacije'!$G$6</f>
        <v>Iznos</v>
      </c>
    </row>
    <row r="174" spans="1:15" ht="4.5" customHeight="1" thickTop="1">
      <c r="B174" s="42"/>
      <c r="C174" s="1"/>
      <c r="D174" s="11"/>
      <c r="E174" s="13"/>
      <c r="F174" s="258"/>
      <c r="G174" s="15"/>
      <c r="J174" s="42"/>
      <c r="K174" s="1"/>
      <c r="L174" s="11"/>
      <c r="M174" s="13"/>
      <c r="N174" s="258"/>
      <c r="O174" s="15"/>
    </row>
    <row r="175" spans="1:15" ht="25.15" customHeight="1">
      <c r="A175" s="16"/>
      <c r="B175" s="837" t="str">
        <f>'Obrazac kalkulacije'!$B$8</f>
        <v>Radna snaga:</v>
      </c>
      <c r="C175" s="837"/>
      <c r="D175" s="16"/>
      <c r="E175" s="16"/>
      <c r="F175" s="44"/>
      <c r="G175" s="18">
        <f>SUM(G176:G176)</f>
        <v>26.2575</v>
      </c>
      <c r="I175" s="16"/>
      <c r="J175" s="837" t="str">
        <f>'Obrazac kalkulacije'!$B$8</f>
        <v>Radna snaga:</v>
      </c>
      <c r="K175" s="837"/>
      <c r="L175" s="16"/>
      <c r="M175" s="16"/>
      <c r="N175" s="44"/>
      <c r="O175" s="18">
        <f>SUM(O176:O176)</f>
        <v>20.027120399999998</v>
      </c>
    </row>
    <row r="176" spans="1:15" ht="25.15" customHeight="1">
      <c r="A176" s="32"/>
      <c r="B176" s="854" t="s">
        <v>57</v>
      </c>
      <c r="C176" s="854"/>
      <c r="D176" s="33" t="s">
        <v>51</v>
      </c>
      <c r="E176" s="34">
        <v>0.25</v>
      </c>
      <c r="F176" s="238">
        <f>SUMIF('Cjenik RS'!$C$11:$C$26,$B176,'Cjenik RS'!$D$11:$D$90)</f>
        <v>105.03</v>
      </c>
      <c r="G176" s="35">
        <f>+F176*E176</f>
        <v>26.2575</v>
      </c>
      <c r="I176" s="32"/>
      <c r="J176" s="854" t="s">
        <v>57</v>
      </c>
      <c r="K176" s="854"/>
      <c r="L176" s="33" t="s">
        <v>51</v>
      </c>
      <c r="M176" s="34">
        <v>0.19067999999999999</v>
      </c>
      <c r="N176" s="44">
        <f>SUMIF('Cjenik RS'!$C$11:$C$26,J176,'Cjenik RS'!$D$11:$D$90)</f>
        <v>105.03</v>
      </c>
      <c r="O176" s="35">
        <f>+N176*M176</f>
        <v>20.027120399999998</v>
      </c>
    </row>
    <row r="177" spans="1:15" ht="25.15" customHeight="1">
      <c r="A177" s="16"/>
      <c r="B177" s="837" t="str">
        <f>'Obrazac kalkulacije'!$B$11</f>
        <v>Vozila, strojevi i oprema:</v>
      </c>
      <c r="C177" s="837"/>
      <c r="D177" s="16"/>
      <c r="E177" s="16"/>
      <c r="F177" s="238">
        <f>'Obrazac kalkulacije'!$F$11</f>
        <v>0</v>
      </c>
      <c r="G177" s="18">
        <f>SUM(G178:G178)</f>
        <v>4.49</v>
      </c>
      <c r="I177" s="16"/>
      <c r="J177" s="837" t="str">
        <f>'Obrazac kalkulacije'!$B$11</f>
        <v>Vozila, strojevi i oprema:</v>
      </c>
      <c r="K177" s="837"/>
      <c r="L177" s="16"/>
      <c r="M177" s="16"/>
      <c r="N177" s="238">
        <f>'Obrazac kalkulacije'!$F$11</f>
        <v>0</v>
      </c>
      <c r="O177" s="18">
        <f>SUM(O178:O178)</f>
        <v>3.2105295999999997</v>
      </c>
    </row>
    <row r="178" spans="1:15" ht="25.15" customHeight="1">
      <c r="A178" s="51"/>
      <c r="B178" s="863" t="s">
        <v>69</v>
      </c>
      <c r="C178" s="863"/>
      <c r="D178" s="52" t="s">
        <v>51</v>
      </c>
      <c r="E178" s="53">
        <v>2.5000000000000001E-2</v>
      </c>
      <c r="F178" s="260">
        <f>SUMIF('Cjenik VSO'!$B$9:$B$85,$B178,'Cjenik VSO'!$C$9:$C$85)</f>
        <v>179.6</v>
      </c>
      <c r="G178" s="55">
        <f>E178*F178</f>
        <v>4.49</v>
      </c>
      <c r="I178" s="51"/>
      <c r="J178" s="863" t="s">
        <v>69</v>
      </c>
      <c r="K178" s="863"/>
      <c r="L178" s="52" t="s">
        <v>51</v>
      </c>
      <c r="M178" s="53">
        <v>1.7876E-2</v>
      </c>
      <c r="N178" s="260">
        <f>SUMIF('Cjenik VSO'!$B$9:$B$85,$B178,'Cjenik VSO'!$C$9:$C$85)</f>
        <v>179.6</v>
      </c>
      <c r="O178" s="55">
        <f>M178*N178</f>
        <v>3.2105295999999997</v>
      </c>
    </row>
    <row r="179" spans="1:15" ht="25.15" customHeight="1">
      <c r="A179" s="16"/>
      <c r="B179" s="837" t="str">
        <f>'Obrazac kalkulacije'!$B$15</f>
        <v>Materijali:</v>
      </c>
      <c r="C179" s="837"/>
      <c r="D179" s="16"/>
      <c r="E179" s="16"/>
      <c r="F179" s="238"/>
      <c r="G179" s="18">
        <f>SUM(G180:G181)</f>
        <v>0</v>
      </c>
      <c r="I179" s="16"/>
      <c r="J179" s="837" t="str">
        <f>'Obrazac kalkulacije'!$B$15</f>
        <v>Materijali:</v>
      </c>
      <c r="K179" s="837"/>
      <c r="L179" s="16"/>
      <c r="M179" s="16"/>
      <c r="N179" s="238"/>
      <c r="O179" s="18">
        <f>SUM(O180:O181)</f>
        <v>0</v>
      </c>
    </row>
    <row r="180" spans="1:15" ht="25.15" customHeight="1">
      <c r="A180" s="51"/>
      <c r="B180" s="863">
        <f>'Cjenik M'!$B$52</f>
        <v>0</v>
      </c>
      <c r="C180" s="863"/>
      <c r="D180" s="52">
        <f>'Cjenik M'!$C$52</f>
        <v>0</v>
      </c>
      <c r="E180" s="53">
        <v>0.25</v>
      </c>
      <c r="F180" s="260">
        <f>'Cjenik M'!$D$52</f>
        <v>0</v>
      </c>
      <c r="G180" s="55">
        <f>E180*F180</f>
        <v>0</v>
      </c>
      <c r="I180" s="51"/>
      <c r="J180" s="863">
        <f>'Cjenik M'!$B$52</f>
        <v>0</v>
      </c>
      <c r="K180" s="863"/>
      <c r="L180" s="52">
        <f>'Cjenik M'!$C$52</f>
        <v>0</v>
      </c>
      <c r="M180" s="53">
        <v>0.25</v>
      </c>
      <c r="N180" s="260">
        <f>'Cjenik M'!$D$52</f>
        <v>0</v>
      </c>
      <c r="O180" s="55">
        <f>M180*N180</f>
        <v>0</v>
      </c>
    </row>
    <row r="181" spans="1:15" ht="25.15" customHeight="1" thickBot="1">
      <c r="A181" s="66"/>
      <c r="B181" s="859">
        <f>'Cjenik M'!$B$68</f>
        <v>0</v>
      </c>
      <c r="C181" s="859"/>
      <c r="D181" s="67">
        <f>'Cjenik M'!$C$68</f>
        <v>0</v>
      </c>
      <c r="E181" s="68">
        <v>1.8</v>
      </c>
      <c r="F181" s="262">
        <f>'Cjenik M'!$D$68</f>
        <v>0</v>
      </c>
      <c r="G181" s="70">
        <f>E181*F181</f>
        <v>0</v>
      </c>
      <c r="I181" s="66"/>
      <c r="J181" s="859">
        <f>'Cjenik M'!$B$68</f>
        <v>0</v>
      </c>
      <c r="K181" s="859"/>
      <c r="L181" s="67">
        <f>'Cjenik M'!$C$68</f>
        <v>0</v>
      </c>
      <c r="M181" s="68">
        <v>1.8</v>
      </c>
      <c r="N181" s="262">
        <f>'Cjenik M'!$D$68</f>
        <v>0</v>
      </c>
      <c r="O181" s="70">
        <f>M181*N181</f>
        <v>0</v>
      </c>
    </row>
    <row r="182" spans="1:15" ht="25.15" customHeight="1" thickTop="1" thickBot="1">
      <c r="B182" s="47"/>
      <c r="C182" s="24"/>
      <c r="D182" s="25"/>
      <c r="E182" s="850" t="str">
        <f>'Obrazac kalkulacije'!$E$18</f>
        <v>Ukupno (kn):</v>
      </c>
      <c r="F182" s="850"/>
      <c r="G182" s="26">
        <f>ROUND(SUM(G175+G177+G179),2)</f>
        <v>30.75</v>
      </c>
      <c r="H182" s="269" t="e">
        <f>SUMIF(#REF!,$B171,#REF!)</f>
        <v>#REF!</v>
      </c>
      <c r="J182" s="47"/>
      <c r="K182" s="24"/>
      <c r="L182" s="25"/>
      <c r="M182" s="850" t="str">
        <f>'Obrazac kalkulacije'!$E$18</f>
        <v>Ukupno (kn):</v>
      </c>
      <c r="N182" s="850"/>
      <c r="O182" s="26">
        <f>ROUND(SUM(O175+O177+O179),2)</f>
        <v>23.24</v>
      </c>
    </row>
    <row r="183" spans="1:15" ht="25.15" customHeight="1" thickTop="1" thickBot="1">
      <c r="E183" s="27" t="str">
        <f>'Obrazac kalkulacije'!$E$19</f>
        <v>PDV:</v>
      </c>
      <c r="F183" s="259">
        <f>'Obrazac kalkulacije'!$F$19</f>
        <v>0.25</v>
      </c>
      <c r="G183" s="29">
        <f>G182*F183</f>
        <v>7.6875</v>
      </c>
      <c r="H183" s="270" t="e">
        <f>H182-G182</f>
        <v>#REF!</v>
      </c>
      <c r="M183" s="27" t="str">
        <f>'Obrazac kalkulacije'!$E$19</f>
        <v>PDV:</v>
      </c>
      <c r="N183" s="259">
        <f>'Obrazac kalkulacije'!$F$19</f>
        <v>0.25</v>
      </c>
      <c r="O183" s="29">
        <f>O182*N183</f>
        <v>5.81</v>
      </c>
    </row>
    <row r="184" spans="1:15" ht="25.15" customHeight="1" thickTop="1" thickBot="1">
      <c r="E184" s="840" t="str">
        <f>'Obrazac kalkulacije'!$E$20</f>
        <v>Sveukupno (kn):</v>
      </c>
      <c r="F184" s="840"/>
      <c r="G184" s="29">
        <f>ROUND(SUM(G182:G183),2)</f>
        <v>38.44</v>
      </c>
      <c r="H184" s="271" t="e">
        <f>G178+H183</f>
        <v>#REF!</v>
      </c>
      <c r="M184" s="840" t="str">
        <f>'Obrazac kalkulacije'!$E$20</f>
        <v>Sveukupno (kn):</v>
      </c>
      <c r="N184" s="840"/>
      <c r="O184" s="29">
        <f>ROUND(SUM(O182:O183),2)</f>
        <v>29.05</v>
      </c>
    </row>
    <row r="185" spans="1:15" ht="15" customHeight="1" thickTop="1"/>
    <row r="186" spans="1:15" ht="15" customHeight="1"/>
    <row r="187" spans="1:15" ht="15" customHeight="1"/>
    <row r="188" spans="1:15" ht="15" customHeight="1">
      <c r="C188" s="3" t="str">
        <f>'Obrazac kalkulacije'!$C$24</f>
        <v>IZVODITELJ:</v>
      </c>
      <c r="F188" s="841" t="str">
        <f>'Obrazac kalkulacije'!$F$24</f>
        <v>NARUČITELJ:</v>
      </c>
      <c r="G188" s="841"/>
      <c r="K188" s="3" t="str">
        <f>'Obrazac kalkulacije'!$C$24</f>
        <v>IZVODITELJ:</v>
      </c>
      <c r="N188" s="841" t="str">
        <f>'Obrazac kalkulacije'!$F$24</f>
        <v>NARUČITELJ:</v>
      </c>
      <c r="O188" s="841"/>
    </row>
    <row r="189" spans="1:15" ht="25.15" customHeight="1">
      <c r="C189" s="3" t="str">
        <f>'Obrazac kalkulacije'!$C$25</f>
        <v>__________________</v>
      </c>
      <c r="F189" s="841" t="str">
        <f>'Obrazac kalkulacije'!$F$25</f>
        <v>___________________</v>
      </c>
      <c r="G189" s="841"/>
      <c r="K189" s="3" t="str">
        <f>'Obrazac kalkulacije'!$C$25</f>
        <v>__________________</v>
      </c>
      <c r="N189" s="841" t="str">
        <f>'Obrazac kalkulacije'!$F$25</f>
        <v>___________________</v>
      </c>
      <c r="O189" s="841"/>
    </row>
    <row r="190" spans="1:15" ht="15" customHeight="1">
      <c r="F190" s="841"/>
      <c r="G190" s="841"/>
      <c r="N190" s="841"/>
      <c r="O190" s="841"/>
    </row>
    <row r="191" spans="1:15" ht="15" customHeight="1"/>
    <row r="192" spans="1:15" ht="15" customHeight="1">
      <c r="A192" s="144"/>
      <c r="B192" s="145" t="s">
        <v>39</v>
      </c>
      <c r="C192" s="836" t="s">
        <v>360</v>
      </c>
      <c r="D192" s="836"/>
      <c r="E192" s="836"/>
      <c r="F192" s="836"/>
      <c r="G192" s="836"/>
      <c r="I192" s="144"/>
      <c r="J192" s="145" t="s">
        <v>39</v>
      </c>
      <c r="K192" s="836" t="s">
        <v>360</v>
      </c>
      <c r="L192" s="836"/>
      <c r="M192" s="836"/>
      <c r="N192" s="836"/>
      <c r="O192" s="836"/>
    </row>
    <row r="193" spans="1:15" ht="15" customHeight="1">
      <c r="A193" s="38"/>
      <c r="B193" s="39" t="s">
        <v>41</v>
      </c>
      <c r="C193" s="860" t="s">
        <v>361</v>
      </c>
      <c r="D193" s="860"/>
      <c r="E193" s="860"/>
      <c r="F193" s="860"/>
      <c r="G193" s="860"/>
      <c r="I193" s="38"/>
      <c r="J193" s="39" t="s">
        <v>41</v>
      </c>
      <c r="K193" s="860" t="s">
        <v>361</v>
      </c>
      <c r="L193" s="860"/>
      <c r="M193" s="860"/>
      <c r="N193" s="860"/>
      <c r="O193" s="860"/>
    </row>
    <row r="194" spans="1:15" ht="150" customHeight="1">
      <c r="A194" s="40"/>
      <c r="B194" s="556" t="s">
        <v>384</v>
      </c>
      <c r="C194" s="852" t="s">
        <v>385</v>
      </c>
      <c r="D194" s="852"/>
      <c r="E194" s="852"/>
      <c r="F194" s="852"/>
      <c r="G194" s="852"/>
      <c r="I194" s="40"/>
      <c r="J194" s="41" t="s">
        <v>384</v>
      </c>
      <c r="K194" s="869" t="s">
        <v>385</v>
      </c>
      <c r="L194" s="869"/>
      <c r="M194" s="869"/>
      <c r="N194" s="869"/>
      <c r="O194" s="869"/>
    </row>
    <row r="195" spans="1:15" ht="15" customHeight="1" thickBot="1"/>
    <row r="196" spans="1:15" ht="30" customHeight="1" thickTop="1" thickBot="1">
      <c r="A196" s="10"/>
      <c r="B196" s="835" t="str">
        <f>'Obrazac kalkulacije'!$B$6:$C$6</f>
        <v>Opis</v>
      </c>
      <c r="C196" s="835"/>
      <c r="D196" s="10" t="str">
        <f>'Obrazac kalkulacije'!$D$6</f>
        <v>Jed.
mjere</v>
      </c>
      <c r="E196" s="10" t="str">
        <f>'Obrazac kalkulacije'!$E$6</f>
        <v>Normativ</v>
      </c>
      <c r="F196" s="10" t="str">
        <f>'Obrazac kalkulacije'!$F$6</f>
        <v>Jed.
cijena</v>
      </c>
      <c r="G196" s="10" t="str">
        <f>'Obrazac kalkulacije'!$G$6</f>
        <v>Iznos</v>
      </c>
      <c r="I196" s="10"/>
      <c r="J196" s="835" t="e">
        <f>'Obrazac kalkulacije'!$B$6:$C$6</f>
        <v>#VALUE!</v>
      </c>
      <c r="K196" s="835"/>
      <c r="L196" s="10" t="str">
        <f>'Obrazac kalkulacije'!$D$6</f>
        <v>Jed.
mjere</v>
      </c>
      <c r="M196" s="10" t="str">
        <f>'Obrazac kalkulacije'!$E$6</f>
        <v>Normativ</v>
      </c>
      <c r="N196" s="10" t="str">
        <f>'Obrazac kalkulacije'!$F$6</f>
        <v>Jed.
cijena</v>
      </c>
      <c r="O196" s="10" t="str">
        <f>'Obrazac kalkulacije'!$G$6</f>
        <v>Iznos</v>
      </c>
    </row>
    <row r="197" spans="1:15" ht="4.5" customHeight="1" thickTop="1">
      <c r="B197" s="42"/>
      <c r="C197" s="1"/>
      <c r="D197" s="11"/>
      <c r="E197" s="13"/>
      <c r="F197" s="258"/>
      <c r="G197" s="15"/>
      <c r="J197" s="42"/>
      <c r="K197" s="1"/>
      <c r="L197" s="11"/>
      <c r="M197" s="13"/>
      <c r="N197" s="258"/>
      <c r="O197" s="15"/>
    </row>
    <row r="198" spans="1:15" ht="25.15" customHeight="1">
      <c r="A198" s="16"/>
      <c r="B198" s="837" t="str">
        <f>'Obrazac kalkulacije'!$B$8</f>
        <v>Radna snaga:</v>
      </c>
      <c r="C198" s="837"/>
      <c r="D198" s="16"/>
      <c r="E198" s="16"/>
      <c r="F198" s="44"/>
      <c r="G198" s="18">
        <f>SUM(G199:G199)</f>
        <v>21.006</v>
      </c>
      <c r="I198" s="16"/>
      <c r="J198" s="837" t="str">
        <f>'Obrazac kalkulacije'!$B$8</f>
        <v>Radna snaga:</v>
      </c>
      <c r="K198" s="837"/>
      <c r="L198" s="16"/>
      <c r="M198" s="16"/>
      <c r="N198" s="44"/>
      <c r="O198" s="18">
        <f>SUM(O199:O199)</f>
        <v>16.290153</v>
      </c>
    </row>
    <row r="199" spans="1:15" ht="25.15" customHeight="1">
      <c r="A199" s="32"/>
      <c r="B199" s="854" t="s">
        <v>57</v>
      </c>
      <c r="C199" s="854"/>
      <c r="D199" s="33" t="s">
        <v>51</v>
      </c>
      <c r="E199" s="34">
        <v>0.2</v>
      </c>
      <c r="F199" s="238">
        <f>SUMIF('Cjenik RS'!$C$11:$C$26,$B199,'Cjenik RS'!$D$11:$D$90)</f>
        <v>105.03</v>
      </c>
      <c r="G199" s="35">
        <f>+F199*E199</f>
        <v>21.006</v>
      </c>
      <c r="I199" s="32"/>
      <c r="J199" s="854" t="s">
        <v>57</v>
      </c>
      <c r="K199" s="854"/>
      <c r="L199" s="33" t="s">
        <v>51</v>
      </c>
      <c r="M199" s="34">
        <v>0.15509999999999999</v>
      </c>
      <c r="N199" s="44">
        <f>SUMIF('Cjenik RS'!$C$11:$C$26,J199,'Cjenik RS'!$D$11:$D$90)</f>
        <v>105.03</v>
      </c>
      <c r="O199" s="35">
        <f>+N199*M199</f>
        <v>16.290153</v>
      </c>
    </row>
    <row r="200" spans="1:15" ht="25.15" customHeight="1">
      <c r="A200" s="16"/>
      <c r="B200" s="837" t="str">
        <f>'Obrazac kalkulacije'!$B$11</f>
        <v>Vozila, strojevi i oprema:</v>
      </c>
      <c r="C200" s="837"/>
      <c r="D200" s="16"/>
      <c r="E200" s="16"/>
      <c r="F200" s="238">
        <f>'Obrazac kalkulacije'!$F$11</f>
        <v>0</v>
      </c>
      <c r="G200" s="18">
        <f>SUM(G201:G201)</f>
        <v>8.98</v>
      </c>
      <c r="I200" s="16"/>
      <c r="J200" s="837" t="str">
        <f>'Obrazac kalkulacije'!$B$11</f>
        <v>Vozila, strojevi i oprema:</v>
      </c>
      <c r="K200" s="837"/>
      <c r="L200" s="16"/>
      <c r="M200" s="16"/>
      <c r="N200" s="238">
        <f>'Obrazac kalkulacije'!$F$11</f>
        <v>0</v>
      </c>
      <c r="O200" s="18">
        <f>SUM(O201:O201)</f>
        <v>7.6342572000000004</v>
      </c>
    </row>
    <row r="201" spans="1:15" ht="25.15" customHeight="1">
      <c r="A201" s="51"/>
      <c r="B201" s="863" t="s">
        <v>69</v>
      </c>
      <c r="C201" s="863"/>
      <c r="D201" s="52" t="s">
        <v>51</v>
      </c>
      <c r="E201" s="53">
        <v>0.05</v>
      </c>
      <c r="F201" s="260">
        <f>SUMIF('Cjenik VSO'!$B$9:$B$85,$B201,'Cjenik VSO'!$C$9:$C$85)</f>
        <v>179.6</v>
      </c>
      <c r="G201" s="55">
        <f>E201*F201</f>
        <v>8.98</v>
      </c>
      <c r="I201" s="51"/>
      <c r="J201" s="863" t="s">
        <v>69</v>
      </c>
      <c r="K201" s="863"/>
      <c r="L201" s="52" t="s">
        <v>51</v>
      </c>
      <c r="M201" s="53">
        <v>4.2507000000000003E-2</v>
      </c>
      <c r="N201" s="260">
        <f>SUMIF('Cjenik VSO'!$B$9:$B$85,$B201,'Cjenik VSO'!$C$9:$C$85)</f>
        <v>179.6</v>
      </c>
      <c r="O201" s="55">
        <f>M201*N201</f>
        <v>7.6342572000000004</v>
      </c>
    </row>
    <row r="202" spans="1:15" ht="25.15" customHeight="1">
      <c r="A202" s="16"/>
      <c r="B202" s="837" t="str">
        <f>'Obrazac kalkulacije'!$B$15</f>
        <v>Materijali:</v>
      </c>
      <c r="C202" s="837"/>
      <c r="D202" s="16"/>
      <c r="E202" s="16"/>
      <c r="F202" s="238"/>
      <c r="G202" s="18">
        <f>SUM(G203:G204)</f>
        <v>0</v>
      </c>
      <c r="I202" s="16"/>
      <c r="J202" s="837" t="str">
        <f>'Obrazac kalkulacije'!$B$15</f>
        <v>Materijali:</v>
      </c>
      <c r="K202" s="837"/>
      <c r="L202" s="16"/>
      <c r="M202" s="16"/>
      <c r="N202" s="238"/>
      <c r="O202" s="18">
        <f>SUM(O203:O204)</f>
        <v>0</v>
      </c>
    </row>
    <row r="203" spans="1:15" ht="25.15" customHeight="1">
      <c r="A203" s="51"/>
      <c r="B203" s="863">
        <f>'Cjenik M'!$B$108</f>
        <v>0</v>
      </c>
      <c r="C203" s="863"/>
      <c r="D203" s="52">
        <f>'Cjenik M'!$C$108</f>
        <v>0</v>
      </c>
      <c r="E203" s="53">
        <v>6.6000000000000003E-2</v>
      </c>
      <c r="F203" s="260">
        <f>'Cjenik M'!$D$108</f>
        <v>0</v>
      </c>
      <c r="G203" s="55">
        <f>E203*F203</f>
        <v>0</v>
      </c>
      <c r="I203" s="51"/>
      <c r="J203" s="863">
        <f>'Cjenik M'!$B$108</f>
        <v>0</v>
      </c>
      <c r="K203" s="863"/>
      <c r="L203" s="52">
        <f>'Cjenik M'!$C$108</f>
        <v>0</v>
      </c>
      <c r="M203" s="53">
        <v>6.6000000000000003E-2</v>
      </c>
      <c r="N203" s="260">
        <f>'Cjenik M'!$D$108</f>
        <v>0</v>
      </c>
      <c r="O203" s="55">
        <f>M203*N203</f>
        <v>0</v>
      </c>
    </row>
    <row r="204" spans="1:15" ht="25.15" customHeight="1" thickBot="1">
      <c r="A204" s="66"/>
      <c r="B204" s="859">
        <f>'Cjenik M'!$B$105</f>
        <v>0</v>
      </c>
      <c r="C204" s="859"/>
      <c r="D204" s="67">
        <f>'Cjenik M'!$C$105</f>
        <v>0</v>
      </c>
      <c r="E204" s="68">
        <v>0.01</v>
      </c>
      <c r="F204" s="262">
        <f>'Cjenik M'!$D$105</f>
        <v>0</v>
      </c>
      <c r="G204" s="70">
        <f>E204*F204</f>
        <v>0</v>
      </c>
      <c r="I204" s="66"/>
      <c r="J204" s="859">
        <f>'Cjenik M'!$B$105</f>
        <v>0</v>
      </c>
      <c r="K204" s="859"/>
      <c r="L204" s="67">
        <f>'Cjenik M'!$C$105</f>
        <v>0</v>
      </c>
      <c r="M204" s="68">
        <v>0.01</v>
      </c>
      <c r="N204" s="262">
        <f>'Cjenik M'!$D$105</f>
        <v>0</v>
      </c>
      <c r="O204" s="70">
        <f>M204*N204</f>
        <v>0</v>
      </c>
    </row>
    <row r="205" spans="1:15" ht="25.15" customHeight="1" thickTop="1" thickBot="1">
      <c r="B205" s="47"/>
      <c r="C205" s="24"/>
      <c r="D205" s="25"/>
      <c r="E205" s="850" t="str">
        <f>'Obrazac kalkulacije'!$E$18</f>
        <v>Ukupno (kn):</v>
      </c>
      <c r="F205" s="850"/>
      <c r="G205" s="26">
        <f>ROUND(SUM(G198+G200+G202),2)</f>
        <v>29.99</v>
      </c>
      <c r="H205" s="269" t="e">
        <f>SUMIF(#REF!,$B194,#REF!)</f>
        <v>#REF!</v>
      </c>
      <c r="J205" s="47"/>
      <c r="K205" s="24"/>
      <c r="L205" s="25"/>
      <c r="M205" s="850" t="str">
        <f>'Obrazac kalkulacije'!$E$18</f>
        <v>Ukupno (kn):</v>
      </c>
      <c r="N205" s="850"/>
      <c r="O205" s="26">
        <f>ROUND(SUM(O198+O200+O202),2)</f>
        <v>23.92</v>
      </c>
    </row>
    <row r="206" spans="1:15" ht="25.15" customHeight="1" thickTop="1" thickBot="1">
      <c r="E206" s="27" t="str">
        <f>'Obrazac kalkulacije'!$E$19</f>
        <v>PDV:</v>
      </c>
      <c r="F206" s="259">
        <f>'Obrazac kalkulacije'!$F$19</f>
        <v>0.25</v>
      </c>
      <c r="G206" s="29">
        <f>G205*F206</f>
        <v>7.4974999999999996</v>
      </c>
      <c r="H206" s="270" t="e">
        <f>H205-G205</f>
        <v>#REF!</v>
      </c>
      <c r="M206" s="27" t="str">
        <f>'Obrazac kalkulacije'!$E$19</f>
        <v>PDV:</v>
      </c>
      <c r="N206" s="259">
        <f>'Obrazac kalkulacije'!$F$19</f>
        <v>0.25</v>
      </c>
      <c r="O206" s="29">
        <f>O205*N206</f>
        <v>5.98</v>
      </c>
    </row>
    <row r="207" spans="1:15" ht="25.15" customHeight="1" thickTop="1" thickBot="1">
      <c r="E207" s="840" t="str">
        <f>'Obrazac kalkulacije'!$E$20</f>
        <v>Sveukupno (kn):</v>
      </c>
      <c r="F207" s="840"/>
      <c r="G207" s="29">
        <f>ROUND(SUM(G205:G206),2)</f>
        <v>37.49</v>
      </c>
      <c r="H207" s="271" t="e">
        <f>G201+H206</f>
        <v>#REF!</v>
      </c>
      <c r="M207" s="840" t="str">
        <f>'Obrazac kalkulacije'!$E$20</f>
        <v>Sveukupno (kn):</v>
      </c>
      <c r="N207" s="840"/>
      <c r="O207" s="29">
        <f>ROUND(SUM(O205:O206),2)</f>
        <v>29.9</v>
      </c>
    </row>
    <row r="208" spans="1:15" ht="15" customHeight="1" thickTop="1"/>
    <row r="209" spans="1:15" ht="15" customHeight="1"/>
    <row r="210" spans="1:15" ht="15" customHeight="1"/>
    <row r="211" spans="1:15" ht="15" customHeight="1">
      <c r="C211" s="3" t="str">
        <f>'Obrazac kalkulacije'!$C$24</f>
        <v>IZVODITELJ:</v>
      </c>
      <c r="F211" s="841" t="str">
        <f>'Obrazac kalkulacije'!$F$24</f>
        <v>NARUČITELJ:</v>
      </c>
      <c r="G211" s="841"/>
      <c r="K211" s="3" t="str">
        <f>'Obrazac kalkulacije'!$C$24</f>
        <v>IZVODITELJ:</v>
      </c>
      <c r="N211" s="841" t="str">
        <f>'Obrazac kalkulacije'!$F$24</f>
        <v>NARUČITELJ:</v>
      </c>
      <c r="O211" s="841"/>
    </row>
    <row r="212" spans="1:15">
      <c r="C212" s="3" t="str">
        <f>'Obrazac kalkulacije'!$C$25</f>
        <v>__________________</v>
      </c>
      <c r="F212" s="841" t="str">
        <f>'Obrazac kalkulacije'!$F$25</f>
        <v>___________________</v>
      </c>
      <c r="G212" s="841"/>
      <c r="K212" s="3" t="str">
        <f>'Obrazac kalkulacije'!$C$25</f>
        <v>__________________</v>
      </c>
      <c r="N212" s="841" t="str">
        <f>'Obrazac kalkulacije'!$F$25</f>
        <v>___________________</v>
      </c>
      <c r="O212" s="841"/>
    </row>
    <row r="213" spans="1:15" ht="15" customHeight="1">
      <c r="F213" s="841"/>
      <c r="G213" s="841"/>
      <c r="N213" s="841"/>
      <c r="O213" s="841"/>
    </row>
    <row r="214" spans="1:15" ht="15" customHeight="1"/>
    <row r="215" spans="1:15" ht="15" customHeight="1">
      <c r="A215" s="144"/>
      <c r="B215" s="145" t="s">
        <v>39</v>
      </c>
      <c r="C215" s="836" t="s">
        <v>360</v>
      </c>
      <c r="D215" s="836"/>
      <c r="E215" s="836"/>
      <c r="F215" s="836"/>
      <c r="G215" s="836"/>
      <c r="I215" s="144"/>
      <c r="J215" s="145" t="s">
        <v>39</v>
      </c>
      <c r="K215" s="836" t="s">
        <v>360</v>
      </c>
      <c r="L215" s="836"/>
      <c r="M215" s="836"/>
      <c r="N215" s="836"/>
      <c r="O215" s="836"/>
    </row>
    <row r="216" spans="1:15" ht="15" customHeight="1">
      <c r="A216" s="38"/>
      <c r="B216" s="39" t="s">
        <v>41</v>
      </c>
      <c r="C216" s="860" t="s">
        <v>361</v>
      </c>
      <c r="D216" s="860"/>
      <c r="E216" s="860"/>
      <c r="F216" s="860"/>
      <c r="G216" s="860"/>
      <c r="I216" s="38"/>
      <c r="J216" s="39" t="s">
        <v>41</v>
      </c>
      <c r="K216" s="860" t="s">
        <v>361</v>
      </c>
      <c r="L216" s="860"/>
      <c r="M216" s="860"/>
      <c r="N216" s="860"/>
      <c r="O216" s="860"/>
    </row>
    <row r="217" spans="1:15" ht="150" customHeight="1">
      <c r="A217" s="40"/>
      <c r="B217" s="556" t="s">
        <v>386</v>
      </c>
      <c r="C217" s="852" t="s">
        <v>387</v>
      </c>
      <c r="D217" s="852"/>
      <c r="E217" s="852"/>
      <c r="F217" s="852"/>
      <c r="G217" s="852"/>
      <c r="I217" s="40"/>
      <c r="J217" s="41" t="s">
        <v>386</v>
      </c>
      <c r="K217" s="869" t="s">
        <v>387</v>
      </c>
      <c r="L217" s="869"/>
      <c r="M217" s="869"/>
      <c r="N217" s="869"/>
      <c r="O217" s="869"/>
    </row>
    <row r="218" spans="1:15" ht="15" customHeight="1" thickBot="1"/>
    <row r="219" spans="1:15" ht="30" customHeight="1" thickTop="1" thickBot="1">
      <c r="A219" s="10"/>
      <c r="B219" s="835" t="str">
        <f>'Obrazac kalkulacije'!$B$6:$C$6</f>
        <v>Opis</v>
      </c>
      <c r="C219" s="835"/>
      <c r="D219" s="10" t="str">
        <f>'Obrazac kalkulacije'!$D$6</f>
        <v>Jed.
mjere</v>
      </c>
      <c r="E219" s="10" t="str">
        <f>'Obrazac kalkulacije'!$E$6</f>
        <v>Normativ</v>
      </c>
      <c r="F219" s="10" t="str">
        <f>'Obrazac kalkulacije'!$F$6</f>
        <v>Jed.
cijena</v>
      </c>
      <c r="G219" s="10" t="str">
        <f>'Obrazac kalkulacije'!$G$6</f>
        <v>Iznos</v>
      </c>
      <c r="I219" s="10"/>
      <c r="J219" s="835" t="e">
        <f>'Obrazac kalkulacije'!$B$6:$C$6</f>
        <v>#VALUE!</v>
      </c>
      <c r="K219" s="835"/>
      <c r="L219" s="10" t="str">
        <f>'Obrazac kalkulacije'!$D$6</f>
        <v>Jed.
mjere</v>
      </c>
      <c r="M219" s="10" t="str">
        <f>'Obrazac kalkulacije'!$E$6</f>
        <v>Normativ</v>
      </c>
      <c r="N219" s="10" t="str">
        <f>'Obrazac kalkulacije'!$F$6</f>
        <v>Jed.
cijena</v>
      </c>
      <c r="O219" s="10" t="str">
        <f>'Obrazac kalkulacije'!$G$6</f>
        <v>Iznos</v>
      </c>
    </row>
    <row r="220" spans="1:15" ht="4.5" customHeight="1" thickTop="1">
      <c r="B220" s="42"/>
      <c r="C220" s="1"/>
      <c r="D220" s="11"/>
      <c r="E220" s="13"/>
      <c r="F220" s="258"/>
      <c r="G220" s="15"/>
      <c r="J220" s="42"/>
      <c r="K220" s="1"/>
      <c r="L220" s="11"/>
      <c r="M220" s="13"/>
      <c r="N220" s="258"/>
      <c r="O220" s="15"/>
    </row>
    <row r="221" spans="1:15" ht="25.15" customHeight="1">
      <c r="A221" s="16"/>
      <c r="B221" s="837" t="str">
        <f>'Obrazac kalkulacije'!$B$8</f>
        <v>Radna snaga:</v>
      </c>
      <c r="C221" s="837"/>
      <c r="D221" s="16"/>
      <c r="E221" s="16"/>
      <c r="F221" s="44"/>
      <c r="G221" s="18">
        <f>SUM(G222:G222)</f>
        <v>26.2575</v>
      </c>
      <c r="I221" s="16"/>
      <c r="J221" s="837" t="str">
        <f>'Obrazac kalkulacije'!$B$8</f>
        <v>Radna snaga:</v>
      </c>
      <c r="K221" s="837"/>
      <c r="L221" s="16"/>
      <c r="M221" s="16"/>
      <c r="N221" s="44"/>
      <c r="O221" s="18">
        <f>SUM(O222:O222)</f>
        <v>26.2217898</v>
      </c>
    </row>
    <row r="222" spans="1:15" ht="25.15" customHeight="1">
      <c r="A222" s="32"/>
      <c r="B222" s="854" t="s">
        <v>57</v>
      </c>
      <c r="C222" s="854"/>
      <c r="D222" s="33" t="s">
        <v>51</v>
      </c>
      <c r="E222" s="34">
        <v>0.25</v>
      </c>
      <c r="F222" s="238">
        <f>SUMIF('Cjenik RS'!$C$11:$C$26,$B222,'Cjenik RS'!$D$11:$D$90)</f>
        <v>105.03</v>
      </c>
      <c r="G222" s="35">
        <f>+F222*E222</f>
        <v>26.2575</v>
      </c>
      <c r="I222" s="32"/>
      <c r="J222" s="854" t="s">
        <v>57</v>
      </c>
      <c r="K222" s="854"/>
      <c r="L222" s="33" t="s">
        <v>51</v>
      </c>
      <c r="M222" s="34">
        <v>0.24965999999999999</v>
      </c>
      <c r="N222" s="44">
        <f>SUMIF('Cjenik RS'!$C$11:$C$26,J222,'Cjenik RS'!$D$11:$D$90)</f>
        <v>105.03</v>
      </c>
      <c r="O222" s="35">
        <f>+N222*M222</f>
        <v>26.2217898</v>
      </c>
    </row>
    <row r="223" spans="1:15" ht="25.15" customHeight="1">
      <c r="A223" s="16"/>
      <c r="B223" s="837" t="str">
        <f>'Obrazac kalkulacije'!$B$11</f>
        <v>Vozila, strojevi i oprema:</v>
      </c>
      <c r="C223" s="837"/>
      <c r="D223" s="16"/>
      <c r="E223" s="16"/>
      <c r="F223" s="238">
        <f>'Obrazac kalkulacije'!$F$11</f>
        <v>0</v>
      </c>
      <c r="G223" s="18">
        <f>SUM(G224:G225)</f>
        <v>18.347999999999999</v>
      </c>
      <c r="I223" s="16"/>
      <c r="J223" s="837" t="str">
        <f>'Obrazac kalkulacije'!$B$11</f>
        <v>Vozila, strojevi i oprema:</v>
      </c>
      <c r="K223" s="837"/>
      <c r="L223" s="16"/>
      <c r="M223" s="16"/>
      <c r="N223" s="238">
        <f>'Obrazac kalkulacije'!$F$11</f>
        <v>0</v>
      </c>
      <c r="O223" s="18">
        <f>SUM(O224:O225)</f>
        <v>18.577888000000002</v>
      </c>
    </row>
    <row r="224" spans="1:15" ht="25.15" customHeight="1">
      <c r="A224" s="51"/>
      <c r="B224" s="863" t="s">
        <v>69</v>
      </c>
      <c r="C224" s="863"/>
      <c r="D224" s="52" t="s">
        <v>51</v>
      </c>
      <c r="E224" s="53">
        <v>0.09</v>
      </c>
      <c r="F224" s="260">
        <f>SUMIF('Cjenik VSO'!$B$9:$B$85,$B224,'Cjenik VSO'!$C$9:$C$85)</f>
        <v>179.6</v>
      </c>
      <c r="G224" s="55">
        <f>E224*F224</f>
        <v>16.163999999999998</v>
      </c>
      <c r="I224" s="51"/>
      <c r="J224" s="863" t="s">
        <v>69</v>
      </c>
      <c r="K224" s="863"/>
      <c r="L224" s="52" t="s">
        <v>51</v>
      </c>
      <c r="M224" s="53">
        <v>9.128E-2</v>
      </c>
      <c r="N224" s="260">
        <f>SUMIF('Cjenik VSO'!$B$9:$B$85,$B224,'Cjenik VSO'!$C$9:$C$85)</f>
        <v>179.6</v>
      </c>
      <c r="O224" s="55">
        <f>M224*N224</f>
        <v>16.393888</v>
      </c>
    </row>
    <row r="225" spans="1:15" ht="25.15" customHeight="1" thickBot="1">
      <c r="A225" s="66"/>
      <c r="B225" s="864" t="s">
        <v>200</v>
      </c>
      <c r="C225" s="864"/>
      <c r="D225" s="62" t="s">
        <v>51</v>
      </c>
      <c r="E225" s="63">
        <v>0.1</v>
      </c>
      <c r="F225" s="261">
        <f>SUMIF('Cjenik VSO'!$B$9:$B$85,$B225,'Cjenik VSO'!$C$9:$C$85)</f>
        <v>21.84</v>
      </c>
      <c r="G225" s="65">
        <f>E225*F225</f>
        <v>2.1840000000000002</v>
      </c>
      <c r="I225" s="66"/>
      <c r="J225" s="864" t="s">
        <v>200</v>
      </c>
      <c r="K225" s="864"/>
      <c r="L225" s="62" t="s">
        <v>51</v>
      </c>
      <c r="M225" s="63">
        <v>0.1</v>
      </c>
      <c r="N225" s="261">
        <f>SUMIF('Cjenik VSO'!$B$9:$B$85,$B225,'Cjenik VSO'!$C$9:$C$85)</f>
        <v>21.84</v>
      </c>
      <c r="O225" s="65">
        <f>M225*N225</f>
        <v>2.1840000000000002</v>
      </c>
    </row>
    <row r="226" spans="1:15" ht="25.15" customHeight="1" thickTop="1" thickBot="1">
      <c r="B226" s="47"/>
      <c r="C226" s="24"/>
      <c r="D226" s="25"/>
      <c r="E226" s="850" t="str">
        <f>'Obrazac kalkulacije'!$E$18</f>
        <v>Ukupno (kn):</v>
      </c>
      <c r="F226" s="850"/>
      <c r="G226" s="26">
        <f>ROUND(SUM(G221+G223),2)</f>
        <v>44.61</v>
      </c>
      <c r="H226" s="269" t="e">
        <f>SUMIF(#REF!,$B217,#REF!)</f>
        <v>#REF!</v>
      </c>
      <c r="J226" s="47"/>
      <c r="K226" s="24"/>
      <c r="L226" s="25"/>
      <c r="M226" s="850" t="str">
        <f>'Obrazac kalkulacije'!$E$18</f>
        <v>Ukupno (kn):</v>
      </c>
      <c r="N226" s="850"/>
      <c r="O226" s="26">
        <f>ROUND(SUM(O221+O223),2)</f>
        <v>44.8</v>
      </c>
    </row>
    <row r="227" spans="1:15" ht="25.15" customHeight="1" thickTop="1" thickBot="1">
      <c r="E227" s="27" t="str">
        <f>'Obrazac kalkulacije'!$E$19</f>
        <v>PDV:</v>
      </c>
      <c r="F227" s="259">
        <f>'Obrazac kalkulacije'!$F$19</f>
        <v>0.25</v>
      </c>
      <c r="G227" s="29">
        <f>G226*F227</f>
        <v>11.1525</v>
      </c>
      <c r="H227" s="270" t="e">
        <f>H226-G226</f>
        <v>#REF!</v>
      </c>
      <c r="M227" s="27" t="str">
        <f>'Obrazac kalkulacije'!$E$19</f>
        <v>PDV:</v>
      </c>
      <c r="N227" s="259">
        <f>'Obrazac kalkulacije'!$F$19</f>
        <v>0.25</v>
      </c>
      <c r="O227" s="29">
        <f>O226*N227</f>
        <v>11.2</v>
      </c>
    </row>
    <row r="228" spans="1:15" ht="25.15" customHeight="1" thickTop="1" thickBot="1">
      <c r="E228" s="840" t="str">
        <f>'Obrazac kalkulacije'!$E$20</f>
        <v>Sveukupno (kn):</v>
      </c>
      <c r="F228" s="840"/>
      <c r="G228" s="29">
        <f>ROUND(SUM(G226:G227),2)</f>
        <v>55.76</v>
      </c>
      <c r="H228" s="271" t="e">
        <f>G225+H227</f>
        <v>#REF!</v>
      </c>
      <c r="M228" s="840" t="str">
        <f>'Obrazac kalkulacije'!$E$20</f>
        <v>Sveukupno (kn):</v>
      </c>
      <c r="N228" s="840"/>
      <c r="O228" s="29">
        <f>ROUND(SUM(O226:O227),2)</f>
        <v>56</v>
      </c>
    </row>
    <row r="229" spans="1:15" ht="15" customHeight="1" thickTop="1"/>
    <row r="230" spans="1:15" ht="15" customHeight="1"/>
    <row r="231" spans="1:15" ht="15" customHeight="1"/>
    <row r="232" spans="1:15" ht="15" customHeight="1">
      <c r="C232" s="3" t="str">
        <f>'Obrazac kalkulacije'!$C$24</f>
        <v>IZVODITELJ:</v>
      </c>
      <c r="F232" s="841" t="str">
        <f>'Obrazac kalkulacije'!$F$24</f>
        <v>NARUČITELJ:</v>
      </c>
      <c r="G232" s="841"/>
      <c r="K232" s="3" t="str">
        <f>'Obrazac kalkulacije'!$C$24</f>
        <v>IZVODITELJ:</v>
      </c>
      <c r="N232" s="841" t="str">
        <f>'Obrazac kalkulacije'!$F$24</f>
        <v>NARUČITELJ:</v>
      </c>
      <c r="O232" s="841"/>
    </row>
    <row r="233" spans="1:15" ht="25.15" customHeight="1">
      <c r="C233" s="3" t="str">
        <f>'Obrazac kalkulacije'!$C$25</f>
        <v>__________________</v>
      </c>
      <c r="F233" s="841" t="str">
        <f>'Obrazac kalkulacije'!$F$25</f>
        <v>___________________</v>
      </c>
      <c r="G233" s="841"/>
      <c r="K233" s="3" t="str">
        <f>'Obrazac kalkulacije'!$C$25</f>
        <v>__________________</v>
      </c>
      <c r="N233" s="841" t="str">
        <f>'Obrazac kalkulacije'!$F$25</f>
        <v>___________________</v>
      </c>
      <c r="O233" s="841"/>
    </row>
    <row r="234" spans="1:15" ht="15" customHeight="1">
      <c r="F234" s="841"/>
      <c r="G234" s="841"/>
      <c r="N234" s="841"/>
      <c r="O234" s="841"/>
    </row>
    <row r="235" spans="1:15" ht="15" customHeight="1"/>
    <row r="236" spans="1:15" ht="15" customHeight="1">
      <c r="A236" s="144"/>
      <c r="B236" s="145" t="s">
        <v>39</v>
      </c>
      <c r="C236" s="836" t="s">
        <v>360</v>
      </c>
      <c r="D236" s="836"/>
      <c r="E236" s="836"/>
      <c r="F236" s="836"/>
      <c r="G236" s="836"/>
      <c r="I236" s="144"/>
      <c r="J236" s="145" t="s">
        <v>39</v>
      </c>
      <c r="K236" s="836" t="s">
        <v>360</v>
      </c>
      <c r="L236" s="836"/>
      <c r="M236" s="836"/>
      <c r="N236" s="836"/>
      <c r="O236" s="836"/>
    </row>
    <row r="237" spans="1:15" ht="15" customHeight="1">
      <c r="A237" s="38"/>
      <c r="B237" s="39" t="s">
        <v>41</v>
      </c>
      <c r="C237" s="860" t="s">
        <v>361</v>
      </c>
      <c r="D237" s="860"/>
      <c r="E237" s="860"/>
      <c r="F237" s="860"/>
      <c r="G237" s="860"/>
      <c r="I237" s="38"/>
      <c r="J237" s="39" t="s">
        <v>41</v>
      </c>
      <c r="K237" s="860" t="s">
        <v>361</v>
      </c>
      <c r="L237" s="860"/>
      <c r="M237" s="860"/>
      <c r="N237" s="860"/>
      <c r="O237" s="860"/>
    </row>
    <row r="238" spans="1:15" ht="150" customHeight="1">
      <c r="A238" s="40"/>
      <c r="B238" s="556" t="s">
        <v>388</v>
      </c>
      <c r="C238" s="852" t="s">
        <v>389</v>
      </c>
      <c r="D238" s="852"/>
      <c r="E238" s="852"/>
      <c r="F238" s="852"/>
      <c r="G238" s="852"/>
      <c r="I238" s="40"/>
      <c r="J238" s="41" t="s">
        <v>388</v>
      </c>
      <c r="K238" s="869" t="s">
        <v>389</v>
      </c>
      <c r="L238" s="869"/>
      <c r="M238" s="869"/>
      <c r="N238" s="869"/>
      <c r="O238" s="869"/>
    </row>
    <row r="239" spans="1:15" ht="15" customHeight="1" thickBot="1"/>
    <row r="240" spans="1:15" ht="30" customHeight="1" thickTop="1" thickBot="1">
      <c r="A240" s="10"/>
      <c r="B240" s="835" t="str">
        <f>'Obrazac kalkulacije'!$B$6:$C$6</f>
        <v>Opis</v>
      </c>
      <c r="C240" s="835"/>
      <c r="D240" s="10" t="str">
        <f>'Obrazac kalkulacije'!$D$6</f>
        <v>Jed.
mjere</v>
      </c>
      <c r="E240" s="10" t="str">
        <f>'Obrazac kalkulacije'!$E$6</f>
        <v>Normativ</v>
      </c>
      <c r="F240" s="10" t="str">
        <f>'Obrazac kalkulacije'!$F$6</f>
        <v>Jed.
cijena</v>
      </c>
      <c r="G240" s="10" t="str">
        <f>'Obrazac kalkulacije'!$G$6</f>
        <v>Iznos</v>
      </c>
      <c r="I240" s="10"/>
      <c r="J240" s="835" t="e">
        <f>'Obrazac kalkulacije'!$B$6:$C$6</f>
        <v>#VALUE!</v>
      </c>
      <c r="K240" s="835"/>
      <c r="L240" s="10" t="str">
        <f>'Obrazac kalkulacije'!$D$6</f>
        <v>Jed.
mjere</v>
      </c>
      <c r="M240" s="10" t="str">
        <f>'Obrazac kalkulacije'!$E$6</f>
        <v>Normativ</v>
      </c>
      <c r="N240" s="10" t="str">
        <f>'Obrazac kalkulacije'!$F$6</f>
        <v>Jed.
cijena</v>
      </c>
      <c r="O240" s="10" t="str">
        <f>'Obrazac kalkulacije'!$G$6</f>
        <v>Iznos</v>
      </c>
    </row>
    <row r="241" spans="1:15" ht="4.5" customHeight="1" thickTop="1">
      <c r="B241" s="42"/>
      <c r="C241" s="1"/>
      <c r="D241" s="11"/>
      <c r="E241" s="13"/>
      <c r="F241" s="258"/>
      <c r="G241" s="15"/>
      <c r="J241" s="42"/>
      <c r="K241" s="1"/>
      <c r="L241" s="11"/>
      <c r="M241" s="13"/>
      <c r="N241" s="258"/>
      <c r="O241" s="15"/>
    </row>
    <row r="242" spans="1:15" ht="25.15" customHeight="1">
      <c r="A242" s="16"/>
      <c r="B242" s="837" t="str">
        <f>'Obrazac kalkulacije'!$B$8</f>
        <v>Radna snaga:</v>
      </c>
      <c r="C242" s="837"/>
      <c r="D242" s="16"/>
      <c r="E242" s="16"/>
      <c r="F242" s="44"/>
      <c r="G242" s="18">
        <f>SUM(G243:G243)</f>
        <v>18.511537499999999</v>
      </c>
      <c r="I242" s="16"/>
      <c r="J242" s="837" t="str">
        <f>'Obrazac kalkulacije'!$B$8</f>
        <v>Radna snaga:</v>
      </c>
      <c r="K242" s="837"/>
      <c r="L242" s="16"/>
      <c r="M242" s="16"/>
      <c r="N242" s="44"/>
      <c r="O242" s="18">
        <f>SUM(O243:O243)</f>
        <v>18.511537499999999</v>
      </c>
    </row>
    <row r="243" spans="1:15" ht="25.15" customHeight="1">
      <c r="A243" s="32"/>
      <c r="B243" s="854" t="s">
        <v>57</v>
      </c>
      <c r="C243" s="854"/>
      <c r="D243" s="33" t="s">
        <v>51</v>
      </c>
      <c r="E243" s="34">
        <v>0.17624999999999999</v>
      </c>
      <c r="F243" s="238">
        <f>SUMIF('Cjenik RS'!$C$11:$C$26,$B243,'Cjenik RS'!$D$11:$D$90)</f>
        <v>105.03</v>
      </c>
      <c r="G243" s="35">
        <f>+F243*E243</f>
        <v>18.511537499999999</v>
      </c>
      <c r="I243" s="32"/>
      <c r="J243" s="854" t="s">
        <v>57</v>
      </c>
      <c r="K243" s="854"/>
      <c r="L243" s="33" t="s">
        <v>51</v>
      </c>
      <c r="M243" s="34">
        <v>0.17624999999999999</v>
      </c>
      <c r="N243" s="44">
        <f>SUMIF('Cjenik RS'!$C$11:$C$26,J243,'Cjenik RS'!$D$11:$D$90)</f>
        <v>105.03</v>
      </c>
      <c r="O243" s="35">
        <f>+N243*M243</f>
        <v>18.511537499999999</v>
      </c>
    </row>
    <row r="244" spans="1:15" ht="25.15" customHeight="1">
      <c r="A244" s="16"/>
      <c r="B244" s="837" t="str">
        <f>'Obrazac kalkulacije'!$B$11</f>
        <v>Vozila, strojevi i oprema:</v>
      </c>
      <c r="C244" s="837"/>
      <c r="D244" s="16"/>
      <c r="E244" s="16"/>
      <c r="F244" s="238">
        <f>'Obrazac kalkulacije'!$F$11</f>
        <v>0</v>
      </c>
      <c r="G244" s="18">
        <f>SUM(G245:G245)</f>
        <v>12.771356000000001</v>
      </c>
      <c r="I244" s="16"/>
      <c r="J244" s="837" t="str">
        <f>'Obrazac kalkulacije'!$B$11</f>
        <v>Vozila, strojevi i oprema:</v>
      </c>
      <c r="K244" s="837"/>
      <c r="L244" s="16"/>
      <c r="M244" s="16"/>
      <c r="N244" s="238">
        <f>'Obrazac kalkulacije'!$F$11</f>
        <v>0</v>
      </c>
      <c r="O244" s="18">
        <f>SUM(O245:O245)</f>
        <v>12.771356000000001</v>
      </c>
    </row>
    <row r="245" spans="1:15" ht="25.15" customHeight="1" thickBot="1">
      <c r="A245" s="43"/>
      <c r="B245" s="863" t="s">
        <v>69</v>
      </c>
      <c r="C245" s="863"/>
      <c r="D245" s="52" t="s">
        <v>51</v>
      </c>
      <c r="E245" s="53">
        <v>7.1110000000000007E-2</v>
      </c>
      <c r="F245" s="260">
        <f>SUMIF('Cjenik VSO'!$B$9:$B$85,$B245,'Cjenik VSO'!$C$9:$C$85)</f>
        <v>179.6</v>
      </c>
      <c r="G245" s="55">
        <f>E245*F245</f>
        <v>12.771356000000001</v>
      </c>
      <c r="I245" s="43"/>
      <c r="J245" s="863" t="s">
        <v>69</v>
      </c>
      <c r="K245" s="863"/>
      <c r="L245" s="52" t="s">
        <v>51</v>
      </c>
      <c r="M245" s="53">
        <v>7.1110000000000007E-2</v>
      </c>
      <c r="N245" s="260">
        <f>SUMIF('Cjenik VSO'!$B$9:$B$85,$B245,'Cjenik VSO'!$C$9:$C$85)</f>
        <v>179.6</v>
      </c>
      <c r="O245" s="55">
        <f>M245*N245</f>
        <v>12.771356000000001</v>
      </c>
    </row>
    <row r="246" spans="1:15" ht="25.15" customHeight="1" thickTop="1" thickBot="1">
      <c r="B246" s="47"/>
      <c r="C246" s="24"/>
      <c r="D246" s="25"/>
      <c r="E246" s="850" t="str">
        <f>'Obrazac kalkulacije'!$E$18</f>
        <v>Ukupno (kn):</v>
      </c>
      <c r="F246" s="850"/>
      <c r="G246" s="26">
        <f>ROUND(SUM(G242+G244),2)</f>
        <v>31.28</v>
      </c>
      <c r="H246" s="269" t="e">
        <f>SUMIF(#REF!,$B238,#REF!)</f>
        <v>#REF!</v>
      </c>
      <c r="J246" s="47"/>
      <c r="K246" s="24"/>
      <c r="L246" s="25"/>
      <c r="M246" s="850" t="str">
        <f>'Obrazac kalkulacije'!$E$18</f>
        <v>Ukupno (kn):</v>
      </c>
      <c r="N246" s="850"/>
      <c r="O246" s="26">
        <f>ROUND(SUM(O242+O244),2)</f>
        <v>31.28</v>
      </c>
    </row>
    <row r="247" spans="1:15" ht="25.15" customHeight="1" thickTop="1" thickBot="1">
      <c r="E247" s="27" t="str">
        <f>'Obrazac kalkulacije'!$E$19</f>
        <v>PDV:</v>
      </c>
      <c r="F247" s="259">
        <f>'Obrazac kalkulacije'!$F$19</f>
        <v>0.25</v>
      </c>
      <c r="G247" s="29">
        <f>G246*F247</f>
        <v>7.82</v>
      </c>
      <c r="H247" s="270" t="e">
        <f>H246-G246</f>
        <v>#REF!</v>
      </c>
      <c r="M247" s="27" t="str">
        <f>'Obrazac kalkulacije'!$E$19</f>
        <v>PDV:</v>
      </c>
      <c r="N247" s="259">
        <f>'Obrazac kalkulacije'!$F$19</f>
        <v>0.25</v>
      </c>
      <c r="O247" s="29">
        <f>O246*N247</f>
        <v>7.82</v>
      </c>
    </row>
    <row r="248" spans="1:15" ht="25.15" customHeight="1" thickTop="1" thickBot="1">
      <c r="E248" s="840" t="str">
        <f>'Obrazac kalkulacije'!$E$20</f>
        <v>Sveukupno (kn):</v>
      </c>
      <c r="F248" s="840"/>
      <c r="G248" s="29">
        <f>ROUND(SUM(G246:G247),2)</f>
        <v>39.1</v>
      </c>
      <c r="H248" s="271" t="e">
        <f>G245+H247</f>
        <v>#REF!</v>
      </c>
      <c r="M248" s="840" t="str">
        <f>'Obrazac kalkulacije'!$E$20</f>
        <v>Sveukupno (kn):</v>
      </c>
      <c r="N248" s="840"/>
      <c r="O248" s="29">
        <f>ROUND(SUM(O246:O247),2)</f>
        <v>39.1</v>
      </c>
    </row>
    <row r="249" spans="1:15" ht="15" customHeight="1" thickTop="1"/>
    <row r="250" spans="1:15" ht="15" customHeight="1"/>
    <row r="251" spans="1:15" ht="15" customHeight="1"/>
    <row r="252" spans="1:15" ht="15" customHeight="1">
      <c r="C252" s="3" t="str">
        <f>'Obrazac kalkulacije'!$C$24</f>
        <v>IZVODITELJ:</v>
      </c>
      <c r="F252" s="841" t="str">
        <f>'Obrazac kalkulacije'!$F$24</f>
        <v>NARUČITELJ:</v>
      </c>
      <c r="G252" s="841"/>
      <c r="K252" s="3" t="str">
        <f>'Obrazac kalkulacije'!$C$24</f>
        <v>IZVODITELJ:</v>
      </c>
      <c r="N252" s="841" t="str">
        <f>'Obrazac kalkulacije'!$F$24</f>
        <v>NARUČITELJ:</v>
      </c>
      <c r="O252" s="841"/>
    </row>
    <row r="253" spans="1:15" ht="25.15" customHeight="1">
      <c r="C253" s="3" t="str">
        <f>'Obrazac kalkulacije'!$C$25</f>
        <v>__________________</v>
      </c>
      <c r="F253" s="841" t="str">
        <f>'Obrazac kalkulacije'!$F$25</f>
        <v>___________________</v>
      </c>
      <c r="G253" s="841"/>
      <c r="K253" s="3" t="str">
        <f>'Obrazac kalkulacije'!$C$25</f>
        <v>__________________</v>
      </c>
      <c r="N253" s="841" t="str">
        <f>'Obrazac kalkulacije'!$F$25</f>
        <v>___________________</v>
      </c>
      <c r="O253" s="841"/>
    </row>
    <row r="254" spans="1:15" ht="15" customHeight="1">
      <c r="F254" s="841"/>
      <c r="G254" s="841"/>
      <c r="N254" s="841"/>
      <c r="O254" s="841"/>
    </row>
    <row r="255" spans="1:15" ht="15" customHeight="1"/>
    <row r="256" spans="1:15" ht="15" customHeight="1">
      <c r="A256" s="144"/>
      <c r="B256" s="145" t="s">
        <v>39</v>
      </c>
      <c r="C256" s="836" t="s">
        <v>360</v>
      </c>
      <c r="D256" s="836"/>
      <c r="E256" s="836"/>
      <c r="F256" s="836"/>
      <c r="G256" s="836"/>
      <c r="I256" s="144"/>
      <c r="J256" s="145" t="s">
        <v>39</v>
      </c>
      <c r="K256" s="836" t="s">
        <v>360</v>
      </c>
      <c r="L256" s="836"/>
      <c r="M256" s="836"/>
      <c r="N256" s="836"/>
      <c r="O256" s="836"/>
    </row>
    <row r="257" spans="1:15" ht="15" customHeight="1">
      <c r="A257" s="38"/>
      <c r="B257" s="39" t="s">
        <v>41</v>
      </c>
      <c r="C257" s="860" t="s">
        <v>361</v>
      </c>
      <c r="D257" s="860"/>
      <c r="E257" s="860"/>
      <c r="F257" s="860"/>
      <c r="G257" s="860"/>
      <c r="I257" s="38"/>
      <c r="J257" s="39" t="s">
        <v>41</v>
      </c>
      <c r="K257" s="860" t="s">
        <v>361</v>
      </c>
      <c r="L257" s="860"/>
      <c r="M257" s="860"/>
      <c r="N257" s="860"/>
      <c r="O257" s="860"/>
    </row>
    <row r="258" spans="1:15" ht="150" customHeight="1">
      <c r="A258" s="40"/>
      <c r="B258" s="556" t="s">
        <v>390</v>
      </c>
      <c r="C258" s="852" t="s">
        <v>391</v>
      </c>
      <c r="D258" s="852"/>
      <c r="E258" s="852"/>
      <c r="F258" s="852"/>
      <c r="G258" s="852"/>
      <c r="I258" s="40"/>
      <c r="J258" s="41" t="s">
        <v>390</v>
      </c>
      <c r="K258" s="869" t="s">
        <v>392</v>
      </c>
      <c r="L258" s="869"/>
      <c r="M258" s="869"/>
      <c r="N258" s="869"/>
      <c r="O258" s="869"/>
    </row>
    <row r="259" spans="1:15" ht="15" customHeight="1" thickBot="1"/>
    <row r="260" spans="1:15" ht="30" customHeight="1" thickTop="1" thickBot="1">
      <c r="A260" s="10"/>
      <c r="B260" s="835" t="str">
        <f>'Obrazac kalkulacije'!$B$6:$C$6</f>
        <v>Opis</v>
      </c>
      <c r="C260" s="835"/>
      <c r="D260" s="10" t="str">
        <f>'Obrazac kalkulacije'!$D$6</f>
        <v>Jed.
mjere</v>
      </c>
      <c r="E260" s="10" t="str">
        <f>'Obrazac kalkulacije'!$E$6</f>
        <v>Normativ</v>
      </c>
      <c r="F260" s="10" t="str">
        <f>'Obrazac kalkulacije'!$F$6</f>
        <v>Jed.
cijena</v>
      </c>
      <c r="G260" s="10" t="str">
        <f>'Obrazac kalkulacije'!$G$6</f>
        <v>Iznos</v>
      </c>
      <c r="I260" s="10"/>
      <c r="J260" s="835" t="e">
        <f>'Obrazac kalkulacije'!$B$6:$C$6</f>
        <v>#VALUE!</v>
      </c>
      <c r="K260" s="835"/>
      <c r="L260" s="10" t="str">
        <f>'Obrazac kalkulacije'!$D$6</f>
        <v>Jed.
mjere</v>
      </c>
      <c r="M260" s="10" t="str">
        <f>'Obrazac kalkulacije'!$E$6</f>
        <v>Normativ</v>
      </c>
      <c r="N260" s="10" t="str">
        <f>'Obrazac kalkulacije'!$F$6</f>
        <v>Jed.
cijena</v>
      </c>
      <c r="O260" s="10" t="str">
        <f>'Obrazac kalkulacije'!$G$6</f>
        <v>Iznos</v>
      </c>
    </row>
    <row r="261" spans="1:15" ht="4.5" customHeight="1" thickTop="1">
      <c r="B261" s="42"/>
      <c r="C261" s="1"/>
      <c r="D261" s="11"/>
      <c r="E261" s="13"/>
      <c r="F261" s="258"/>
      <c r="G261" s="15"/>
      <c r="J261" s="42"/>
      <c r="K261" s="1"/>
      <c r="L261" s="11"/>
      <c r="M261" s="13"/>
      <c r="N261" s="258"/>
      <c r="O261" s="15"/>
    </row>
    <row r="262" spans="1:15" ht="25.15" customHeight="1">
      <c r="A262" s="16"/>
      <c r="B262" s="837" t="str">
        <f>'Obrazac kalkulacije'!$B$8</f>
        <v>Radna snaga:</v>
      </c>
      <c r="C262" s="837"/>
      <c r="D262" s="16"/>
      <c r="E262" s="16"/>
      <c r="F262" s="44"/>
      <c r="G262" s="18">
        <f>SUM(G263:G263)</f>
        <v>84.024000000000001</v>
      </c>
      <c r="I262" s="16"/>
      <c r="J262" s="837" t="str">
        <f>'Obrazac kalkulacije'!$B$8</f>
        <v>Radna snaga:</v>
      </c>
      <c r="K262" s="837"/>
      <c r="L262" s="16"/>
      <c r="M262" s="16"/>
      <c r="N262" s="44"/>
      <c r="O262" s="18">
        <f>SUM(O263:O263)</f>
        <v>65.915042490000005</v>
      </c>
    </row>
    <row r="263" spans="1:15" ht="25.15" customHeight="1">
      <c r="A263" s="32"/>
      <c r="B263" s="854" t="s">
        <v>57</v>
      </c>
      <c r="C263" s="854"/>
      <c r="D263" s="33" t="s">
        <v>51</v>
      </c>
      <c r="E263" s="34">
        <v>0.8</v>
      </c>
      <c r="F263" s="238">
        <f>SUMIF('Cjenik RS'!$C$11:$C$26,$B263,'Cjenik RS'!$D$11:$D$90)</f>
        <v>105.03</v>
      </c>
      <c r="G263" s="35">
        <f>+F263*E263</f>
        <v>84.024000000000001</v>
      </c>
      <c r="I263" s="32"/>
      <c r="J263" s="854" t="s">
        <v>57</v>
      </c>
      <c r="K263" s="854"/>
      <c r="L263" s="33" t="s">
        <v>51</v>
      </c>
      <c r="M263" s="34">
        <v>0.627583</v>
      </c>
      <c r="N263" s="44">
        <f>SUMIF('Cjenik RS'!$C$11:$C$26,J263,'Cjenik RS'!$D$11:$D$90)</f>
        <v>105.03</v>
      </c>
      <c r="O263" s="35">
        <f>+N263*M263</f>
        <v>65.915042490000005</v>
      </c>
    </row>
    <row r="264" spans="1:15" ht="25.15" customHeight="1">
      <c r="A264" s="16"/>
      <c r="B264" s="837" t="str">
        <f>'Obrazac kalkulacije'!$B$11</f>
        <v>Vozila, strojevi i oprema:</v>
      </c>
      <c r="C264" s="837"/>
      <c r="D264" s="16"/>
      <c r="E264" s="16">
        <v>0</v>
      </c>
      <c r="F264" s="238">
        <f>'Obrazac kalkulacije'!$F$11</f>
        <v>0</v>
      </c>
      <c r="G264" s="18">
        <f>SUM(G265:G266)</f>
        <v>35.535864400000001</v>
      </c>
      <c r="I264" s="16"/>
      <c r="J264" s="837" t="str">
        <f>'Obrazac kalkulacije'!$B$11</f>
        <v>Vozila, strojevi i oprema:</v>
      </c>
      <c r="K264" s="837"/>
      <c r="L264" s="16"/>
      <c r="M264" s="16">
        <v>0</v>
      </c>
      <c r="N264" s="238">
        <f>'Obrazac kalkulacije'!$F$11</f>
        <v>0</v>
      </c>
      <c r="O264" s="18">
        <f>SUM(O265:O266)</f>
        <v>35.535864400000001</v>
      </c>
    </row>
    <row r="265" spans="1:15" ht="25.15" customHeight="1">
      <c r="A265" s="51"/>
      <c r="B265" s="863" t="s">
        <v>69</v>
      </c>
      <c r="C265" s="863"/>
      <c r="D265" s="52" t="s">
        <v>51</v>
      </c>
      <c r="E265" s="53">
        <v>0.10077999999999999</v>
      </c>
      <c r="F265" s="260">
        <f>SUMIF('Cjenik VSO'!$B$9:$B$85,$B265,'Cjenik VSO'!$C$9:$C$85)</f>
        <v>179.6</v>
      </c>
      <c r="G265" s="55">
        <f>E265*F265</f>
        <v>18.100088</v>
      </c>
      <c r="I265" s="51"/>
      <c r="J265" s="863" t="s">
        <v>69</v>
      </c>
      <c r="K265" s="863"/>
      <c r="L265" s="52" t="s">
        <v>51</v>
      </c>
      <c r="M265" s="53">
        <v>0.10077999999999999</v>
      </c>
      <c r="N265" s="260">
        <f>SUMIF('Cjenik VSO'!$B$9:$B$85,$B265,'Cjenik VSO'!$C$9:$C$85)</f>
        <v>179.6</v>
      </c>
      <c r="O265" s="55">
        <f>M265*N265</f>
        <v>18.100088</v>
      </c>
    </row>
    <row r="266" spans="1:15" ht="25.15" customHeight="1">
      <c r="A266" s="61"/>
      <c r="B266" s="864" t="s">
        <v>288</v>
      </c>
      <c r="C266" s="864"/>
      <c r="D266" s="62" t="s">
        <v>51</v>
      </c>
      <c r="E266" s="63">
        <v>0.10208299999999999</v>
      </c>
      <c r="F266" s="261">
        <f>SUMIF('Cjenik VSO'!$B$9:$B$85,$B266,'Cjenik VSO'!$C$9:$C$85)</f>
        <v>170.8</v>
      </c>
      <c r="G266" s="65">
        <f>E266*F266</f>
        <v>17.435776400000002</v>
      </c>
      <c r="I266" s="61"/>
      <c r="J266" s="864" t="s">
        <v>288</v>
      </c>
      <c r="K266" s="864"/>
      <c r="L266" s="62" t="s">
        <v>51</v>
      </c>
      <c r="M266" s="63">
        <v>0.10208299999999999</v>
      </c>
      <c r="N266" s="261">
        <f>SUMIF('Cjenik VSO'!$B$9:$B$85,$B266,'Cjenik VSO'!$C$9:$C$85)</f>
        <v>170.8</v>
      </c>
      <c r="O266" s="65">
        <f>M266*N266</f>
        <v>17.435776400000002</v>
      </c>
    </row>
    <row r="267" spans="1:15" ht="25.15" customHeight="1">
      <c r="A267" s="16"/>
      <c r="B267" s="837" t="str">
        <f>'Obrazac kalkulacije'!$B$15</f>
        <v>Materijali:</v>
      </c>
      <c r="C267" s="837"/>
      <c r="D267" s="16"/>
      <c r="E267" s="16">
        <v>0</v>
      </c>
      <c r="F267" s="238"/>
      <c r="G267" s="18">
        <f>SUM(G268:G269)</f>
        <v>0</v>
      </c>
      <c r="I267" s="16"/>
      <c r="J267" s="837" t="str">
        <f>'Obrazac kalkulacije'!$B$15</f>
        <v>Materijali:</v>
      </c>
      <c r="K267" s="837"/>
      <c r="L267" s="16"/>
      <c r="M267" s="16">
        <v>0</v>
      </c>
      <c r="N267" s="238"/>
      <c r="O267" s="18">
        <f>SUM(O268:O269)</f>
        <v>0</v>
      </c>
    </row>
    <row r="268" spans="1:15" ht="25.15" customHeight="1">
      <c r="A268" s="51"/>
      <c r="B268" s="863">
        <f>'Cjenik M'!$B$106</f>
        <v>0</v>
      </c>
      <c r="C268" s="863"/>
      <c r="D268" s="52">
        <f>'Cjenik M'!$C$106</f>
        <v>0</v>
      </c>
      <c r="E268" s="53">
        <v>0.66</v>
      </c>
      <c r="F268" s="260">
        <f>'Cjenik M'!$D$106</f>
        <v>0</v>
      </c>
      <c r="G268" s="55">
        <f>E268*F268</f>
        <v>0</v>
      </c>
      <c r="I268" s="51"/>
      <c r="J268" s="863">
        <f>'Cjenik M'!$B$106</f>
        <v>0</v>
      </c>
      <c r="K268" s="863"/>
      <c r="L268" s="52">
        <f>'Cjenik M'!$C$106</f>
        <v>0</v>
      </c>
      <c r="M268" s="53">
        <v>0.59375</v>
      </c>
      <c r="N268" s="260">
        <f>'Cjenik M'!$D$106</f>
        <v>0</v>
      </c>
      <c r="O268" s="55">
        <f>M268*N268</f>
        <v>0</v>
      </c>
    </row>
    <row r="269" spans="1:15" ht="25.15" customHeight="1" thickBot="1">
      <c r="A269" s="66"/>
      <c r="B269" s="859">
        <f>'Cjenik M'!$B$111</f>
        <v>0</v>
      </c>
      <c r="C269" s="859"/>
      <c r="D269" s="67">
        <f>'Cjenik M'!$C$61</f>
        <v>0</v>
      </c>
      <c r="E269" s="68">
        <v>1</v>
      </c>
      <c r="F269" s="262">
        <f>'Cjenik M'!$D$111</f>
        <v>0</v>
      </c>
      <c r="G269" s="70">
        <f>E269*F269</f>
        <v>0</v>
      </c>
      <c r="I269" s="66"/>
      <c r="J269" s="859">
        <f>'Cjenik M'!$B$61</f>
        <v>0</v>
      </c>
      <c r="K269" s="859"/>
      <c r="L269" s="67">
        <f>'Cjenik M'!$C$61</f>
        <v>0</v>
      </c>
      <c r="M269" s="68">
        <v>1.25</v>
      </c>
      <c r="N269" s="262">
        <f>'Cjenik M'!$D$61</f>
        <v>0</v>
      </c>
      <c r="O269" s="70">
        <f>M269*N269</f>
        <v>0</v>
      </c>
    </row>
    <row r="270" spans="1:15" ht="25.15" customHeight="1" thickTop="1" thickBot="1">
      <c r="B270" s="47"/>
      <c r="C270" s="24"/>
      <c r="D270" s="25"/>
      <c r="E270" s="850" t="str">
        <f>'Obrazac kalkulacije'!$E$18</f>
        <v>Ukupno (kn):</v>
      </c>
      <c r="F270" s="850"/>
      <c r="G270" s="26">
        <f>ROUND(SUM(G262+G264+G267),2)</f>
        <v>119.56</v>
      </c>
      <c r="H270" s="269" t="e">
        <f>SUMIF(#REF!,$B258,#REF!)</f>
        <v>#REF!</v>
      </c>
      <c r="J270" s="47"/>
      <c r="K270" s="24"/>
      <c r="L270" s="25"/>
      <c r="M270" s="850" t="str">
        <f>'Obrazac kalkulacije'!$E$18</f>
        <v>Ukupno (kn):</v>
      </c>
      <c r="N270" s="850"/>
      <c r="O270" s="26">
        <f>ROUND(SUM(O262+O264+O267),2)</f>
        <v>101.45</v>
      </c>
    </row>
    <row r="271" spans="1:15" ht="25.15" customHeight="1" thickTop="1" thickBot="1">
      <c r="E271" s="27" t="str">
        <f>'Obrazac kalkulacije'!$E$19</f>
        <v>PDV:</v>
      </c>
      <c r="F271" s="259">
        <f>'Obrazac kalkulacije'!$F$19</f>
        <v>0.25</v>
      </c>
      <c r="G271" s="29">
        <f>G270*F271</f>
        <v>29.89</v>
      </c>
      <c r="H271" s="270" t="e">
        <f>H270-G270</f>
        <v>#REF!</v>
      </c>
      <c r="M271" s="27" t="str">
        <f>'Obrazac kalkulacije'!$E$19</f>
        <v>PDV:</v>
      </c>
      <c r="N271" s="259">
        <f>'Obrazac kalkulacije'!$F$19</f>
        <v>0.25</v>
      </c>
      <c r="O271" s="29">
        <f>O270*N271</f>
        <v>25.362500000000001</v>
      </c>
    </row>
    <row r="272" spans="1:15" ht="25.15" customHeight="1" thickTop="1" thickBot="1">
      <c r="E272" s="840" t="str">
        <f>'Obrazac kalkulacije'!$E$20</f>
        <v>Sveukupno (kn):</v>
      </c>
      <c r="F272" s="840"/>
      <c r="G272" s="29">
        <f>ROUND(SUM(G270:G271),2)</f>
        <v>149.44999999999999</v>
      </c>
      <c r="H272" s="271" t="e">
        <f>G269+H271</f>
        <v>#REF!</v>
      </c>
      <c r="M272" s="840" t="str">
        <f>'Obrazac kalkulacije'!$E$20</f>
        <v>Sveukupno (kn):</v>
      </c>
      <c r="N272" s="840"/>
      <c r="O272" s="29">
        <f>ROUND(SUM(O270:O271),2)</f>
        <v>126.81</v>
      </c>
    </row>
    <row r="273" spans="1:15" ht="15" customHeight="1" thickTop="1"/>
    <row r="274" spans="1:15" ht="15" customHeight="1"/>
    <row r="275" spans="1:15" ht="15" customHeight="1"/>
    <row r="276" spans="1:15" ht="15" customHeight="1">
      <c r="C276" s="3" t="str">
        <f>'Obrazac kalkulacije'!$C$24</f>
        <v>IZVODITELJ:</v>
      </c>
      <c r="F276" s="841" t="str">
        <f>'Obrazac kalkulacije'!$F$24</f>
        <v>NARUČITELJ:</v>
      </c>
      <c r="G276" s="841"/>
      <c r="K276" s="3" t="str">
        <f>'Obrazac kalkulacije'!$C$24</f>
        <v>IZVODITELJ:</v>
      </c>
      <c r="N276" s="841" t="str">
        <f>'Obrazac kalkulacije'!$F$24</f>
        <v>NARUČITELJ:</v>
      </c>
      <c r="O276" s="841"/>
    </row>
    <row r="277" spans="1:15" ht="25.15" customHeight="1">
      <c r="C277" s="3" t="str">
        <f>'Obrazac kalkulacije'!$C$25</f>
        <v>__________________</v>
      </c>
      <c r="F277" s="841" t="str">
        <f>'Obrazac kalkulacije'!$F$25</f>
        <v>___________________</v>
      </c>
      <c r="G277" s="841"/>
      <c r="K277" s="3" t="str">
        <f>'Obrazac kalkulacije'!$C$25</f>
        <v>__________________</v>
      </c>
      <c r="N277" s="841" t="str">
        <f>'Obrazac kalkulacije'!$F$25</f>
        <v>___________________</v>
      </c>
      <c r="O277" s="841"/>
    </row>
    <row r="278" spans="1:15" ht="15" customHeight="1">
      <c r="F278" s="841"/>
      <c r="G278" s="841"/>
      <c r="N278" s="841"/>
      <c r="O278" s="841"/>
    </row>
    <row r="279" spans="1:15" ht="15" customHeight="1"/>
    <row r="280" spans="1:15" ht="15" customHeight="1">
      <c r="A280" s="144"/>
      <c r="B280" s="145" t="s">
        <v>39</v>
      </c>
      <c r="C280" s="836" t="s">
        <v>360</v>
      </c>
      <c r="D280" s="836"/>
      <c r="E280" s="836"/>
      <c r="F280" s="836"/>
      <c r="G280" s="836"/>
      <c r="I280" s="144"/>
      <c r="J280" s="145" t="s">
        <v>39</v>
      </c>
      <c r="K280" s="836" t="s">
        <v>360</v>
      </c>
      <c r="L280" s="836"/>
      <c r="M280" s="836"/>
      <c r="N280" s="836"/>
      <c r="O280" s="836"/>
    </row>
    <row r="281" spans="1:15" ht="15" customHeight="1">
      <c r="A281" s="38"/>
      <c r="B281" s="39" t="s">
        <v>41</v>
      </c>
      <c r="C281" s="860" t="s">
        <v>361</v>
      </c>
      <c r="D281" s="860"/>
      <c r="E281" s="860"/>
      <c r="F281" s="860"/>
      <c r="G281" s="860"/>
      <c r="I281" s="38"/>
      <c r="J281" s="39" t="s">
        <v>41</v>
      </c>
      <c r="K281" s="860" t="s">
        <v>361</v>
      </c>
      <c r="L281" s="860"/>
      <c r="M281" s="860"/>
      <c r="N281" s="860"/>
      <c r="O281" s="860"/>
    </row>
    <row r="282" spans="1:15" ht="150" customHeight="1">
      <c r="A282" s="40"/>
      <c r="B282" s="556" t="s">
        <v>393</v>
      </c>
      <c r="C282" s="852" t="s">
        <v>394</v>
      </c>
      <c r="D282" s="852"/>
      <c r="E282" s="852"/>
      <c r="F282" s="852"/>
      <c r="G282" s="852"/>
      <c r="I282" s="40"/>
      <c r="J282" s="41" t="s">
        <v>393</v>
      </c>
      <c r="K282" s="869" t="s">
        <v>395</v>
      </c>
      <c r="L282" s="869"/>
      <c r="M282" s="869"/>
      <c r="N282" s="869"/>
      <c r="O282" s="869"/>
    </row>
    <row r="283" spans="1:15" ht="15" customHeight="1" thickBot="1"/>
    <row r="284" spans="1:15" ht="30" customHeight="1" thickTop="1" thickBot="1">
      <c r="A284" s="10"/>
      <c r="B284" s="835" t="str">
        <f>'Obrazac kalkulacije'!$B$6:$C$6</f>
        <v>Opis</v>
      </c>
      <c r="C284" s="835"/>
      <c r="D284" s="10" t="str">
        <f>'Obrazac kalkulacije'!$D$6</f>
        <v>Jed.
mjere</v>
      </c>
      <c r="E284" s="10" t="str">
        <f>'Obrazac kalkulacije'!$E$6</f>
        <v>Normativ</v>
      </c>
      <c r="F284" s="10" t="str">
        <f>'Obrazac kalkulacije'!$F$6</f>
        <v>Jed.
cijena</v>
      </c>
      <c r="G284" s="10" t="str">
        <f>'Obrazac kalkulacije'!$G$6</f>
        <v>Iznos</v>
      </c>
      <c r="I284" s="10"/>
      <c r="J284" s="835" t="e">
        <f>'Obrazac kalkulacije'!$B$6:$C$6</f>
        <v>#VALUE!</v>
      </c>
      <c r="K284" s="835"/>
      <c r="L284" s="10" t="str">
        <f>'Obrazac kalkulacije'!$D$6</f>
        <v>Jed.
mjere</v>
      </c>
      <c r="M284" s="10" t="str">
        <f>'Obrazac kalkulacije'!$E$6</f>
        <v>Normativ</v>
      </c>
      <c r="N284" s="10" t="str">
        <f>'Obrazac kalkulacije'!$F$6</f>
        <v>Jed.
cijena</v>
      </c>
      <c r="O284" s="10" t="str">
        <f>'Obrazac kalkulacije'!$G$6</f>
        <v>Iznos</v>
      </c>
    </row>
    <row r="285" spans="1:15" ht="4.5" customHeight="1" thickTop="1">
      <c r="B285" s="42"/>
      <c r="C285" s="1"/>
      <c r="D285" s="11"/>
      <c r="E285" s="13"/>
      <c r="F285" s="258"/>
      <c r="G285" s="15"/>
      <c r="J285" s="42"/>
      <c r="K285" s="1"/>
      <c r="L285" s="11"/>
      <c r="M285" s="13"/>
      <c r="N285" s="258"/>
      <c r="O285" s="15"/>
    </row>
    <row r="286" spans="1:15" ht="25.15" customHeight="1">
      <c r="A286" s="16"/>
      <c r="B286" s="837" t="str">
        <f>'Obrazac kalkulacije'!$B$8</f>
        <v>Radna snaga:</v>
      </c>
      <c r="C286" s="837"/>
      <c r="D286" s="16"/>
      <c r="E286" s="16"/>
      <c r="F286" s="44"/>
      <c r="G286" s="18">
        <f>SUM(G287:G287)</f>
        <v>84.024000000000001</v>
      </c>
      <c r="I286" s="16"/>
      <c r="J286" s="837" t="str">
        <f>'Obrazac kalkulacije'!$B$8</f>
        <v>Radna snaga:</v>
      </c>
      <c r="K286" s="837"/>
      <c r="L286" s="16"/>
      <c r="M286" s="16"/>
      <c r="N286" s="44"/>
      <c r="O286" s="18">
        <f>SUM(O287:O287)</f>
        <v>74.597557500000008</v>
      </c>
    </row>
    <row r="287" spans="1:15" ht="25.15" customHeight="1">
      <c r="A287" s="32"/>
      <c r="B287" s="854" t="s">
        <v>57</v>
      </c>
      <c r="C287" s="854"/>
      <c r="D287" s="637" t="s">
        <v>51</v>
      </c>
      <c r="E287" s="104">
        <v>0.8</v>
      </c>
      <c r="F287" s="238">
        <f>SUMIF('Cjenik RS'!$C$11:$C$26,$B287,'Cjenik RS'!$D$11:$D$90)</f>
        <v>105.03</v>
      </c>
      <c r="G287" s="46">
        <f>+F287*E287</f>
        <v>84.024000000000001</v>
      </c>
      <c r="I287" s="32"/>
      <c r="J287" s="854" t="s">
        <v>57</v>
      </c>
      <c r="K287" s="854"/>
      <c r="L287" s="33" t="s">
        <v>51</v>
      </c>
      <c r="M287" s="34">
        <v>0.71025000000000005</v>
      </c>
      <c r="N287" s="44">
        <f>SUMIF('Cjenik RS'!$C$11:$C$26,J287,'Cjenik RS'!$D$11:$D$90)</f>
        <v>105.03</v>
      </c>
      <c r="O287" s="35">
        <f>+N287*M287</f>
        <v>74.597557500000008</v>
      </c>
    </row>
    <row r="288" spans="1:15" ht="25.15" customHeight="1">
      <c r="A288" s="16"/>
      <c r="B288" s="837" t="str">
        <f>'Obrazac kalkulacije'!$B$11</f>
        <v>Vozila, strojevi i oprema:</v>
      </c>
      <c r="C288" s="837"/>
      <c r="D288" s="16"/>
      <c r="E288" s="16">
        <v>0</v>
      </c>
      <c r="F288" s="238">
        <f>'Obrazac kalkulacije'!$F$11</f>
        <v>0</v>
      </c>
      <c r="G288" s="18">
        <f>SUM(G289:G290)</f>
        <v>40.373708000000008</v>
      </c>
      <c r="I288" s="16"/>
      <c r="J288" s="837" t="str">
        <f>'Obrazac kalkulacije'!$B$11</f>
        <v>Vozila, strojevi i oprema:</v>
      </c>
      <c r="K288" s="837"/>
      <c r="L288" s="16"/>
      <c r="M288" s="16">
        <v>0</v>
      </c>
      <c r="N288" s="238">
        <f>'Obrazac kalkulacije'!$F$11</f>
        <v>0</v>
      </c>
      <c r="O288" s="18">
        <f>SUM(O289:O290)</f>
        <v>40.373708000000008</v>
      </c>
    </row>
    <row r="289" spans="1:15" ht="25.15" customHeight="1">
      <c r="A289" s="16"/>
      <c r="B289" s="838" t="s">
        <v>69</v>
      </c>
      <c r="C289" s="838"/>
      <c r="D289" s="44" t="s">
        <v>51</v>
      </c>
      <c r="E289" s="45">
        <v>0.10578</v>
      </c>
      <c r="F289" s="238">
        <f>SUMIF('Cjenik VSO'!$B$9:$B$85,$B289,'Cjenik VSO'!$C$9:$C$85)</f>
        <v>179.6</v>
      </c>
      <c r="G289" s="46">
        <f>E289*F289</f>
        <v>18.998087999999999</v>
      </c>
      <c r="I289" s="51"/>
      <c r="J289" s="863" t="s">
        <v>69</v>
      </c>
      <c r="K289" s="863"/>
      <c r="L289" s="52" t="s">
        <v>51</v>
      </c>
      <c r="M289" s="53">
        <v>0.10578</v>
      </c>
      <c r="N289" s="260">
        <f>SUMIF('Cjenik VSO'!$B$9:$B$85,$B289,'Cjenik VSO'!$C$9:$C$85)</f>
        <v>179.6</v>
      </c>
      <c r="O289" s="55">
        <f>M289*N289</f>
        <v>18.998087999999999</v>
      </c>
    </row>
    <row r="290" spans="1:15" ht="25.15" customHeight="1">
      <c r="A290" s="16"/>
      <c r="B290" s="838" t="s">
        <v>288</v>
      </c>
      <c r="C290" s="838"/>
      <c r="D290" s="44" t="s">
        <v>51</v>
      </c>
      <c r="E290" s="45">
        <v>0.12515000000000001</v>
      </c>
      <c r="F290" s="238">
        <f>SUMIF('Cjenik VSO'!$B$9:$B$85,$B290,'Cjenik VSO'!$C$9:$C$85)</f>
        <v>170.8</v>
      </c>
      <c r="G290" s="46">
        <f>E290*F290</f>
        <v>21.375620000000005</v>
      </c>
      <c r="I290" s="61"/>
      <c r="J290" s="864" t="s">
        <v>288</v>
      </c>
      <c r="K290" s="864"/>
      <c r="L290" s="62" t="s">
        <v>51</v>
      </c>
      <c r="M290" s="63">
        <v>0.12515000000000001</v>
      </c>
      <c r="N290" s="261">
        <f>SUMIF('Cjenik VSO'!$B$9:$B$85,$B290,'Cjenik VSO'!$C$9:$C$85)</f>
        <v>170.8</v>
      </c>
      <c r="O290" s="65">
        <f>M290*N290</f>
        <v>21.375620000000005</v>
      </c>
    </row>
    <row r="291" spans="1:15" ht="25.15" customHeight="1">
      <c r="A291" s="16"/>
      <c r="B291" s="837" t="str">
        <f>'Obrazac kalkulacije'!$B$15</f>
        <v>Materijali:</v>
      </c>
      <c r="C291" s="837"/>
      <c r="D291" s="16"/>
      <c r="E291" s="16">
        <v>0</v>
      </c>
      <c r="F291" s="238"/>
      <c r="G291" s="18">
        <f>SUM(G292:G294)</f>
        <v>0</v>
      </c>
      <c r="I291" s="16"/>
      <c r="J291" s="837" t="str">
        <f>'Obrazac kalkulacije'!$B$15</f>
        <v>Materijali:</v>
      </c>
      <c r="K291" s="837"/>
      <c r="L291" s="16"/>
      <c r="M291" s="16">
        <v>0</v>
      </c>
      <c r="N291" s="238"/>
      <c r="O291" s="18">
        <f>SUM(O292:O294)</f>
        <v>0</v>
      </c>
    </row>
    <row r="292" spans="1:15" ht="25.15" customHeight="1">
      <c r="A292" s="16"/>
      <c r="B292" s="838">
        <f>'Cjenik M'!$B$106</f>
        <v>0</v>
      </c>
      <c r="C292" s="838"/>
      <c r="D292" s="44">
        <f>'Cjenik M'!$C$106</f>
        <v>0</v>
      </c>
      <c r="E292" s="45">
        <v>0.66</v>
      </c>
      <c r="F292" s="238">
        <f>'Cjenik M'!$D$106</f>
        <v>0</v>
      </c>
      <c r="G292" s="46">
        <f>E292*F292</f>
        <v>0</v>
      </c>
      <c r="I292" s="51"/>
      <c r="J292" s="863">
        <f>'Cjenik M'!$B$106</f>
        <v>0</v>
      </c>
      <c r="K292" s="863"/>
      <c r="L292" s="52">
        <f>'Cjenik M'!$C$106</f>
        <v>0</v>
      </c>
      <c r="M292" s="53">
        <v>0.59375</v>
      </c>
      <c r="N292" s="260">
        <f>'Cjenik M'!$D$106</f>
        <v>0</v>
      </c>
      <c r="O292" s="55">
        <f>M292*N292</f>
        <v>0</v>
      </c>
    </row>
    <row r="293" spans="1:15" ht="25.15" customHeight="1">
      <c r="A293" s="16"/>
      <c r="B293" s="838">
        <f>'Cjenik M'!$B$111</f>
        <v>0</v>
      </c>
      <c r="C293" s="838"/>
      <c r="D293" s="44">
        <f>'Cjenik M'!$C$61</f>
        <v>0</v>
      </c>
      <c r="E293" s="45">
        <v>1</v>
      </c>
      <c r="F293" s="238">
        <f>'Cjenik M'!$D$111</f>
        <v>0</v>
      </c>
      <c r="G293" s="46">
        <f>E293*F293</f>
        <v>0</v>
      </c>
      <c r="I293" s="84"/>
      <c r="J293" s="873">
        <f>'Cjenik M'!$B$61</f>
        <v>0</v>
      </c>
      <c r="K293" s="873"/>
      <c r="L293" s="78">
        <f>'Cjenik M'!$C$61</f>
        <v>0</v>
      </c>
      <c r="M293" s="85">
        <v>1.25</v>
      </c>
      <c r="N293" s="265">
        <f>'Cjenik M'!$D$61</f>
        <v>0</v>
      </c>
      <c r="O293" s="80">
        <f>M293*N293</f>
        <v>0</v>
      </c>
    </row>
    <row r="294" spans="1:15" ht="25.15" customHeight="1" thickBot="1">
      <c r="A294" s="627"/>
      <c r="B294" s="885">
        <f>'Cjenik M'!$B$82</f>
        <v>0</v>
      </c>
      <c r="C294" s="885"/>
      <c r="D294" s="20">
        <f>'Cjenik M'!$C$82</f>
        <v>0</v>
      </c>
      <c r="E294" s="628">
        <v>2E-3</v>
      </c>
      <c r="F294" s="629">
        <f>'Cjenik M'!$D$82</f>
        <v>0</v>
      </c>
      <c r="G294" s="23">
        <f>E294*F294</f>
        <v>0</v>
      </c>
      <c r="I294" s="74"/>
      <c r="J294" s="873">
        <f>'Cjenik M'!$B$82</f>
        <v>0</v>
      </c>
      <c r="K294" s="873"/>
      <c r="L294" s="78">
        <f>'Cjenik M'!$C$82</f>
        <v>0</v>
      </c>
      <c r="M294" s="85">
        <v>2E-3</v>
      </c>
      <c r="N294" s="265">
        <f>'Cjenik M'!$D$82</f>
        <v>0</v>
      </c>
      <c r="O294" s="80">
        <f>M294*N294</f>
        <v>0</v>
      </c>
    </row>
    <row r="295" spans="1:15" ht="25.15" customHeight="1" thickTop="1" thickBot="1">
      <c r="B295" s="47"/>
      <c r="C295" s="24"/>
      <c r="D295" s="25"/>
      <c r="E295" s="850" t="str">
        <f>'Obrazac kalkulacije'!$E$18</f>
        <v>Ukupno (kn):</v>
      </c>
      <c r="F295" s="850"/>
      <c r="G295" s="26">
        <f>ROUND(SUM(G286+G288+G291),2)</f>
        <v>124.4</v>
      </c>
      <c r="H295" s="269" t="e">
        <f>SUMIF(#REF!,$B282,#REF!)</f>
        <v>#REF!</v>
      </c>
      <c r="J295" s="47"/>
      <c r="K295" s="24"/>
      <c r="L295" s="25"/>
      <c r="M295" s="850" t="str">
        <f>'Obrazac kalkulacije'!$E$18</f>
        <v>Ukupno (kn):</v>
      </c>
      <c r="N295" s="850"/>
      <c r="O295" s="26">
        <f>ROUND(SUM(O286+O288+O291),2)</f>
        <v>114.97</v>
      </c>
    </row>
    <row r="296" spans="1:15" ht="25.15" customHeight="1" thickTop="1" thickBot="1">
      <c r="E296" s="27" t="str">
        <f>'Obrazac kalkulacije'!$E$19</f>
        <v>PDV:</v>
      </c>
      <c r="F296" s="259">
        <f>'Obrazac kalkulacije'!$F$19</f>
        <v>0.25</v>
      </c>
      <c r="G296" s="29">
        <f>G295*F296</f>
        <v>31.1</v>
      </c>
      <c r="H296" s="270" t="e">
        <f>H295-G295</f>
        <v>#REF!</v>
      </c>
      <c r="M296" s="27" t="str">
        <f>'Obrazac kalkulacije'!$E$19</f>
        <v>PDV:</v>
      </c>
      <c r="N296" s="259">
        <f>'Obrazac kalkulacije'!$F$19</f>
        <v>0.25</v>
      </c>
      <c r="O296" s="29">
        <f>O295*N296</f>
        <v>28.7425</v>
      </c>
    </row>
    <row r="297" spans="1:15" ht="25.15" customHeight="1" thickTop="1" thickBot="1">
      <c r="E297" s="840" t="str">
        <f>'Obrazac kalkulacije'!$E$20</f>
        <v>Sveukupno (kn):</v>
      </c>
      <c r="F297" s="840"/>
      <c r="G297" s="29">
        <f>ROUND(SUM(G295:G296),2)</f>
        <v>155.5</v>
      </c>
      <c r="H297" s="271" t="e">
        <f>G293+H296</f>
        <v>#REF!</v>
      </c>
      <c r="M297" s="840" t="str">
        <f>'Obrazac kalkulacije'!$E$20</f>
        <v>Sveukupno (kn):</v>
      </c>
      <c r="N297" s="840"/>
      <c r="O297" s="29">
        <f>ROUND(SUM(O295:O296),2)</f>
        <v>143.71</v>
      </c>
    </row>
    <row r="298" spans="1:15" ht="15" customHeight="1" thickTop="1"/>
    <row r="299" spans="1:15" ht="15" customHeight="1"/>
    <row r="300" spans="1:15" ht="15" customHeight="1"/>
    <row r="301" spans="1:15" ht="15" customHeight="1">
      <c r="C301" s="3" t="str">
        <f>'Obrazac kalkulacije'!$C$24</f>
        <v>IZVODITELJ:</v>
      </c>
      <c r="F301" s="841" t="str">
        <f>'Obrazac kalkulacije'!$F$24</f>
        <v>NARUČITELJ:</v>
      </c>
      <c r="G301" s="841"/>
      <c r="K301" s="3" t="str">
        <f>'Obrazac kalkulacije'!$C$24</f>
        <v>IZVODITELJ:</v>
      </c>
      <c r="N301" s="841" t="str">
        <f>'Obrazac kalkulacije'!$F$24</f>
        <v>NARUČITELJ:</v>
      </c>
      <c r="O301" s="841"/>
    </row>
    <row r="302" spans="1:15" ht="25.15" customHeight="1">
      <c r="C302" s="3" t="str">
        <f>'Obrazac kalkulacije'!$C$25</f>
        <v>__________________</v>
      </c>
      <c r="F302" s="841" t="str">
        <f>'Obrazac kalkulacije'!$F$25</f>
        <v>___________________</v>
      </c>
      <c r="G302" s="841"/>
      <c r="K302" s="3" t="str">
        <f>'Obrazac kalkulacije'!$C$25</f>
        <v>__________________</v>
      </c>
      <c r="N302" s="841" t="str">
        <f>'Obrazac kalkulacije'!$F$25</f>
        <v>___________________</v>
      </c>
      <c r="O302" s="841"/>
    </row>
    <row r="303" spans="1:15" ht="15" customHeight="1">
      <c r="F303" s="841"/>
      <c r="G303" s="841"/>
      <c r="N303" s="841"/>
      <c r="O303" s="841"/>
    </row>
    <row r="304" spans="1:15" ht="15" customHeight="1"/>
    <row r="305" spans="1:15" ht="15" customHeight="1">
      <c r="A305" s="144"/>
      <c r="B305" s="145" t="s">
        <v>39</v>
      </c>
      <c r="C305" s="836" t="s">
        <v>360</v>
      </c>
      <c r="D305" s="836"/>
      <c r="E305" s="836"/>
      <c r="F305" s="836"/>
      <c r="G305" s="836"/>
      <c r="I305" s="144"/>
      <c r="J305" s="145" t="s">
        <v>39</v>
      </c>
      <c r="K305" s="836" t="s">
        <v>360</v>
      </c>
      <c r="L305" s="836"/>
      <c r="M305" s="836"/>
      <c r="N305" s="836"/>
      <c r="O305" s="836"/>
    </row>
    <row r="306" spans="1:15" ht="15" customHeight="1">
      <c r="A306" s="38"/>
      <c r="B306" s="39" t="s">
        <v>41</v>
      </c>
      <c r="C306" s="860" t="s">
        <v>361</v>
      </c>
      <c r="D306" s="860"/>
      <c r="E306" s="860"/>
      <c r="F306" s="860"/>
      <c r="G306" s="860"/>
      <c r="I306" s="38"/>
      <c r="J306" s="39" t="s">
        <v>41</v>
      </c>
      <c r="K306" s="860" t="s">
        <v>361</v>
      </c>
      <c r="L306" s="860"/>
      <c r="M306" s="860"/>
      <c r="N306" s="860"/>
      <c r="O306" s="860"/>
    </row>
    <row r="307" spans="1:15" ht="150" customHeight="1">
      <c r="A307" s="40"/>
      <c r="B307" s="556" t="s">
        <v>396</v>
      </c>
      <c r="C307" s="852" t="s">
        <v>397</v>
      </c>
      <c r="D307" s="852"/>
      <c r="E307" s="852"/>
      <c r="F307" s="852"/>
      <c r="G307" s="852"/>
      <c r="I307" s="40"/>
      <c r="J307" s="41" t="s">
        <v>396</v>
      </c>
      <c r="K307" s="869" t="s">
        <v>398</v>
      </c>
      <c r="L307" s="869"/>
      <c r="M307" s="869"/>
      <c r="N307" s="869"/>
      <c r="O307" s="869"/>
    </row>
    <row r="308" spans="1:15" ht="15" customHeight="1" thickBot="1"/>
    <row r="309" spans="1:15" ht="30" customHeight="1" thickTop="1" thickBot="1">
      <c r="A309" s="10"/>
      <c r="B309" s="835" t="str">
        <f>'Obrazac kalkulacije'!$B$6:$C$6</f>
        <v>Opis</v>
      </c>
      <c r="C309" s="835"/>
      <c r="D309" s="10" t="str">
        <f>'Obrazac kalkulacije'!$D$6</f>
        <v>Jed.
mjere</v>
      </c>
      <c r="E309" s="10" t="str">
        <f>'Obrazac kalkulacije'!$E$6</f>
        <v>Normativ</v>
      </c>
      <c r="F309" s="10" t="str">
        <f>'Obrazac kalkulacije'!$F$6</f>
        <v>Jed.
cijena</v>
      </c>
      <c r="G309" s="10" t="str">
        <f>'Obrazac kalkulacije'!$G$6</f>
        <v>Iznos</v>
      </c>
      <c r="I309" s="10"/>
      <c r="J309" s="835" t="e">
        <f>'Obrazac kalkulacije'!$B$6:$C$6</f>
        <v>#VALUE!</v>
      </c>
      <c r="K309" s="835"/>
      <c r="L309" s="10" t="str">
        <f>'Obrazac kalkulacije'!$D$6</f>
        <v>Jed.
mjere</v>
      </c>
      <c r="M309" s="10" t="str">
        <f>'Obrazac kalkulacije'!$E$6</f>
        <v>Normativ</v>
      </c>
      <c r="N309" s="10" t="str">
        <f>'Obrazac kalkulacije'!$F$6</f>
        <v>Jed.
cijena</v>
      </c>
      <c r="O309" s="10" t="str">
        <f>'Obrazac kalkulacije'!$G$6</f>
        <v>Iznos</v>
      </c>
    </row>
    <row r="310" spans="1:15" ht="4.5" customHeight="1" thickTop="1">
      <c r="B310" s="42"/>
      <c r="C310" s="1"/>
      <c r="D310" s="11"/>
      <c r="E310" s="13"/>
      <c r="F310" s="258"/>
      <c r="G310" s="15"/>
      <c r="J310" s="42"/>
      <c r="K310" s="1"/>
      <c r="L310" s="11"/>
      <c r="M310" s="13"/>
      <c r="N310" s="258"/>
      <c r="O310" s="15"/>
    </row>
    <row r="311" spans="1:15" ht="25.15" customHeight="1">
      <c r="A311" s="16"/>
      <c r="B311" s="837" t="str">
        <f>'Obrazac kalkulacije'!$B$8</f>
        <v>Radna snaga:</v>
      </c>
      <c r="C311" s="837"/>
      <c r="D311" s="16"/>
      <c r="E311" s="16"/>
      <c r="F311" s="44"/>
      <c r="G311" s="18">
        <f>SUM(G312:G312)</f>
        <v>84.024000000000001</v>
      </c>
      <c r="I311" s="16"/>
      <c r="J311" s="837" t="str">
        <f>'Obrazac kalkulacije'!$B$8</f>
        <v>Radna snaga:</v>
      </c>
      <c r="K311" s="837"/>
      <c r="L311" s="16"/>
      <c r="M311" s="16"/>
      <c r="N311" s="44"/>
      <c r="O311" s="18">
        <f>SUM(O312:O312)</f>
        <v>76.418042490000005</v>
      </c>
    </row>
    <row r="312" spans="1:15" ht="25.15" customHeight="1">
      <c r="A312" s="32"/>
      <c r="B312" s="854" t="s">
        <v>57</v>
      </c>
      <c r="C312" s="854"/>
      <c r="D312" s="33" t="s">
        <v>51</v>
      </c>
      <c r="E312" s="34">
        <v>0.8</v>
      </c>
      <c r="F312" s="238">
        <f>SUMIF('Cjenik RS'!$C$11:$C$26,$B312,'Cjenik RS'!$D$11:$D$90)</f>
        <v>105.03</v>
      </c>
      <c r="G312" s="35">
        <f>+F312*E312</f>
        <v>84.024000000000001</v>
      </c>
      <c r="I312" s="32"/>
      <c r="J312" s="854" t="s">
        <v>57</v>
      </c>
      <c r="K312" s="854"/>
      <c r="L312" s="33" t="s">
        <v>51</v>
      </c>
      <c r="M312" s="34">
        <v>0.72758299999999998</v>
      </c>
      <c r="N312" s="44">
        <f>SUMIF('Cjenik RS'!$C$11:$C$26,J312,'Cjenik RS'!$D$11:$D$90)</f>
        <v>105.03</v>
      </c>
      <c r="O312" s="35">
        <f>+N312*M312</f>
        <v>76.418042490000005</v>
      </c>
    </row>
    <row r="313" spans="1:15" ht="25.15" customHeight="1">
      <c r="A313" s="16"/>
      <c r="B313" s="837" t="str">
        <f>'Obrazac kalkulacije'!$B$11</f>
        <v>Vozila, strojevi i oprema:</v>
      </c>
      <c r="C313" s="837"/>
      <c r="D313" s="16"/>
      <c r="E313" s="16">
        <v>0</v>
      </c>
      <c r="F313" s="238">
        <f>'Obrazac kalkulacije'!$F$11</f>
        <v>0</v>
      </c>
      <c r="G313" s="18">
        <f>SUM(G314:G316)</f>
        <v>37.719864399999999</v>
      </c>
      <c r="I313" s="16"/>
      <c r="J313" s="837" t="str">
        <f>'Obrazac kalkulacije'!$B$11</f>
        <v>Vozila, strojevi i oprema:</v>
      </c>
      <c r="K313" s="837"/>
      <c r="L313" s="16"/>
      <c r="M313" s="16">
        <v>0</v>
      </c>
      <c r="N313" s="238">
        <f>'Obrazac kalkulacije'!$F$11</f>
        <v>0</v>
      </c>
      <c r="O313" s="18">
        <f>SUM(O314:O316)</f>
        <v>37.719864399999999</v>
      </c>
    </row>
    <row r="314" spans="1:15" ht="25.15" customHeight="1">
      <c r="A314" s="51"/>
      <c r="B314" s="863" t="s">
        <v>69</v>
      </c>
      <c r="C314" s="863"/>
      <c r="D314" s="52" t="s">
        <v>51</v>
      </c>
      <c r="E314" s="53">
        <v>0.10077999999999999</v>
      </c>
      <c r="F314" s="260">
        <f>SUMIF('Cjenik VSO'!$B$9:$B$85,$B314,'Cjenik VSO'!$C$9:$C$85)</f>
        <v>179.6</v>
      </c>
      <c r="G314" s="55">
        <f>E314*F314</f>
        <v>18.100088</v>
      </c>
      <c r="I314" s="51"/>
      <c r="J314" s="863" t="s">
        <v>69</v>
      </c>
      <c r="K314" s="863"/>
      <c r="L314" s="52" t="s">
        <v>51</v>
      </c>
      <c r="M314" s="53">
        <v>0.10077999999999999</v>
      </c>
      <c r="N314" s="260">
        <f>SUMIF('Cjenik VSO'!$B$9:$B$85,$B314,'Cjenik VSO'!$C$9:$C$85)</f>
        <v>179.6</v>
      </c>
      <c r="O314" s="55">
        <f>M314*N314</f>
        <v>18.100088</v>
      </c>
    </row>
    <row r="315" spans="1:15" ht="25.15" customHeight="1">
      <c r="A315" s="56"/>
      <c r="B315" s="834" t="s">
        <v>288</v>
      </c>
      <c r="C315" s="834"/>
      <c r="D315" s="57" t="s">
        <v>51</v>
      </c>
      <c r="E315" s="58">
        <v>0.10208299999999999</v>
      </c>
      <c r="F315" s="263">
        <f>SUMIF('Cjenik VSO'!$B$9:$B$85,$B315,'Cjenik VSO'!$C$9:$C$85)</f>
        <v>170.8</v>
      </c>
      <c r="G315" s="60">
        <f>E315*F315</f>
        <v>17.435776400000002</v>
      </c>
      <c r="I315" s="56"/>
      <c r="J315" s="834" t="s">
        <v>288</v>
      </c>
      <c r="K315" s="834"/>
      <c r="L315" s="57" t="s">
        <v>51</v>
      </c>
      <c r="M315" s="58">
        <v>0.10208299999999999</v>
      </c>
      <c r="N315" s="263">
        <f>SUMIF('Cjenik VSO'!$B$9:$B$85,$B315,'Cjenik VSO'!$C$9:$C$85)</f>
        <v>170.8</v>
      </c>
      <c r="O315" s="60">
        <f>M315*N315</f>
        <v>17.435776400000002</v>
      </c>
    </row>
    <row r="316" spans="1:15" ht="25.15" customHeight="1">
      <c r="A316" s="61"/>
      <c r="B316" s="864" t="s">
        <v>200</v>
      </c>
      <c r="C316" s="864"/>
      <c r="D316" s="62" t="s">
        <v>51</v>
      </c>
      <c r="E316" s="63">
        <v>0.1</v>
      </c>
      <c r="F316" s="261">
        <f>SUMIF('Cjenik VSO'!$B$9:$B$85,$B316,'Cjenik VSO'!$C$9:$C$85)</f>
        <v>21.84</v>
      </c>
      <c r="G316" s="65">
        <f>E316*F316</f>
        <v>2.1840000000000002</v>
      </c>
      <c r="I316" s="61"/>
      <c r="J316" s="864" t="s">
        <v>200</v>
      </c>
      <c r="K316" s="864"/>
      <c r="L316" s="62" t="s">
        <v>51</v>
      </c>
      <c r="M316" s="63">
        <v>0.1</v>
      </c>
      <c r="N316" s="261">
        <f>SUMIF('Cjenik VSO'!$B$9:$B$85,$B316,'Cjenik VSO'!$C$9:$C$85)</f>
        <v>21.84</v>
      </c>
      <c r="O316" s="65">
        <f>M316*N316</f>
        <v>2.1840000000000002</v>
      </c>
    </row>
    <row r="317" spans="1:15" ht="25.15" customHeight="1">
      <c r="A317" s="88"/>
      <c r="B317" s="879" t="str">
        <f>'Obrazac kalkulacije'!$B$15</f>
        <v>Materijali:</v>
      </c>
      <c r="C317" s="879"/>
      <c r="D317" s="88"/>
      <c r="E317" s="88">
        <v>0</v>
      </c>
      <c r="F317" s="264"/>
      <c r="G317" s="94">
        <f>SUM(G318:G319)</f>
        <v>0</v>
      </c>
      <c r="I317" s="88"/>
      <c r="J317" s="879" t="str">
        <f>'Obrazac kalkulacije'!$B$15</f>
        <v>Materijali:</v>
      </c>
      <c r="K317" s="879"/>
      <c r="L317" s="88"/>
      <c r="M317" s="88">
        <v>0</v>
      </c>
      <c r="N317" s="264"/>
      <c r="O317" s="94">
        <f>SUM(O318:O319)</f>
        <v>0</v>
      </c>
    </row>
    <row r="318" spans="1:15" ht="25.15" customHeight="1">
      <c r="A318" s="51"/>
      <c r="B318" s="863">
        <f>'Cjenik M'!$B$106</f>
        <v>0</v>
      </c>
      <c r="C318" s="863"/>
      <c r="D318" s="52">
        <f>'Cjenik M'!$C$106</f>
        <v>0</v>
      </c>
      <c r="E318" s="53">
        <v>0.66</v>
      </c>
      <c r="F318" s="260">
        <f>'Cjenik M'!$D$106</f>
        <v>0</v>
      </c>
      <c r="G318" s="55">
        <f>E318*F318</f>
        <v>0</v>
      </c>
      <c r="I318" s="51"/>
      <c r="J318" s="863">
        <f>'Cjenik M'!$B$106</f>
        <v>0</v>
      </c>
      <c r="K318" s="863"/>
      <c r="L318" s="52">
        <f>'Cjenik M'!$C$106</f>
        <v>0</v>
      </c>
      <c r="M318" s="53">
        <v>0.59375</v>
      </c>
      <c r="N318" s="260">
        <f>'Cjenik M'!$D$106</f>
        <v>0</v>
      </c>
      <c r="O318" s="55">
        <f>M318*N318</f>
        <v>0</v>
      </c>
    </row>
    <row r="319" spans="1:15" ht="25.15" customHeight="1" thickBot="1">
      <c r="A319" s="66"/>
      <c r="B319" s="864">
        <f>'Cjenik M'!$B$111</f>
        <v>0</v>
      </c>
      <c r="C319" s="864"/>
      <c r="D319" s="62">
        <f>'Cjenik M'!$C$61</f>
        <v>0</v>
      </c>
      <c r="E319" s="63">
        <v>1</v>
      </c>
      <c r="F319" s="261">
        <f>'Cjenik M'!$D$111</f>
        <v>0</v>
      </c>
      <c r="G319" s="80">
        <f>E319*F319</f>
        <v>0</v>
      </c>
      <c r="I319" s="66"/>
      <c r="J319" s="873">
        <f>'Cjenik M'!$B$61</f>
        <v>0</v>
      </c>
      <c r="K319" s="873"/>
      <c r="L319" s="78">
        <f>'Cjenik M'!$C$61</f>
        <v>0</v>
      </c>
      <c r="M319" s="85">
        <v>1.25</v>
      </c>
      <c r="N319" s="265">
        <f>'Cjenik M'!$D$61</f>
        <v>0</v>
      </c>
      <c r="O319" s="80">
        <f>M319*N319</f>
        <v>0</v>
      </c>
    </row>
    <row r="320" spans="1:15" ht="25.15" customHeight="1" thickTop="1" thickBot="1">
      <c r="B320" s="47"/>
      <c r="C320" s="24"/>
      <c r="D320" s="25"/>
      <c r="E320" s="850" t="str">
        <f>'Obrazac kalkulacije'!$E$18</f>
        <v>Ukupno (kn):</v>
      </c>
      <c r="F320" s="850"/>
      <c r="G320" s="26">
        <f>ROUND(SUM(G311+G313+G317),2)</f>
        <v>121.74</v>
      </c>
      <c r="H320" s="269" t="e">
        <f>SUMIF(#REF!,$B307,#REF!)</f>
        <v>#REF!</v>
      </c>
      <c r="J320" s="47"/>
      <c r="K320" s="24"/>
      <c r="L320" s="25"/>
      <c r="M320" s="850" t="str">
        <f>'Obrazac kalkulacije'!$E$18</f>
        <v>Ukupno (kn):</v>
      </c>
      <c r="N320" s="850"/>
      <c r="O320" s="26">
        <f>ROUND(SUM(O311+O313+O317),2)</f>
        <v>114.14</v>
      </c>
    </row>
    <row r="321" spans="1:15" ht="25.15" customHeight="1" thickTop="1" thickBot="1">
      <c r="E321" s="27" t="str">
        <f>'Obrazac kalkulacije'!$E$19</f>
        <v>PDV:</v>
      </c>
      <c r="F321" s="259">
        <f>'Obrazac kalkulacije'!$F$19</f>
        <v>0.25</v>
      </c>
      <c r="G321" s="29">
        <f>G320*F321</f>
        <v>30.434999999999999</v>
      </c>
      <c r="H321" s="270" t="e">
        <f>H320-G320</f>
        <v>#REF!</v>
      </c>
      <c r="M321" s="27" t="str">
        <f>'Obrazac kalkulacije'!$E$19</f>
        <v>PDV:</v>
      </c>
      <c r="N321" s="259">
        <f>'Obrazac kalkulacije'!$F$19</f>
        <v>0.25</v>
      </c>
      <c r="O321" s="29">
        <f>O320*N321</f>
        <v>28.535</v>
      </c>
    </row>
    <row r="322" spans="1:15" ht="25.15" customHeight="1" thickTop="1" thickBot="1">
      <c r="E322" s="840" t="str">
        <f>'Obrazac kalkulacije'!$E$20</f>
        <v>Sveukupno (kn):</v>
      </c>
      <c r="F322" s="840"/>
      <c r="G322" s="29">
        <f>ROUND(SUM(G320:G321),2)</f>
        <v>152.18</v>
      </c>
      <c r="H322" s="271" t="e">
        <f>G319+H321</f>
        <v>#REF!</v>
      </c>
      <c r="M322" s="840" t="str">
        <f>'Obrazac kalkulacije'!$E$20</f>
        <v>Sveukupno (kn):</v>
      </c>
      <c r="N322" s="840"/>
      <c r="O322" s="29">
        <f>ROUND(SUM(O320:O321),2)</f>
        <v>142.68</v>
      </c>
    </row>
    <row r="323" spans="1:15" ht="15" customHeight="1" thickTop="1"/>
    <row r="324" spans="1:15" ht="15" customHeight="1"/>
    <row r="325" spans="1:15" ht="15" customHeight="1"/>
    <row r="326" spans="1:15" ht="15" customHeight="1">
      <c r="C326" s="3" t="str">
        <f>'Obrazac kalkulacije'!$C$24</f>
        <v>IZVODITELJ:</v>
      </c>
      <c r="F326" s="841" t="str">
        <f>'Obrazac kalkulacije'!$F$24</f>
        <v>NARUČITELJ:</v>
      </c>
      <c r="G326" s="841"/>
      <c r="K326" s="3" t="str">
        <f>'Obrazac kalkulacije'!$C$24</f>
        <v>IZVODITELJ:</v>
      </c>
      <c r="N326" s="841" t="str">
        <f>'Obrazac kalkulacije'!$F$24</f>
        <v>NARUČITELJ:</v>
      </c>
      <c r="O326" s="841"/>
    </row>
    <row r="327" spans="1:15" ht="25.15" customHeight="1">
      <c r="C327" s="3" t="str">
        <f>'Obrazac kalkulacije'!$C$25</f>
        <v>__________________</v>
      </c>
      <c r="F327" s="841" t="str">
        <f>'Obrazac kalkulacije'!$F$25</f>
        <v>___________________</v>
      </c>
      <c r="G327" s="841"/>
      <c r="K327" s="3" t="str">
        <f>'Obrazac kalkulacije'!$C$25</f>
        <v>__________________</v>
      </c>
      <c r="N327" s="841" t="str">
        <f>'Obrazac kalkulacije'!$F$25</f>
        <v>___________________</v>
      </c>
      <c r="O327" s="841"/>
    </row>
    <row r="328" spans="1:15" ht="15" customHeight="1">
      <c r="F328" s="841"/>
      <c r="G328" s="841"/>
      <c r="N328" s="841"/>
      <c r="O328" s="841"/>
    </row>
    <row r="329" spans="1:15" ht="15" customHeight="1"/>
    <row r="330" spans="1:15" ht="15" customHeight="1">
      <c r="A330" s="144"/>
      <c r="B330" s="145" t="s">
        <v>39</v>
      </c>
      <c r="C330" s="836" t="s">
        <v>360</v>
      </c>
      <c r="D330" s="836"/>
      <c r="E330" s="836"/>
      <c r="F330" s="836"/>
      <c r="G330" s="836"/>
      <c r="I330" s="144"/>
      <c r="J330" s="145" t="s">
        <v>39</v>
      </c>
      <c r="K330" s="836" t="s">
        <v>360</v>
      </c>
      <c r="L330" s="836"/>
      <c r="M330" s="836"/>
      <c r="N330" s="836"/>
      <c r="O330" s="836"/>
    </row>
    <row r="331" spans="1:15" ht="15" customHeight="1">
      <c r="A331" s="38"/>
      <c r="B331" s="39" t="s">
        <v>41</v>
      </c>
      <c r="C331" s="860" t="s">
        <v>361</v>
      </c>
      <c r="D331" s="860"/>
      <c r="E331" s="860"/>
      <c r="F331" s="860"/>
      <c r="G331" s="860"/>
      <c r="I331" s="38"/>
      <c r="J331" s="39" t="s">
        <v>41</v>
      </c>
      <c r="K331" s="860" t="s">
        <v>361</v>
      </c>
      <c r="L331" s="860"/>
      <c r="M331" s="860"/>
      <c r="N331" s="860"/>
      <c r="O331" s="860"/>
    </row>
    <row r="332" spans="1:15" ht="150" customHeight="1">
      <c r="A332" s="40"/>
      <c r="B332" s="556" t="s">
        <v>399</v>
      </c>
      <c r="C332" s="852" t="s">
        <v>400</v>
      </c>
      <c r="D332" s="852"/>
      <c r="E332" s="852"/>
      <c r="F332" s="852"/>
      <c r="G332" s="852"/>
      <c r="I332" s="40"/>
      <c r="J332" s="41" t="s">
        <v>399</v>
      </c>
      <c r="K332" s="869" t="s">
        <v>401</v>
      </c>
      <c r="L332" s="869"/>
      <c r="M332" s="869"/>
      <c r="N332" s="869"/>
      <c r="O332" s="869"/>
    </row>
    <row r="333" spans="1:15" ht="15" customHeight="1" thickBot="1"/>
    <row r="334" spans="1:15" ht="30" customHeight="1" thickTop="1" thickBot="1">
      <c r="A334" s="10"/>
      <c r="B334" s="835" t="str">
        <f>'Obrazac kalkulacije'!$B$6:$C$6</f>
        <v>Opis</v>
      </c>
      <c r="C334" s="835"/>
      <c r="D334" s="10" t="str">
        <f>'Obrazac kalkulacije'!$D$6</f>
        <v>Jed.
mjere</v>
      </c>
      <c r="E334" s="10" t="str">
        <f>'Obrazac kalkulacije'!$E$6</f>
        <v>Normativ</v>
      </c>
      <c r="F334" s="10" t="str">
        <f>'Obrazac kalkulacije'!$F$6</f>
        <v>Jed.
cijena</v>
      </c>
      <c r="G334" s="10" t="str">
        <f>'Obrazac kalkulacije'!$G$6</f>
        <v>Iznos</v>
      </c>
      <c r="I334" s="10"/>
      <c r="J334" s="835" t="e">
        <f>'Obrazac kalkulacije'!$B$6:$C$6</f>
        <v>#VALUE!</v>
      </c>
      <c r="K334" s="835"/>
      <c r="L334" s="10" t="str">
        <f>'Obrazac kalkulacije'!$D$6</f>
        <v>Jed.
mjere</v>
      </c>
      <c r="M334" s="10" t="str">
        <f>'Obrazac kalkulacije'!$E$6</f>
        <v>Normativ</v>
      </c>
      <c r="N334" s="10" t="str">
        <f>'Obrazac kalkulacije'!$F$6</f>
        <v>Jed.
cijena</v>
      </c>
      <c r="O334" s="10" t="str">
        <f>'Obrazac kalkulacije'!$G$6</f>
        <v>Iznos</v>
      </c>
    </row>
    <row r="335" spans="1:15" ht="4.5" customHeight="1" thickTop="1">
      <c r="B335" s="42"/>
      <c r="C335" s="1"/>
      <c r="D335" s="11"/>
      <c r="E335" s="13"/>
      <c r="F335" s="258"/>
      <c r="G335" s="15"/>
      <c r="J335" s="42"/>
      <c r="K335" s="1"/>
      <c r="L335" s="11"/>
      <c r="M335" s="13"/>
      <c r="N335" s="258"/>
      <c r="O335" s="15"/>
    </row>
    <row r="336" spans="1:15" ht="25.15" customHeight="1">
      <c r="A336" s="16"/>
      <c r="B336" s="837" t="str">
        <f>'Obrazac kalkulacije'!$B$8</f>
        <v>Radna snaga:</v>
      </c>
      <c r="C336" s="837"/>
      <c r="D336" s="16"/>
      <c r="E336" s="16"/>
      <c r="F336" s="44"/>
      <c r="G336" s="18">
        <f>SUM(G337:G337)</f>
        <v>105.03</v>
      </c>
      <c r="I336" s="16"/>
      <c r="J336" s="837" t="str">
        <f>'Obrazac kalkulacije'!$B$8</f>
        <v>Radna snaga:</v>
      </c>
      <c r="K336" s="837"/>
      <c r="L336" s="16"/>
      <c r="M336" s="16"/>
      <c r="N336" s="44"/>
      <c r="O336" s="18">
        <f>SUM(O337:O337)</f>
        <v>89.763889500000005</v>
      </c>
    </row>
    <row r="337" spans="1:15" ht="25.15" customHeight="1">
      <c r="A337" s="32"/>
      <c r="B337" s="854" t="s">
        <v>57</v>
      </c>
      <c r="C337" s="854"/>
      <c r="D337" s="637" t="s">
        <v>51</v>
      </c>
      <c r="E337" s="104">
        <v>1</v>
      </c>
      <c r="F337" s="238">
        <f>SUMIF('Cjenik RS'!$C$11:$C$26,$B337,'Cjenik RS'!$D$11:$D$90)</f>
        <v>105.03</v>
      </c>
      <c r="G337" s="46">
        <f>+F337*E337</f>
        <v>105.03</v>
      </c>
      <c r="I337" s="32"/>
      <c r="J337" s="854" t="s">
        <v>57</v>
      </c>
      <c r="K337" s="854"/>
      <c r="L337" s="33" t="s">
        <v>51</v>
      </c>
      <c r="M337" s="34">
        <v>0.85465000000000002</v>
      </c>
      <c r="N337" s="44">
        <f>SUMIF('Cjenik RS'!$C$11:$C$26,J337,'Cjenik RS'!$D$11:$D$90)</f>
        <v>105.03</v>
      </c>
      <c r="O337" s="35">
        <f>+N337*M337</f>
        <v>89.763889500000005</v>
      </c>
    </row>
    <row r="338" spans="1:15" ht="25.15" customHeight="1">
      <c r="A338" s="16"/>
      <c r="B338" s="837" t="str">
        <f>'Obrazac kalkulacije'!$B$11</f>
        <v>Vozila, strojevi i oprema:</v>
      </c>
      <c r="C338" s="837"/>
      <c r="D338" s="16"/>
      <c r="E338" s="16">
        <v>0</v>
      </c>
      <c r="F338" s="238">
        <f>'Obrazac kalkulacije'!$F$11</f>
        <v>0</v>
      </c>
      <c r="G338" s="18">
        <f>SUM(G339:G340)</f>
        <v>52.56</v>
      </c>
      <c r="I338" s="16"/>
      <c r="J338" s="837" t="str">
        <f>'Obrazac kalkulacije'!$B$11</f>
        <v>Vozila, strojevi i oprema:</v>
      </c>
      <c r="K338" s="837"/>
      <c r="L338" s="16"/>
      <c r="M338" s="16">
        <v>0</v>
      </c>
      <c r="N338" s="238">
        <f>'Obrazac kalkulacije'!$F$11</f>
        <v>0</v>
      </c>
      <c r="O338" s="18">
        <f>SUM(O339:O340)</f>
        <v>50.211787999999999</v>
      </c>
    </row>
    <row r="339" spans="1:15" ht="25.15" customHeight="1">
      <c r="A339" s="16"/>
      <c r="B339" s="838" t="s">
        <v>69</v>
      </c>
      <c r="C339" s="838"/>
      <c r="D339" s="44" t="s">
        <v>51</v>
      </c>
      <c r="E339" s="45">
        <v>0.15</v>
      </c>
      <c r="F339" s="238">
        <f>SUMIF('Cjenik VSO'!$B$9:$B$85,$B339,'Cjenik VSO'!$C$9:$C$85)</f>
        <v>179.6</v>
      </c>
      <c r="G339" s="46">
        <f>E339*F339</f>
        <v>26.939999999999998</v>
      </c>
      <c r="I339" s="51"/>
      <c r="J339" s="863" t="s">
        <v>69</v>
      </c>
      <c r="K339" s="863"/>
      <c r="L339" s="52" t="s">
        <v>51</v>
      </c>
      <c r="M339" s="53">
        <v>0.10578</v>
      </c>
      <c r="N339" s="260">
        <f>SUMIF('Cjenik VSO'!$B$9:$B$85,$B339,'Cjenik VSO'!$C$9:$C$85)</f>
        <v>179.6</v>
      </c>
      <c r="O339" s="55">
        <f>M339*N339</f>
        <v>18.998087999999999</v>
      </c>
    </row>
    <row r="340" spans="1:15" ht="25.15" customHeight="1">
      <c r="A340" s="16"/>
      <c r="B340" s="838" t="s">
        <v>288</v>
      </c>
      <c r="C340" s="838"/>
      <c r="D340" s="44" t="s">
        <v>51</v>
      </c>
      <c r="E340" s="45">
        <v>0.15</v>
      </c>
      <c r="F340" s="238">
        <f>SUMIF('Cjenik VSO'!$B$9:$B$85,$B340,'Cjenik VSO'!$C$9:$C$85)</f>
        <v>170.8</v>
      </c>
      <c r="G340" s="46">
        <f>E340*F340</f>
        <v>25.62</v>
      </c>
      <c r="I340" s="84"/>
      <c r="J340" s="873" t="s">
        <v>288</v>
      </c>
      <c r="K340" s="873"/>
      <c r="L340" s="78" t="s">
        <v>51</v>
      </c>
      <c r="M340" s="85">
        <v>0.18275</v>
      </c>
      <c r="N340" s="265">
        <f>SUMIF('Cjenik VSO'!$B$9:$B$85,$B340,'Cjenik VSO'!$C$9:$C$85)</f>
        <v>170.8</v>
      </c>
      <c r="O340" s="80">
        <f>M340*N340</f>
        <v>31.213700000000003</v>
      </c>
    </row>
    <row r="341" spans="1:15" ht="25.15" customHeight="1">
      <c r="A341" s="16"/>
      <c r="B341" s="837" t="str">
        <f>'Obrazac kalkulacije'!$B$15</f>
        <v>Materijali:</v>
      </c>
      <c r="C341" s="837"/>
      <c r="D341" s="16"/>
      <c r="E341" s="16">
        <v>0</v>
      </c>
      <c r="F341" s="238"/>
      <c r="G341" s="18">
        <f>SUM(G342:G344)</f>
        <v>0</v>
      </c>
      <c r="I341" s="16"/>
      <c r="J341" s="837" t="str">
        <f>'Obrazac kalkulacije'!$B$15</f>
        <v>Materijali:</v>
      </c>
      <c r="K341" s="837"/>
      <c r="L341" s="16"/>
      <c r="M341" s="16">
        <v>0</v>
      </c>
      <c r="N341" s="238"/>
      <c r="O341" s="18">
        <f>SUM(O342:O344)</f>
        <v>0</v>
      </c>
    </row>
    <row r="342" spans="1:15" ht="25.15" customHeight="1">
      <c r="A342" s="16"/>
      <c r="B342" s="838">
        <f>'Cjenik M'!$B$62</f>
        <v>0</v>
      </c>
      <c r="C342" s="838"/>
      <c r="D342" s="44">
        <f>'Cjenik M'!$C$62</f>
        <v>0</v>
      </c>
      <c r="E342" s="45">
        <v>0.6</v>
      </c>
      <c r="F342" s="238">
        <f>'Cjenik M'!$D$62</f>
        <v>0</v>
      </c>
      <c r="G342" s="46">
        <f>E342*F342</f>
        <v>0</v>
      </c>
      <c r="I342" s="51"/>
      <c r="J342" s="863">
        <f>'Cjenik M'!$B$62</f>
        <v>0</v>
      </c>
      <c r="K342" s="863"/>
      <c r="L342" s="52">
        <f>'Cjenik M'!$C$62</f>
        <v>0</v>
      </c>
      <c r="M342" s="53">
        <v>0.59375</v>
      </c>
      <c r="N342" s="260">
        <f>'Cjenik M'!$D$62</f>
        <v>0</v>
      </c>
      <c r="O342" s="55">
        <f>M342*N342</f>
        <v>0</v>
      </c>
    </row>
    <row r="343" spans="1:15" ht="25.15" customHeight="1">
      <c r="A343" s="16"/>
      <c r="B343" s="838">
        <f>'Cjenik M'!$B$111</f>
        <v>0</v>
      </c>
      <c r="C343" s="838"/>
      <c r="D343" s="44">
        <f>'Cjenik M'!$C$61</f>
        <v>0</v>
      </c>
      <c r="E343" s="45">
        <v>1</v>
      </c>
      <c r="F343" s="238">
        <f>'Cjenik M'!$D$111</f>
        <v>0</v>
      </c>
      <c r="G343" s="46">
        <f>E343*F343</f>
        <v>0</v>
      </c>
      <c r="I343" s="56"/>
      <c r="J343" s="834">
        <f>'Cjenik M'!$B$61</f>
        <v>0</v>
      </c>
      <c r="K343" s="834"/>
      <c r="L343" s="57">
        <f>'Cjenik M'!$C$61</f>
        <v>0</v>
      </c>
      <c r="M343" s="58">
        <v>1.25</v>
      </c>
      <c r="N343" s="263">
        <f>'Cjenik M'!$D$61</f>
        <v>0</v>
      </c>
      <c r="O343" s="60">
        <f>M343*N343</f>
        <v>0</v>
      </c>
    </row>
    <row r="344" spans="1:15" ht="25.15" customHeight="1" thickBot="1">
      <c r="A344" s="632"/>
      <c r="B344" s="881">
        <f>'Cjenik M'!$B$34</f>
        <v>0</v>
      </c>
      <c r="C344" s="881"/>
      <c r="D344" s="633">
        <f>'Cjenik M'!$C$34</f>
        <v>0</v>
      </c>
      <c r="E344" s="634">
        <v>0.02</v>
      </c>
      <c r="F344" s="635">
        <f>'Cjenik M'!$D$34</f>
        <v>0</v>
      </c>
      <c r="G344" s="636">
        <f>E344*F344</f>
        <v>0</v>
      </c>
      <c r="I344" s="66"/>
      <c r="J344" s="859">
        <f>'Cjenik M'!$B$34</f>
        <v>0</v>
      </c>
      <c r="K344" s="859"/>
      <c r="L344" s="67">
        <f>'Cjenik M'!$C$34</f>
        <v>0</v>
      </c>
      <c r="M344" s="68">
        <v>0.02</v>
      </c>
      <c r="N344" s="262">
        <f>'Cjenik M'!$D$34</f>
        <v>0</v>
      </c>
      <c r="O344" s="70">
        <f>M344*N344</f>
        <v>0</v>
      </c>
    </row>
    <row r="345" spans="1:15" ht="25.15" customHeight="1" thickTop="1" thickBot="1">
      <c r="E345" s="868" t="str">
        <f>'Obrazac kalkulacije'!$E$18</f>
        <v>Ukupno (kn):</v>
      </c>
      <c r="F345" s="868"/>
      <c r="G345" s="71">
        <f>ROUND(SUM(G336+G338+G341),2)</f>
        <v>157.59</v>
      </c>
      <c r="H345" s="269" t="e">
        <f>SUMIF(#REF!,$B332,#REF!)</f>
        <v>#REF!</v>
      </c>
      <c r="M345" s="868" t="str">
        <f>'Obrazac kalkulacije'!$E$18</f>
        <v>Ukupno (kn):</v>
      </c>
      <c r="N345" s="868"/>
      <c r="O345" s="71">
        <f>ROUND(SUM(O336+O338+O341),2)</f>
        <v>139.97999999999999</v>
      </c>
    </row>
    <row r="346" spans="1:15" ht="25.15" customHeight="1" thickTop="1" thickBot="1">
      <c r="E346" s="27" t="str">
        <f>'Obrazac kalkulacije'!$E$19</f>
        <v>PDV:</v>
      </c>
      <c r="F346" s="259">
        <f>'Obrazac kalkulacije'!$F$19</f>
        <v>0.25</v>
      </c>
      <c r="G346" s="29">
        <f>G345*F346</f>
        <v>39.397500000000001</v>
      </c>
      <c r="H346" s="270" t="e">
        <f>H345-G345</f>
        <v>#REF!</v>
      </c>
      <c r="M346" s="27" t="str">
        <f>'Obrazac kalkulacije'!$E$19</f>
        <v>PDV:</v>
      </c>
      <c r="N346" s="259">
        <f>'Obrazac kalkulacije'!$F$19</f>
        <v>0.25</v>
      </c>
      <c r="O346" s="29">
        <f>O345*N346</f>
        <v>34.994999999999997</v>
      </c>
    </row>
    <row r="347" spans="1:15" ht="25.15" customHeight="1" thickTop="1" thickBot="1">
      <c r="E347" s="840" t="str">
        <f>'Obrazac kalkulacije'!$E$20</f>
        <v>Sveukupno (kn):</v>
      </c>
      <c r="F347" s="840"/>
      <c r="G347" s="29">
        <f>ROUND(SUM(G345:G346),2)</f>
        <v>196.99</v>
      </c>
      <c r="H347" s="271" t="e">
        <f>G343+H346</f>
        <v>#REF!</v>
      </c>
      <c r="M347" s="840" t="str">
        <f>'Obrazac kalkulacije'!$E$20</f>
        <v>Sveukupno (kn):</v>
      </c>
      <c r="N347" s="840"/>
      <c r="O347" s="29">
        <f>ROUND(SUM(O345:O346),2)</f>
        <v>174.98</v>
      </c>
    </row>
    <row r="348" spans="1:15" ht="15" customHeight="1" thickTop="1"/>
    <row r="349" spans="1:15" ht="15" customHeight="1"/>
    <row r="350" spans="1:15" ht="15" customHeight="1"/>
    <row r="351" spans="1:15" ht="15" customHeight="1">
      <c r="C351" s="3" t="str">
        <f>'Obrazac kalkulacije'!$C$24</f>
        <v>IZVODITELJ:</v>
      </c>
      <c r="F351" s="841" t="str">
        <f>'Obrazac kalkulacije'!$F$24</f>
        <v>NARUČITELJ:</v>
      </c>
      <c r="G351" s="841"/>
      <c r="K351" s="3" t="str">
        <f>'Obrazac kalkulacije'!$C$24</f>
        <v>IZVODITELJ:</v>
      </c>
      <c r="N351" s="841" t="str">
        <f>'Obrazac kalkulacije'!$F$24</f>
        <v>NARUČITELJ:</v>
      </c>
      <c r="O351" s="841"/>
    </row>
    <row r="352" spans="1:15" ht="25.15" customHeight="1">
      <c r="C352" s="3" t="str">
        <f>'Obrazac kalkulacije'!$C$25</f>
        <v>__________________</v>
      </c>
      <c r="F352" s="841" t="str">
        <f>'Obrazac kalkulacije'!$F$25</f>
        <v>___________________</v>
      </c>
      <c r="G352" s="841"/>
      <c r="K352" s="3" t="str">
        <f>'Obrazac kalkulacije'!$C$25</f>
        <v>__________________</v>
      </c>
      <c r="N352" s="841" t="str">
        <f>'Obrazac kalkulacije'!$F$25</f>
        <v>___________________</v>
      </c>
      <c r="O352" s="841"/>
    </row>
    <row r="353" spans="1:15" ht="15" customHeight="1">
      <c r="F353" s="841"/>
      <c r="G353" s="841"/>
      <c r="N353" s="841"/>
      <c r="O353" s="841"/>
    </row>
    <row r="354" spans="1:15" ht="15" customHeight="1"/>
    <row r="355" spans="1:15" ht="15" customHeight="1">
      <c r="A355" s="144"/>
      <c r="B355" s="145" t="s">
        <v>39</v>
      </c>
      <c r="C355" s="836" t="s">
        <v>360</v>
      </c>
      <c r="D355" s="836"/>
      <c r="E355" s="836"/>
      <c r="F355" s="836"/>
      <c r="G355" s="836"/>
      <c r="I355" s="144"/>
      <c r="J355" s="145" t="s">
        <v>39</v>
      </c>
      <c r="K355" s="836" t="s">
        <v>360</v>
      </c>
      <c r="L355" s="836"/>
      <c r="M355" s="836"/>
      <c r="N355" s="836"/>
      <c r="O355" s="836"/>
    </row>
    <row r="356" spans="1:15" ht="15" customHeight="1">
      <c r="A356" s="38"/>
      <c r="B356" s="39" t="s">
        <v>41</v>
      </c>
      <c r="C356" s="860" t="s">
        <v>361</v>
      </c>
      <c r="D356" s="860"/>
      <c r="E356" s="860"/>
      <c r="F356" s="860"/>
      <c r="G356" s="860"/>
      <c r="I356" s="38"/>
      <c r="J356" s="39" t="s">
        <v>41</v>
      </c>
      <c r="K356" s="860" t="s">
        <v>361</v>
      </c>
      <c r="L356" s="860"/>
      <c r="M356" s="860"/>
      <c r="N356" s="860"/>
      <c r="O356" s="860"/>
    </row>
    <row r="357" spans="1:15" ht="150" customHeight="1">
      <c r="A357" s="40"/>
      <c r="B357" s="556" t="s">
        <v>402</v>
      </c>
      <c r="C357" s="852" t="s">
        <v>403</v>
      </c>
      <c r="D357" s="852"/>
      <c r="E357" s="852"/>
      <c r="F357" s="852"/>
      <c r="G357" s="852"/>
      <c r="I357" s="40"/>
      <c r="J357" s="41" t="s">
        <v>402</v>
      </c>
      <c r="K357" s="869" t="s">
        <v>404</v>
      </c>
      <c r="L357" s="869"/>
      <c r="M357" s="869"/>
      <c r="N357" s="869"/>
      <c r="O357" s="869"/>
    </row>
    <row r="358" spans="1:15" ht="15" customHeight="1" thickBot="1"/>
    <row r="359" spans="1:15" ht="30" customHeight="1" thickTop="1" thickBot="1">
      <c r="A359" s="10"/>
      <c r="B359" s="835" t="str">
        <f>'Obrazac kalkulacije'!$B$6:$C$6</f>
        <v>Opis</v>
      </c>
      <c r="C359" s="835"/>
      <c r="D359" s="10" t="str">
        <f>'Obrazac kalkulacije'!$D$6</f>
        <v>Jed.
mjere</v>
      </c>
      <c r="E359" s="10" t="str">
        <f>'Obrazac kalkulacije'!$E$6</f>
        <v>Normativ</v>
      </c>
      <c r="F359" s="10" t="str">
        <f>'Obrazac kalkulacije'!$F$6</f>
        <v>Jed.
cijena</v>
      </c>
      <c r="G359" s="10" t="str">
        <f>'Obrazac kalkulacije'!$G$6</f>
        <v>Iznos</v>
      </c>
      <c r="I359" s="10"/>
      <c r="J359" s="835" t="e">
        <f>'Obrazac kalkulacije'!$B$6:$C$6</f>
        <v>#VALUE!</v>
      </c>
      <c r="K359" s="835"/>
      <c r="L359" s="10" t="str">
        <f>'Obrazac kalkulacije'!$D$6</f>
        <v>Jed.
mjere</v>
      </c>
      <c r="M359" s="10" t="str">
        <f>'Obrazac kalkulacije'!$E$6</f>
        <v>Normativ</v>
      </c>
      <c r="N359" s="10" t="str">
        <f>'Obrazac kalkulacije'!$F$6</f>
        <v>Jed.
cijena</v>
      </c>
      <c r="O359" s="10" t="str">
        <f>'Obrazac kalkulacije'!$G$6</f>
        <v>Iznos</v>
      </c>
    </row>
    <row r="360" spans="1:15" ht="4.5" customHeight="1" thickTop="1">
      <c r="B360" s="42"/>
      <c r="C360" s="1"/>
      <c r="D360" s="11"/>
      <c r="E360" s="13"/>
      <c r="F360" s="258"/>
      <c r="G360" s="15"/>
      <c r="J360" s="42"/>
      <c r="K360" s="1"/>
      <c r="L360" s="11"/>
      <c r="M360" s="13"/>
      <c r="N360" s="258"/>
      <c r="O360" s="15"/>
    </row>
    <row r="361" spans="1:15" ht="25.15" customHeight="1">
      <c r="A361" s="16"/>
      <c r="B361" s="837" t="str">
        <f>'Obrazac kalkulacije'!$B$8</f>
        <v>Radna snaga:</v>
      </c>
      <c r="C361" s="837"/>
      <c r="D361" s="16"/>
      <c r="E361" s="16"/>
      <c r="F361" s="44"/>
      <c r="G361" s="18">
        <f>SUM(G362:G362)</f>
        <v>63.018000000000001</v>
      </c>
      <c r="I361" s="16"/>
      <c r="J361" s="837" t="str">
        <f>'Obrazac kalkulacije'!$B$8</f>
        <v>Radna snaga:</v>
      </c>
      <c r="K361" s="837"/>
      <c r="L361" s="16"/>
      <c r="M361" s="16"/>
      <c r="N361" s="44"/>
      <c r="O361" s="18">
        <f>SUM(O362:O362)</f>
        <v>43.279291979999996</v>
      </c>
    </row>
    <row r="362" spans="1:15" ht="25.15" customHeight="1">
      <c r="A362" s="32"/>
      <c r="B362" s="854" t="s">
        <v>57</v>
      </c>
      <c r="C362" s="854"/>
      <c r="D362" s="33" t="s">
        <v>51</v>
      </c>
      <c r="E362" s="34">
        <v>0.6</v>
      </c>
      <c r="F362" s="238">
        <f>SUMIF('Cjenik RS'!$C$11:$C$26,$B362,'Cjenik RS'!$D$11:$D$90)</f>
        <v>105.03</v>
      </c>
      <c r="G362" s="35">
        <f>+F362*E362</f>
        <v>63.018000000000001</v>
      </c>
      <c r="I362" s="32"/>
      <c r="J362" s="854" t="s">
        <v>57</v>
      </c>
      <c r="K362" s="854"/>
      <c r="L362" s="33" t="s">
        <v>51</v>
      </c>
      <c r="M362" s="34">
        <v>0.41206599999999999</v>
      </c>
      <c r="N362" s="44">
        <f>SUMIF('Cjenik RS'!$C$11:$C$26,J362,'Cjenik RS'!$D$11:$D$90)</f>
        <v>105.03</v>
      </c>
      <c r="O362" s="35">
        <f>+N362*M362</f>
        <v>43.279291979999996</v>
      </c>
    </row>
    <row r="363" spans="1:15" ht="25.15" customHeight="1">
      <c r="A363" s="16"/>
      <c r="B363" s="837" t="str">
        <f>'Obrazac kalkulacije'!$B$11</f>
        <v>Vozila, strojevi i oprema:</v>
      </c>
      <c r="C363" s="837"/>
      <c r="D363" s="16"/>
      <c r="E363" s="16"/>
      <c r="F363" s="238">
        <f>'Obrazac kalkulacije'!$F$11</f>
        <v>0</v>
      </c>
      <c r="G363" s="18">
        <f>SUM(G364:G365)</f>
        <v>28.356804</v>
      </c>
      <c r="I363" s="16"/>
      <c r="J363" s="837" t="str">
        <f>'Obrazac kalkulacije'!$B$11</f>
        <v>Vozila, strojevi i oprema:</v>
      </c>
      <c r="K363" s="837"/>
      <c r="L363" s="16"/>
      <c r="M363" s="16"/>
      <c r="N363" s="238">
        <f>'Obrazac kalkulacije'!$F$11</f>
        <v>0</v>
      </c>
      <c r="O363" s="18">
        <f>SUM(O364:O365)</f>
        <v>28.356804</v>
      </c>
    </row>
    <row r="364" spans="1:15" ht="25.15" customHeight="1">
      <c r="A364" s="51"/>
      <c r="B364" s="863" t="s">
        <v>73</v>
      </c>
      <c r="C364" s="863"/>
      <c r="D364" s="52" t="s">
        <v>51</v>
      </c>
      <c r="E364" s="53">
        <v>4.6899999999999997E-2</v>
      </c>
      <c r="F364" s="260">
        <f>SUMIF('Cjenik VSO'!$B$9:$B$85,$B364,'Cjenik VSO'!$C$9:$C$85)</f>
        <v>291.72000000000003</v>
      </c>
      <c r="G364" s="55">
        <f>E364*F364</f>
        <v>13.681668</v>
      </c>
      <c r="I364" s="51"/>
      <c r="J364" s="863" t="s">
        <v>73</v>
      </c>
      <c r="K364" s="863"/>
      <c r="L364" s="52" t="s">
        <v>51</v>
      </c>
      <c r="M364" s="53">
        <v>4.6899999999999997E-2</v>
      </c>
      <c r="N364" s="260">
        <f>SUMIF('Cjenik VSO'!$B$9:$B$85,$B364,'Cjenik VSO'!$C$9:$C$85)</f>
        <v>291.72000000000003</v>
      </c>
      <c r="O364" s="55">
        <f>M364*N364</f>
        <v>13.681668</v>
      </c>
    </row>
    <row r="365" spans="1:15" ht="25.15" customHeight="1">
      <c r="A365" s="56"/>
      <c r="B365" s="834" t="s">
        <v>288</v>
      </c>
      <c r="C365" s="834"/>
      <c r="D365" s="57" t="s">
        <v>51</v>
      </c>
      <c r="E365" s="58">
        <v>8.5919999999999996E-2</v>
      </c>
      <c r="F365" s="263">
        <f>SUMIF('Cjenik VSO'!$B$9:$B$85,$B365,'Cjenik VSO'!$C$9:$C$85)</f>
        <v>170.8</v>
      </c>
      <c r="G365" s="60">
        <f>E365*F365</f>
        <v>14.675136</v>
      </c>
      <c r="I365" s="56"/>
      <c r="J365" s="834" t="s">
        <v>288</v>
      </c>
      <c r="K365" s="834"/>
      <c r="L365" s="57" t="s">
        <v>51</v>
      </c>
      <c r="M365" s="58">
        <v>8.5919999999999996E-2</v>
      </c>
      <c r="N365" s="263">
        <f>SUMIF('Cjenik VSO'!$B$9:$B$85,$B365,'Cjenik VSO'!$C$9:$C$85)</f>
        <v>170.8</v>
      </c>
      <c r="O365" s="60">
        <f>M365*N365</f>
        <v>14.675136</v>
      </c>
    </row>
    <row r="366" spans="1:15" ht="25.15" customHeight="1">
      <c r="A366" s="16"/>
      <c r="B366" s="837" t="str">
        <f>'Obrazac kalkulacije'!$B$15</f>
        <v>Materijali:</v>
      </c>
      <c r="C366" s="837"/>
      <c r="D366" s="16"/>
      <c r="E366" s="16"/>
      <c r="F366" s="238"/>
      <c r="G366" s="18">
        <f>SUM(G367:G368)</f>
        <v>0</v>
      </c>
      <c r="I366" s="16"/>
      <c r="J366" s="837" t="str">
        <f>'Obrazac kalkulacije'!$B$15</f>
        <v>Materijali:</v>
      </c>
      <c r="K366" s="837"/>
      <c r="L366" s="16"/>
      <c r="M366" s="16"/>
      <c r="N366" s="238"/>
      <c r="O366" s="18">
        <f>SUM(O367:O368)</f>
        <v>0</v>
      </c>
    </row>
    <row r="367" spans="1:15" ht="25.15" customHeight="1">
      <c r="A367" s="51"/>
      <c r="B367" s="863">
        <f>'Cjenik M'!$B$106</f>
        <v>0</v>
      </c>
      <c r="C367" s="863"/>
      <c r="D367" s="52">
        <f>'Cjenik M'!$C$106</f>
        <v>0</v>
      </c>
      <c r="E367" s="53">
        <v>0.66</v>
      </c>
      <c r="F367" s="260">
        <f>'Cjenik M'!$D$106</f>
        <v>0</v>
      </c>
      <c r="G367" s="55">
        <f>E367*F367</f>
        <v>0</v>
      </c>
      <c r="I367" s="51"/>
      <c r="J367" s="863">
        <f>'Cjenik M'!$B$106</f>
        <v>0</v>
      </c>
      <c r="K367" s="863"/>
      <c r="L367" s="52">
        <f>'Cjenik M'!$C$106</f>
        <v>0</v>
      </c>
      <c r="M367" s="53">
        <v>0.59375</v>
      </c>
      <c r="N367" s="260">
        <f>'Cjenik M'!$D$106</f>
        <v>0</v>
      </c>
      <c r="O367" s="55">
        <f>M367*N367</f>
        <v>0</v>
      </c>
    </row>
    <row r="368" spans="1:15" ht="25.15" customHeight="1" thickBot="1">
      <c r="A368" s="66"/>
      <c r="B368" s="864">
        <f>'Cjenik M'!$B$111</f>
        <v>0</v>
      </c>
      <c r="C368" s="864"/>
      <c r="D368" s="62">
        <f>'Cjenik M'!$C$61</f>
        <v>0</v>
      </c>
      <c r="E368" s="63">
        <v>1</v>
      </c>
      <c r="F368" s="261">
        <f>'Cjenik M'!$D$111</f>
        <v>0</v>
      </c>
      <c r="G368" s="80">
        <f>E368*F368</f>
        <v>0</v>
      </c>
      <c r="I368" s="66"/>
      <c r="J368" s="873">
        <f>'Cjenik M'!$B$61</f>
        <v>0</v>
      </c>
      <c r="K368" s="873"/>
      <c r="L368" s="78">
        <f>'Cjenik M'!$C$61</f>
        <v>0</v>
      </c>
      <c r="M368" s="85">
        <v>1.25</v>
      </c>
      <c r="N368" s="265">
        <f>'Cjenik M'!$D$61</f>
        <v>0</v>
      </c>
      <c r="O368" s="80">
        <f>M368*N368</f>
        <v>0</v>
      </c>
    </row>
    <row r="369" spans="1:15" ht="25.15" customHeight="1" thickTop="1" thickBot="1">
      <c r="B369" s="47"/>
      <c r="C369" s="24"/>
      <c r="D369" s="25"/>
      <c r="E369" s="850" t="str">
        <f>'Obrazac kalkulacije'!$E$18</f>
        <v>Ukupno (kn):</v>
      </c>
      <c r="F369" s="850"/>
      <c r="G369" s="26">
        <f>ROUND(SUM(G361+G363+G366),2)</f>
        <v>91.37</v>
      </c>
      <c r="H369" s="269" t="e">
        <f>SUMIF(#REF!,$B357,#REF!)</f>
        <v>#REF!</v>
      </c>
      <c r="J369" s="47"/>
      <c r="K369" s="24"/>
      <c r="L369" s="25"/>
      <c r="M369" s="850" t="str">
        <f>'Obrazac kalkulacije'!$E$18</f>
        <v>Ukupno (kn):</v>
      </c>
      <c r="N369" s="850"/>
      <c r="O369" s="26">
        <f>ROUND(SUM(O361+O363+O366),2)</f>
        <v>71.64</v>
      </c>
    </row>
    <row r="370" spans="1:15" ht="25.15" customHeight="1" thickTop="1" thickBot="1">
      <c r="E370" s="27" t="str">
        <f>'Obrazac kalkulacije'!$E$19</f>
        <v>PDV:</v>
      </c>
      <c r="F370" s="259">
        <f>'Obrazac kalkulacije'!$F$19</f>
        <v>0.25</v>
      </c>
      <c r="G370" s="29">
        <f>G369*F370</f>
        <v>22.842500000000001</v>
      </c>
      <c r="H370" s="270" t="e">
        <f>H369-G369</f>
        <v>#REF!</v>
      </c>
      <c r="M370" s="27" t="str">
        <f>'Obrazac kalkulacije'!$E$19</f>
        <v>PDV:</v>
      </c>
      <c r="N370" s="259">
        <f>'Obrazac kalkulacije'!$F$19</f>
        <v>0.25</v>
      </c>
      <c r="O370" s="29">
        <f>O369*N370</f>
        <v>17.91</v>
      </c>
    </row>
    <row r="371" spans="1:15" ht="25.15" customHeight="1" thickTop="1" thickBot="1">
      <c r="E371" s="840" t="str">
        <f>'Obrazac kalkulacije'!$E$20</f>
        <v>Sveukupno (kn):</v>
      </c>
      <c r="F371" s="840"/>
      <c r="G371" s="29">
        <f>ROUND(SUM(G369:G370),2)</f>
        <v>114.21</v>
      </c>
      <c r="H371" s="271" t="e">
        <f>G368+H370</f>
        <v>#REF!</v>
      </c>
      <c r="M371" s="840" t="str">
        <f>'Obrazac kalkulacije'!$E$20</f>
        <v>Sveukupno (kn):</v>
      </c>
      <c r="N371" s="840"/>
      <c r="O371" s="29">
        <f>ROUND(SUM(O369:O370),2)</f>
        <v>89.55</v>
      </c>
    </row>
    <row r="372" spans="1:15" ht="15" customHeight="1" thickTop="1"/>
    <row r="373" spans="1:15" ht="15" customHeight="1"/>
    <row r="374" spans="1:15" ht="15" customHeight="1"/>
    <row r="375" spans="1:15" ht="15" customHeight="1">
      <c r="C375" s="3" t="str">
        <f>'Obrazac kalkulacije'!$C$24</f>
        <v>IZVODITELJ:</v>
      </c>
      <c r="F375" s="841" t="str">
        <f>'Obrazac kalkulacije'!$F$24</f>
        <v>NARUČITELJ:</v>
      </c>
      <c r="G375" s="841"/>
      <c r="K375" s="3" t="str">
        <f>'Obrazac kalkulacije'!$C$24</f>
        <v>IZVODITELJ:</v>
      </c>
      <c r="N375" s="841" t="str">
        <f>'Obrazac kalkulacije'!$F$24</f>
        <v>NARUČITELJ:</v>
      </c>
      <c r="O375" s="841"/>
    </row>
    <row r="376" spans="1:15" ht="25.15" customHeight="1">
      <c r="C376" s="3" t="str">
        <f>'Obrazac kalkulacije'!$C$25</f>
        <v>__________________</v>
      </c>
      <c r="F376" s="841" t="str">
        <f>'Obrazac kalkulacije'!$F$25</f>
        <v>___________________</v>
      </c>
      <c r="G376" s="841"/>
      <c r="K376" s="3" t="str">
        <f>'Obrazac kalkulacije'!$C$25</f>
        <v>__________________</v>
      </c>
      <c r="N376" s="841" t="str">
        <f>'Obrazac kalkulacije'!$F$25</f>
        <v>___________________</v>
      </c>
      <c r="O376" s="841"/>
    </row>
    <row r="377" spans="1:15" ht="15" customHeight="1">
      <c r="F377" s="841"/>
      <c r="G377" s="841"/>
      <c r="N377" s="841"/>
      <c r="O377" s="841"/>
    </row>
    <row r="378" spans="1:15" ht="15" customHeight="1"/>
    <row r="379" spans="1:15" ht="15" customHeight="1">
      <c r="A379" s="144"/>
      <c r="B379" s="145" t="s">
        <v>39</v>
      </c>
      <c r="C379" s="836" t="s">
        <v>360</v>
      </c>
      <c r="D379" s="836"/>
      <c r="E379" s="836"/>
      <c r="F379" s="836"/>
      <c r="G379" s="836"/>
      <c r="I379" s="144"/>
      <c r="J379" s="145" t="s">
        <v>39</v>
      </c>
      <c r="K379" s="836" t="s">
        <v>360</v>
      </c>
      <c r="L379" s="836"/>
      <c r="M379" s="836"/>
      <c r="N379" s="836"/>
      <c r="O379" s="836"/>
    </row>
    <row r="380" spans="1:15" ht="15" customHeight="1">
      <c r="A380" s="38"/>
      <c r="B380" s="39" t="s">
        <v>41</v>
      </c>
      <c r="C380" s="860" t="s">
        <v>361</v>
      </c>
      <c r="D380" s="860"/>
      <c r="E380" s="860"/>
      <c r="F380" s="860"/>
      <c r="G380" s="860"/>
      <c r="I380" s="38"/>
      <c r="J380" s="39" t="s">
        <v>41</v>
      </c>
      <c r="K380" s="860" t="s">
        <v>361</v>
      </c>
      <c r="L380" s="860"/>
      <c r="M380" s="860"/>
      <c r="N380" s="860"/>
      <c r="O380" s="860"/>
    </row>
    <row r="381" spans="1:15" ht="150" customHeight="1">
      <c r="A381" s="40"/>
      <c r="B381" s="556" t="s">
        <v>405</v>
      </c>
      <c r="C381" s="852" t="s">
        <v>406</v>
      </c>
      <c r="D381" s="852"/>
      <c r="E381" s="852"/>
      <c r="F381" s="852"/>
      <c r="G381" s="852"/>
      <c r="I381" s="40"/>
      <c r="J381" s="41" t="s">
        <v>405</v>
      </c>
      <c r="K381" s="869" t="s">
        <v>407</v>
      </c>
      <c r="L381" s="869"/>
      <c r="M381" s="869"/>
      <c r="N381" s="869"/>
      <c r="O381" s="869"/>
    </row>
    <row r="382" spans="1:15" ht="15" customHeight="1" thickBot="1"/>
    <row r="383" spans="1:15" ht="30" customHeight="1" thickTop="1" thickBot="1">
      <c r="A383" s="10"/>
      <c r="B383" s="835" t="str">
        <f>'Obrazac kalkulacije'!$B$6:$C$6</f>
        <v>Opis</v>
      </c>
      <c r="C383" s="835"/>
      <c r="D383" s="10" t="str">
        <f>'Obrazac kalkulacije'!$D$6</f>
        <v>Jed.
mjere</v>
      </c>
      <c r="E383" s="10" t="str">
        <f>'Obrazac kalkulacije'!$E$6</f>
        <v>Normativ</v>
      </c>
      <c r="F383" s="10" t="str">
        <f>'Obrazac kalkulacije'!$F$6</f>
        <v>Jed.
cijena</v>
      </c>
      <c r="G383" s="10" t="str">
        <f>'Obrazac kalkulacije'!$G$6</f>
        <v>Iznos</v>
      </c>
      <c r="I383" s="10"/>
      <c r="J383" s="835" t="e">
        <f>'Obrazac kalkulacije'!$B$6:$C$6</f>
        <v>#VALUE!</v>
      </c>
      <c r="K383" s="835"/>
      <c r="L383" s="10" t="str">
        <f>'Obrazac kalkulacije'!$D$6</f>
        <v>Jed.
mjere</v>
      </c>
      <c r="M383" s="10" t="str">
        <f>'Obrazac kalkulacije'!$E$6</f>
        <v>Normativ</v>
      </c>
      <c r="N383" s="10" t="str">
        <f>'Obrazac kalkulacije'!$F$6</f>
        <v>Jed.
cijena</v>
      </c>
      <c r="O383" s="10" t="str">
        <f>'Obrazac kalkulacije'!$G$6</f>
        <v>Iznos</v>
      </c>
    </row>
    <row r="384" spans="1:15" ht="4.5" customHeight="1" thickTop="1">
      <c r="B384" s="42"/>
      <c r="C384" s="1"/>
      <c r="D384" s="11"/>
      <c r="E384" s="13"/>
      <c r="F384" s="258"/>
      <c r="G384" s="15"/>
      <c r="J384" s="42"/>
      <c r="K384" s="1"/>
      <c r="L384" s="11"/>
      <c r="M384" s="13"/>
      <c r="N384" s="258"/>
      <c r="O384" s="15"/>
    </row>
    <row r="385" spans="1:15" ht="25.15" customHeight="1">
      <c r="A385" s="16"/>
      <c r="B385" s="837" t="str">
        <f>'Obrazac kalkulacije'!$B$8</f>
        <v>Radna snaga:</v>
      </c>
      <c r="C385" s="837"/>
      <c r="D385" s="16"/>
      <c r="E385" s="16"/>
      <c r="F385" s="44"/>
      <c r="G385" s="18">
        <f>SUM(G386:G386)</f>
        <v>63.018000000000001</v>
      </c>
      <c r="I385" s="16"/>
      <c r="J385" s="837" t="str">
        <f>'Obrazac kalkulacije'!$B$8</f>
        <v>Radna snaga:</v>
      </c>
      <c r="K385" s="837"/>
      <c r="L385" s="16"/>
      <c r="M385" s="16"/>
      <c r="N385" s="44"/>
      <c r="O385" s="18">
        <f>SUM(O386:O386)</f>
        <v>52.686093870000001</v>
      </c>
    </row>
    <row r="386" spans="1:15" ht="25.15" customHeight="1">
      <c r="A386" s="32"/>
      <c r="B386" s="854" t="s">
        <v>57</v>
      </c>
      <c r="C386" s="854"/>
      <c r="D386" s="33" t="s">
        <v>51</v>
      </c>
      <c r="E386" s="34">
        <v>0.6</v>
      </c>
      <c r="F386" s="238">
        <f>SUMIF('Cjenik RS'!$C$11:$C$26,$B386,'Cjenik RS'!$D$11:$D$90)</f>
        <v>105.03</v>
      </c>
      <c r="G386" s="35">
        <f>+F386*E386</f>
        <v>63.018000000000001</v>
      </c>
      <c r="I386" s="32"/>
      <c r="J386" s="854" t="s">
        <v>57</v>
      </c>
      <c r="K386" s="854"/>
      <c r="L386" s="33" t="s">
        <v>51</v>
      </c>
      <c r="M386" s="34">
        <v>0.50162899999999999</v>
      </c>
      <c r="N386" s="44">
        <f>SUMIF('Cjenik RS'!$C$11:$C$26,J386,'Cjenik RS'!$D$11:$D$90)</f>
        <v>105.03</v>
      </c>
      <c r="O386" s="35">
        <f>+N386*M386</f>
        <v>52.686093870000001</v>
      </c>
    </row>
    <row r="387" spans="1:15" ht="25.15" customHeight="1">
      <c r="A387" s="16"/>
      <c r="B387" s="837" t="str">
        <f>'Obrazac kalkulacije'!$B$11</f>
        <v>Vozila, strojevi i oprema:</v>
      </c>
      <c r="C387" s="837"/>
      <c r="D387" s="16"/>
      <c r="E387" s="16"/>
      <c r="F387" s="238">
        <f>'Obrazac kalkulacije'!$F$11</f>
        <v>0</v>
      </c>
      <c r="G387" s="18">
        <f>SUM(G388:G389)</f>
        <v>34.345138800000001</v>
      </c>
      <c r="I387" s="16"/>
      <c r="J387" s="837" t="str">
        <f>'Obrazac kalkulacije'!$B$11</f>
        <v>Vozila, strojevi i oprema:</v>
      </c>
      <c r="K387" s="837"/>
      <c r="L387" s="16"/>
      <c r="M387" s="16"/>
      <c r="N387" s="238">
        <f>'Obrazac kalkulacije'!$F$11</f>
        <v>0</v>
      </c>
      <c r="O387" s="18">
        <f>SUM(O388:O389)</f>
        <v>34.345138800000001</v>
      </c>
    </row>
    <row r="388" spans="1:15" ht="25.15" customHeight="1">
      <c r="A388" s="51"/>
      <c r="B388" s="863" t="s">
        <v>73</v>
      </c>
      <c r="C388" s="863"/>
      <c r="D388" s="52" t="s">
        <v>51</v>
      </c>
      <c r="E388" s="53">
        <v>5.3620000000000001E-2</v>
      </c>
      <c r="F388" s="260">
        <f>SUMIF('Cjenik VSO'!$B$9:$B$85,$B388,'Cjenik VSO'!$C$9:$C$85)</f>
        <v>291.72000000000003</v>
      </c>
      <c r="G388" s="55">
        <f>E388*F388</f>
        <v>15.642026400000002</v>
      </c>
      <c r="I388" s="51"/>
      <c r="J388" s="863" t="s">
        <v>73</v>
      </c>
      <c r="K388" s="863"/>
      <c r="L388" s="52" t="s">
        <v>51</v>
      </c>
      <c r="M388" s="53">
        <v>5.3620000000000001E-2</v>
      </c>
      <c r="N388" s="260">
        <f>SUMIF('Cjenik VSO'!$B$9:$B$85,$B388,'Cjenik VSO'!$C$9:$C$85)</f>
        <v>291.72000000000003</v>
      </c>
      <c r="O388" s="55">
        <f>M388*N388</f>
        <v>15.642026400000002</v>
      </c>
    </row>
    <row r="389" spans="1:15" ht="25.15" customHeight="1">
      <c r="A389" s="61"/>
      <c r="B389" s="864" t="s">
        <v>288</v>
      </c>
      <c r="C389" s="864"/>
      <c r="D389" s="62" t="s">
        <v>51</v>
      </c>
      <c r="E389" s="63">
        <v>0.109503</v>
      </c>
      <c r="F389" s="261">
        <f>SUMIF('Cjenik VSO'!$B$9:$B$85,$B389,'Cjenik VSO'!$C$9:$C$85)</f>
        <v>170.8</v>
      </c>
      <c r="G389" s="65">
        <f>E389*F389</f>
        <v>18.703112400000002</v>
      </c>
      <c r="I389" s="61"/>
      <c r="J389" s="864" t="s">
        <v>288</v>
      </c>
      <c r="K389" s="864"/>
      <c r="L389" s="62" t="s">
        <v>51</v>
      </c>
      <c r="M389" s="63">
        <v>0.109503</v>
      </c>
      <c r="N389" s="261">
        <f>SUMIF('Cjenik VSO'!$B$9:$B$85,$B389,'Cjenik VSO'!$C$9:$C$85)</f>
        <v>170.8</v>
      </c>
      <c r="O389" s="65">
        <f>M389*N389</f>
        <v>18.703112400000002</v>
      </c>
    </row>
    <row r="390" spans="1:15" ht="25.15" customHeight="1">
      <c r="A390" s="16"/>
      <c r="B390" s="837" t="str">
        <f>'Obrazac kalkulacije'!$B$15</f>
        <v>Materijali:</v>
      </c>
      <c r="C390" s="837"/>
      <c r="D390" s="16"/>
      <c r="E390" s="16"/>
      <c r="F390" s="238"/>
      <c r="G390" s="18">
        <f>SUM(G391:G393)</f>
        <v>0</v>
      </c>
      <c r="I390" s="16"/>
      <c r="J390" s="837" t="str">
        <f>'Obrazac kalkulacije'!$B$15</f>
        <v>Materijali:</v>
      </c>
      <c r="K390" s="837"/>
      <c r="L390" s="16"/>
      <c r="M390" s="16"/>
      <c r="N390" s="238"/>
      <c r="O390" s="18">
        <f>SUM(O391:O393)</f>
        <v>0</v>
      </c>
    </row>
    <row r="391" spans="1:15" ht="25.15" customHeight="1">
      <c r="A391" s="16"/>
      <c r="B391" s="838">
        <f>'Cjenik M'!$B$106</f>
        <v>0</v>
      </c>
      <c r="C391" s="838"/>
      <c r="D391" s="44">
        <f>'Cjenik M'!$C$106</f>
        <v>0</v>
      </c>
      <c r="E391" s="45">
        <v>0.66</v>
      </c>
      <c r="F391" s="238">
        <f>'Cjenik M'!$D$106</f>
        <v>0</v>
      </c>
      <c r="G391" s="46">
        <f>E391*F391</f>
        <v>0</v>
      </c>
      <c r="I391" s="51"/>
      <c r="J391" s="863">
        <f>'Cjenik M'!$B$106</f>
        <v>0</v>
      </c>
      <c r="K391" s="863"/>
      <c r="L391" s="52">
        <f>'Cjenik M'!$C$106</f>
        <v>0</v>
      </c>
      <c r="M391" s="53">
        <v>0.59375</v>
      </c>
      <c r="N391" s="260">
        <f>'Cjenik M'!$D$106</f>
        <v>0</v>
      </c>
      <c r="O391" s="55">
        <f>M391*N391</f>
        <v>0</v>
      </c>
    </row>
    <row r="392" spans="1:15" ht="25.15" customHeight="1">
      <c r="A392" s="16"/>
      <c r="B392" s="838">
        <f>'Cjenik M'!$B$111</f>
        <v>0</v>
      </c>
      <c r="C392" s="838"/>
      <c r="D392" s="44">
        <f>'Cjenik M'!$C$61</f>
        <v>0</v>
      </c>
      <c r="E392" s="45">
        <v>1</v>
      </c>
      <c r="F392" s="238">
        <f>'Cjenik M'!$D$111</f>
        <v>0</v>
      </c>
      <c r="G392" s="46">
        <f>E392*F392</f>
        <v>0</v>
      </c>
      <c r="I392" s="84"/>
      <c r="J392" s="873">
        <f>'Cjenik M'!$B$61</f>
        <v>0</v>
      </c>
      <c r="K392" s="873"/>
      <c r="L392" s="78">
        <f>'Cjenik M'!$C$61</f>
        <v>0</v>
      </c>
      <c r="M392" s="85">
        <v>1.25</v>
      </c>
      <c r="N392" s="265">
        <f>'Cjenik M'!$D$61</f>
        <v>0</v>
      </c>
      <c r="O392" s="80">
        <f>M392*N392</f>
        <v>0</v>
      </c>
    </row>
    <row r="393" spans="1:15" ht="25.15" customHeight="1" thickBot="1">
      <c r="A393" s="627"/>
      <c r="B393" s="885">
        <f>'Cjenik M'!$B$82</f>
        <v>0</v>
      </c>
      <c r="C393" s="885"/>
      <c r="D393" s="20">
        <f>'Cjenik M'!$C$82</f>
        <v>0</v>
      </c>
      <c r="E393" s="628">
        <v>2E-3</v>
      </c>
      <c r="F393" s="629">
        <f>'Cjenik M'!$D$82</f>
        <v>0</v>
      </c>
      <c r="G393" s="23">
        <f>E393*F393</f>
        <v>0</v>
      </c>
      <c r="I393" s="74"/>
      <c r="J393" s="873">
        <f>'Cjenik M'!$B$82</f>
        <v>0</v>
      </c>
      <c r="K393" s="873"/>
      <c r="L393" s="78">
        <f>'Cjenik M'!$C$82</f>
        <v>0</v>
      </c>
      <c r="M393" s="85">
        <v>2E-3</v>
      </c>
      <c r="N393" s="265">
        <f>'Cjenik M'!$D$82</f>
        <v>0</v>
      </c>
      <c r="O393" s="80">
        <f>M393*N393</f>
        <v>0</v>
      </c>
    </row>
    <row r="394" spans="1:15" ht="25.15" customHeight="1" thickTop="1" thickBot="1">
      <c r="B394" s="47"/>
      <c r="C394" s="24"/>
      <c r="D394" s="25"/>
      <c r="E394" s="850" t="str">
        <f>'Obrazac kalkulacije'!$E$18</f>
        <v>Ukupno (kn):</v>
      </c>
      <c r="F394" s="850"/>
      <c r="G394" s="26">
        <f>ROUND(SUM(G385+G387+G390),2)</f>
        <v>97.36</v>
      </c>
      <c r="H394" s="269" t="e">
        <f>SUMIF(#REF!,$B381,#REF!)</f>
        <v>#REF!</v>
      </c>
      <c r="J394" s="47"/>
      <c r="K394" s="24"/>
      <c r="L394" s="25"/>
      <c r="M394" s="850" t="str">
        <f>'Obrazac kalkulacije'!$E$18</f>
        <v>Ukupno (kn):</v>
      </c>
      <c r="N394" s="850"/>
      <c r="O394" s="26">
        <f>ROUND(SUM(O385+O387+O390),2)</f>
        <v>87.03</v>
      </c>
    </row>
    <row r="395" spans="1:15" ht="25.15" customHeight="1" thickTop="1" thickBot="1">
      <c r="E395" s="27" t="str">
        <f>'Obrazac kalkulacije'!$E$19</f>
        <v>PDV:</v>
      </c>
      <c r="F395" s="259">
        <f>'Obrazac kalkulacije'!$F$19</f>
        <v>0.25</v>
      </c>
      <c r="G395" s="29">
        <f>G394*F395</f>
        <v>24.34</v>
      </c>
      <c r="H395" s="270" t="e">
        <f>H394-G394</f>
        <v>#REF!</v>
      </c>
      <c r="M395" s="27" t="str">
        <f>'Obrazac kalkulacije'!$E$19</f>
        <v>PDV:</v>
      </c>
      <c r="N395" s="259">
        <f>'Obrazac kalkulacije'!$F$19</f>
        <v>0.25</v>
      </c>
      <c r="O395" s="29">
        <f>O394*N395</f>
        <v>21.7575</v>
      </c>
    </row>
    <row r="396" spans="1:15" ht="25.15" customHeight="1" thickTop="1" thickBot="1">
      <c r="E396" s="840" t="str">
        <f>'Obrazac kalkulacije'!$E$20</f>
        <v>Sveukupno (kn):</v>
      </c>
      <c r="F396" s="840"/>
      <c r="G396" s="29">
        <f>ROUND(SUM(G394:G395),2)</f>
        <v>121.7</v>
      </c>
      <c r="H396" s="271" t="e">
        <f>G392+H395</f>
        <v>#REF!</v>
      </c>
      <c r="M396" s="840" t="str">
        <f>'Obrazac kalkulacije'!$E$20</f>
        <v>Sveukupno (kn):</v>
      </c>
      <c r="N396" s="840"/>
      <c r="O396" s="29">
        <f>ROUND(SUM(O394:O395),2)</f>
        <v>108.79</v>
      </c>
    </row>
    <row r="397" spans="1:15" ht="15" customHeight="1" thickTop="1"/>
    <row r="398" spans="1:15" ht="15" customHeight="1"/>
    <row r="399" spans="1:15" ht="15" customHeight="1"/>
    <row r="400" spans="1:15" ht="15" customHeight="1">
      <c r="C400" s="3" t="str">
        <f>'Obrazac kalkulacije'!$C$24</f>
        <v>IZVODITELJ:</v>
      </c>
      <c r="F400" s="841" t="str">
        <f>'Obrazac kalkulacije'!$F$24</f>
        <v>NARUČITELJ:</v>
      </c>
      <c r="G400" s="841"/>
      <c r="K400" s="3" t="str">
        <f>'Obrazac kalkulacije'!$C$24</f>
        <v>IZVODITELJ:</v>
      </c>
      <c r="N400" s="841" t="str">
        <f>'Obrazac kalkulacije'!$F$24</f>
        <v>NARUČITELJ:</v>
      </c>
      <c r="O400" s="841"/>
    </row>
    <row r="401" spans="1:15" ht="25.15" customHeight="1">
      <c r="C401" s="3" t="str">
        <f>'Obrazac kalkulacije'!$C$25</f>
        <v>__________________</v>
      </c>
      <c r="F401" s="841" t="str">
        <f>'Obrazac kalkulacije'!$F$25</f>
        <v>___________________</v>
      </c>
      <c r="G401" s="841"/>
      <c r="K401" s="3" t="str">
        <f>'Obrazac kalkulacije'!$C$25</f>
        <v>__________________</v>
      </c>
      <c r="N401" s="841" t="str">
        <f>'Obrazac kalkulacije'!$F$25</f>
        <v>___________________</v>
      </c>
      <c r="O401" s="841"/>
    </row>
    <row r="402" spans="1:15" ht="15" customHeight="1">
      <c r="F402" s="841"/>
      <c r="G402" s="841"/>
      <c r="N402" s="841"/>
      <c r="O402" s="841"/>
    </row>
    <row r="403" spans="1:15" ht="15" customHeight="1"/>
    <row r="404" spans="1:15" ht="15" customHeight="1">
      <c r="A404" s="144"/>
      <c r="B404" s="145" t="s">
        <v>39</v>
      </c>
      <c r="C404" s="836" t="s">
        <v>360</v>
      </c>
      <c r="D404" s="836"/>
      <c r="E404" s="836"/>
      <c r="F404" s="836"/>
      <c r="G404" s="836"/>
      <c r="I404" s="144"/>
      <c r="J404" s="145" t="s">
        <v>39</v>
      </c>
      <c r="K404" s="836" t="s">
        <v>360</v>
      </c>
      <c r="L404" s="836"/>
      <c r="M404" s="836"/>
      <c r="N404" s="836"/>
      <c r="O404" s="836"/>
    </row>
    <row r="405" spans="1:15" ht="15" customHeight="1">
      <c r="A405" s="38"/>
      <c r="B405" s="39" t="s">
        <v>41</v>
      </c>
      <c r="C405" s="860" t="s">
        <v>361</v>
      </c>
      <c r="D405" s="860"/>
      <c r="E405" s="860"/>
      <c r="F405" s="860"/>
      <c r="G405" s="860"/>
      <c r="I405" s="38"/>
      <c r="J405" s="39" t="s">
        <v>41</v>
      </c>
      <c r="K405" s="860" t="s">
        <v>361</v>
      </c>
      <c r="L405" s="860"/>
      <c r="M405" s="860"/>
      <c r="N405" s="860"/>
      <c r="O405" s="860"/>
    </row>
    <row r="406" spans="1:15" ht="150" customHeight="1">
      <c r="A406" s="40"/>
      <c r="B406" s="556" t="s">
        <v>408</v>
      </c>
      <c r="C406" s="852" t="s">
        <v>409</v>
      </c>
      <c r="D406" s="852"/>
      <c r="E406" s="852"/>
      <c r="F406" s="852"/>
      <c r="G406" s="852"/>
      <c r="I406" s="40"/>
      <c r="J406" s="41" t="s">
        <v>408</v>
      </c>
      <c r="K406" s="869" t="s">
        <v>410</v>
      </c>
      <c r="L406" s="869"/>
      <c r="M406" s="869"/>
      <c r="N406" s="869"/>
      <c r="O406" s="869"/>
    </row>
    <row r="407" spans="1:15" ht="15" customHeight="1" thickBot="1"/>
    <row r="408" spans="1:15" ht="30" customHeight="1" thickTop="1" thickBot="1">
      <c r="A408" s="10"/>
      <c r="B408" s="835" t="str">
        <f>'Obrazac kalkulacije'!$B$6:$C$6</f>
        <v>Opis</v>
      </c>
      <c r="C408" s="835"/>
      <c r="D408" s="10" t="str">
        <f>'Obrazac kalkulacije'!$D$6</f>
        <v>Jed.
mjere</v>
      </c>
      <c r="E408" s="10" t="str">
        <f>'Obrazac kalkulacije'!$E$6</f>
        <v>Normativ</v>
      </c>
      <c r="F408" s="10" t="str">
        <f>'Obrazac kalkulacije'!$F$6</f>
        <v>Jed.
cijena</v>
      </c>
      <c r="G408" s="10" t="str">
        <f>'Obrazac kalkulacije'!$G$6</f>
        <v>Iznos</v>
      </c>
      <c r="I408" s="10"/>
      <c r="J408" s="835" t="e">
        <f>'Obrazac kalkulacije'!$B$6:$C$6</f>
        <v>#VALUE!</v>
      </c>
      <c r="K408" s="835"/>
      <c r="L408" s="10" t="str">
        <f>'Obrazac kalkulacije'!$D$6</f>
        <v>Jed.
mjere</v>
      </c>
      <c r="M408" s="10" t="str">
        <f>'Obrazac kalkulacije'!$E$6</f>
        <v>Normativ</v>
      </c>
      <c r="N408" s="10" t="str">
        <f>'Obrazac kalkulacije'!$F$6</f>
        <v>Jed.
cijena</v>
      </c>
      <c r="O408" s="10" t="str">
        <f>'Obrazac kalkulacije'!$G$6</f>
        <v>Iznos</v>
      </c>
    </row>
    <row r="409" spans="1:15" ht="4.5" customHeight="1" thickTop="1">
      <c r="B409" s="42"/>
      <c r="C409" s="1"/>
      <c r="D409" s="11"/>
      <c r="E409" s="13"/>
      <c r="F409" s="258"/>
      <c r="G409" s="15"/>
      <c r="J409" s="42"/>
      <c r="K409" s="1"/>
      <c r="L409" s="11"/>
      <c r="M409" s="13"/>
      <c r="N409" s="258"/>
      <c r="O409" s="15"/>
    </row>
    <row r="410" spans="1:15" ht="25.15" customHeight="1">
      <c r="A410" s="16"/>
      <c r="B410" s="837" t="str">
        <f>'Obrazac kalkulacije'!$B$8</f>
        <v>Radna snaga:</v>
      </c>
      <c r="C410" s="837"/>
      <c r="D410" s="16"/>
      <c r="E410" s="16"/>
      <c r="F410" s="44"/>
      <c r="G410" s="18">
        <f>SUM(G411:G411)</f>
        <v>63.018000000000001</v>
      </c>
      <c r="I410" s="16"/>
      <c r="J410" s="837" t="str">
        <f>'Obrazac kalkulacije'!$B$8</f>
        <v>Radna snaga:</v>
      </c>
      <c r="K410" s="837"/>
      <c r="L410" s="16"/>
      <c r="M410" s="16"/>
      <c r="N410" s="44"/>
      <c r="O410" s="18">
        <f>SUM(O411:O411)</f>
        <v>53.782291980000004</v>
      </c>
    </row>
    <row r="411" spans="1:15" ht="25.15" customHeight="1">
      <c r="A411" s="32"/>
      <c r="B411" s="854" t="s">
        <v>57</v>
      </c>
      <c r="C411" s="854"/>
      <c r="D411" s="637" t="s">
        <v>51</v>
      </c>
      <c r="E411" s="104">
        <v>0.6</v>
      </c>
      <c r="F411" s="238">
        <f>SUMIF('Cjenik RS'!$C$11:$C$26,$B411,'Cjenik RS'!$D$11:$D$90)</f>
        <v>105.03</v>
      </c>
      <c r="G411" s="46">
        <f>+F411*E411</f>
        <v>63.018000000000001</v>
      </c>
      <c r="I411" s="32"/>
      <c r="J411" s="854" t="s">
        <v>57</v>
      </c>
      <c r="K411" s="854"/>
      <c r="L411" s="33" t="s">
        <v>51</v>
      </c>
      <c r="M411" s="34">
        <v>0.51206600000000002</v>
      </c>
      <c r="N411" s="44">
        <f>SUMIF('Cjenik RS'!$C$11:$C$26,J411,'Cjenik RS'!$D$11:$D$90)</f>
        <v>105.03</v>
      </c>
      <c r="O411" s="35">
        <f>+N411*M411</f>
        <v>53.782291980000004</v>
      </c>
    </row>
    <row r="412" spans="1:15" ht="25.15" customHeight="1">
      <c r="A412" s="16"/>
      <c r="B412" s="837" t="str">
        <f>'Obrazac kalkulacije'!$B$11</f>
        <v>Vozila, strojevi i oprema:</v>
      </c>
      <c r="C412" s="837"/>
      <c r="D412" s="16"/>
      <c r="E412" s="16">
        <v>0</v>
      </c>
      <c r="F412" s="238">
        <f>'Obrazac kalkulacije'!$F$11</f>
        <v>0</v>
      </c>
      <c r="G412" s="18">
        <f>SUM(G413:G415)</f>
        <v>30.540804000000001</v>
      </c>
      <c r="I412" s="16"/>
      <c r="J412" s="837" t="str">
        <f>'Obrazac kalkulacije'!$B$11</f>
        <v>Vozila, strojevi i oprema:</v>
      </c>
      <c r="K412" s="837"/>
      <c r="L412" s="16"/>
      <c r="M412" s="16">
        <v>0</v>
      </c>
      <c r="N412" s="238">
        <f>'Obrazac kalkulacije'!$F$11</f>
        <v>0</v>
      </c>
      <c r="O412" s="18">
        <f>SUM(O413:O415)</f>
        <v>30.540804000000001</v>
      </c>
    </row>
    <row r="413" spans="1:15" ht="25.15" customHeight="1">
      <c r="A413" s="16"/>
      <c r="B413" s="838" t="s">
        <v>73</v>
      </c>
      <c r="C413" s="838"/>
      <c r="D413" s="44" t="s">
        <v>51</v>
      </c>
      <c r="E413" s="45">
        <v>4.6899999999999997E-2</v>
      </c>
      <c r="F413" s="238">
        <f>SUMIF('Cjenik VSO'!$B$9:$B$85,$B413,'Cjenik VSO'!$C$9:$C$85)</f>
        <v>291.72000000000003</v>
      </c>
      <c r="G413" s="46">
        <f>E413*F413</f>
        <v>13.681668</v>
      </c>
      <c r="I413" s="51"/>
      <c r="J413" s="863" t="s">
        <v>73</v>
      </c>
      <c r="K413" s="863"/>
      <c r="L413" s="52" t="s">
        <v>51</v>
      </c>
      <c r="M413" s="53">
        <v>4.6899999999999997E-2</v>
      </c>
      <c r="N413" s="260">
        <f>SUMIF('Cjenik VSO'!$B$9:$B$85,$B413,'Cjenik VSO'!$C$9:$C$85)</f>
        <v>291.72000000000003</v>
      </c>
      <c r="O413" s="55">
        <f>M413*N413</f>
        <v>13.681668</v>
      </c>
    </row>
    <row r="414" spans="1:15" ht="25.15" customHeight="1">
      <c r="A414" s="16"/>
      <c r="B414" s="838" t="s">
        <v>288</v>
      </c>
      <c r="C414" s="838"/>
      <c r="D414" s="44" t="s">
        <v>51</v>
      </c>
      <c r="E414" s="45">
        <v>8.5919999999999996E-2</v>
      </c>
      <c r="F414" s="238">
        <f>SUMIF('Cjenik VSO'!$B$9:$B$85,$B414,'Cjenik VSO'!$C$9:$C$85)</f>
        <v>170.8</v>
      </c>
      <c r="G414" s="46">
        <f>E414*F414</f>
        <v>14.675136</v>
      </c>
      <c r="I414" s="56"/>
      <c r="J414" s="834" t="s">
        <v>288</v>
      </c>
      <c r="K414" s="834"/>
      <c r="L414" s="57" t="s">
        <v>51</v>
      </c>
      <c r="M414" s="58">
        <v>8.5919999999999996E-2</v>
      </c>
      <c r="N414" s="263">
        <f>SUMIF('Cjenik VSO'!$B$9:$B$85,$B414,'Cjenik VSO'!$C$9:$C$85)</f>
        <v>170.8</v>
      </c>
      <c r="O414" s="60">
        <f>M414*N414</f>
        <v>14.675136</v>
      </c>
    </row>
    <row r="415" spans="1:15" ht="25.15" customHeight="1">
      <c r="A415" s="16"/>
      <c r="B415" s="838" t="s">
        <v>200</v>
      </c>
      <c r="C415" s="838"/>
      <c r="D415" s="44" t="s">
        <v>51</v>
      </c>
      <c r="E415" s="45">
        <v>0.1</v>
      </c>
      <c r="F415" s="238">
        <f>SUMIF('Cjenik VSO'!$B$9:$B$85,$B415,'Cjenik VSO'!$C$9:$C$85)</f>
        <v>21.84</v>
      </c>
      <c r="G415" s="46">
        <f>E415*F415</f>
        <v>2.1840000000000002</v>
      </c>
      <c r="I415" s="61"/>
      <c r="J415" s="864" t="s">
        <v>200</v>
      </c>
      <c r="K415" s="864"/>
      <c r="L415" s="62" t="s">
        <v>51</v>
      </c>
      <c r="M415" s="63">
        <v>0.1</v>
      </c>
      <c r="N415" s="261">
        <f>SUMIF('Cjenik VSO'!$B$9:$B$85,$B415,'Cjenik VSO'!$C$9:$C$85)</f>
        <v>21.84</v>
      </c>
      <c r="O415" s="65">
        <f>M415*N415</f>
        <v>2.1840000000000002</v>
      </c>
    </row>
    <row r="416" spans="1:15" ht="25.15" customHeight="1">
      <c r="A416" s="16"/>
      <c r="B416" s="837" t="str">
        <f>'Obrazac kalkulacije'!$B$15</f>
        <v>Materijali:</v>
      </c>
      <c r="C416" s="837"/>
      <c r="D416" s="16"/>
      <c r="E416" s="16">
        <v>0</v>
      </c>
      <c r="F416" s="238"/>
      <c r="G416" s="18">
        <f>SUM(G417:G418)</f>
        <v>0</v>
      </c>
      <c r="I416" s="88"/>
      <c r="J416" s="879" t="str">
        <f>'Obrazac kalkulacije'!$B$15</f>
        <v>Materijali:</v>
      </c>
      <c r="K416" s="879"/>
      <c r="L416" s="88"/>
      <c r="M416" s="88">
        <v>0</v>
      </c>
      <c r="N416" s="264"/>
      <c r="O416" s="94">
        <f>SUM(O417:O418)</f>
        <v>0</v>
      </c>
    </row>
    <row r="417" spans="1:15" ht="25.15" customHeight="1">
      <c r="A417" s="16"/>
      <c r="B417" s="838">
        <f>'Cjenik M'!$B$106</f>
        <v>0</v>
      </c>
      <c r="C417" s="838"/>
      <c r="D417" s="44">
        <f>'Cjenik M'!$C$106</f>
        <v>0</v>
      </c>
      <c r="E417" s="45">
        <v>0.66</v>
      </c>
      <c r="F417" s="238">
        <f>'Cjenik M'!$D$106</f>
        <v>0</v>
      </c>
      <c r="G417" s="46">
        <f>E417*F417</f>
        <v>0</v>
      </c>
      <c r="I417" s="51"/>
      <c r="J417" s="863">
        <f>'Cjenik M'!$B$106</f>
        <v>0</v>
      </c>
      <c r="K417" s="863"/>
      <c r="L417" s="52">
        <f>'Cjenik M'!$C$106</f>
        <v>0</v>
      </c>
      <c r="M417" s="53">
        <v>0.59375</v>
      </c>
      <c r="N417" s="260">
        <f>'Cjenik M'!$D$106</f>
        <v>0</v>
      </c>
      <c r="O417" s="55">
        <f>M417*N417</f>
        <v>0</v>
      </c>
    </row>
    <row r="418" spans="1:15" ht="25.15" customHeight="1" thickBot="1">
      <c r="A418" s="16"/>
      <c r="B418" s="838">
        <f>'Cjenik M'!$B$111</f>
        <v>0</v>
      </c>
      <c r="C418" s="838"/>
      <c r="D418" s="44">
        <f>'Cjenik M'!$C$61</f>
        <v>0</v>
      </c>
      <c r="E418" s="45">
        <v>1</v>
      </c>
      <c r="F418" s="238">
        <f>'Cjenik M'!$D$111</f>
        <v>0</v>
      </c>
      <c r="G418" s="46">
        <f>E418*F418</f>
        <v>0</v>
      </c>
      <c r="I418" s="66"/>
      <c r="J418" s="873">
        <f>'Cjenik M'!$B$61</f>
        <v>0</v>
      </c>
      <c r="K418" s="873"/>
      <c r="L418" s="78">
        <f>'Cjenik M'!$C$61</f>
        <v>0</v>
      </c>
      <c r="M418" s="85">
        <v>1.25</v>
      </c>
      <c r="N418" s="265">
        <f>'Cjenik M'!$D$61</f>
        <v>0</v>
      </c>
      <c r="O418" s="80">
        <f>M418*N418</f>
        <v>0</v>
      </c>
    </row>
    <row r="419" spans="1:15" ht="25.15" customHeight="1" thickTop="1" thickBot="1">
      <c r="E419" s="868" t="str">
        <f>'Obrazac kalkulacije'!$E$18</f>
        <v>Ukupno (kn):</v>
      </c>
      <c r="F419" s="868"/>
      <c r="G419" s="71">
        <f>ROUND(SUM(G410+G412+G416),2)</f>
        <v>93.56</v>
      </c>
      <c r="H419" s="269" t="e">
        <f>SUMIF(#REF!,$B406,#REF!)</f>
        <v>#REF!</v>
      </c>
      <c r="J419" s="47"/>
      <c r="K419" s="24"/>
      <c r="L419" s="25"/>
      <c r="M419" s="850" t="str">
        <f>'Obrazac kalkulacije'!$E$18</f>
        <v>Ukupno (kn):</v>
      </c>
      <c r="N419" s="850"/>
      <c r="O419" s="26">
        <f>ROUND(SUM(O410+O412+O416),2)</f>
        <v>84.32</v>
      </c>
    </row>
    <row r="420" spans="1:15" ht="25.15" customHeight="1" thickTop="1" thickBot="1">
      <c r="E420" s="27" t="str">
        <f>'Obrazac kalkulacije'!$E$19</f>
        <v>PDV:</v>
      </c>
      <c r="F420" s="259">
        <f>'Obrazac kalkulacije'!$F$19</f>
        <v>0.25</v>
      </c>
      <c r="G420" s="29">
        <f>G419*F420</f>
        <v>23.39</v>
      </c>
      <c r="H420" s="270" t="e">
        <f>H419-G419</f>
        <v>#REF!</v>
      </c>
      <c r="M420" s="27" t="str">
        <f>'Obrazac kalkulacije'!$E$19</f>
        <v>PDV:</v>
      </c>
      <c r="N420" s="259">
        <f>'Obrazac kalkulacije'!$F$19</f>
        <v>0.25</v>
      </c>
      <c r="O420" s="29">
        <f>O419*N420</f>
        <v>21.08</v>
      </c>
    </row>
    <row r="421" spans="1:15" ht="25.15" customHeight="1" thickTop="1" thickBot="1">
      <c r="E421" s="840" t="str">
        <f>'Obrazac kalkulacije'!$E$20</f>
        <v>Sveukupno (kn):</v>
      </c>
      <c r="F421" s="840"/>
      <c r="G421" s="29">
        <f>ROUND(SUM(G419:G420),2)</f>
        <v>116.95</v>
      </c>
      <c r="H421" s="271" t="e">
        <f>G418+H420</f>
        <v>#REF!</v>
      </c>
      <c r="M421" s="840" t="str">
        <f>'Obrazac kalkulacije'!$E$20</f>
        <v>Sveukupno (kn):</v>
      </c>
      <c r="N421" s="840"/>
      <c r="O421" s="29">
        <f>ROUND(SUM(O419:O420),2)</f>
        <v>105.4</v>
      </c>
    </row>
    <row r="422" spans="1:15" ht="15" customHeight="1" thickTop="1"/>
    <row r="423" spans="1:15" ht="15" customHeight="1"/>
    <row r="424" spans="1:15" ht="15" customHeight="1"/>
    <row r="425" spans="1:15" ht="15" customHeight="1">
      <c r="C425" s="3" t="str">
        <f>'Obrazac kalkulacije'!$C$24</f>
        <v>IZVODITELJ:</v>
      </c>
      <c r="F425" s="841" t="str">
        <f>'Obrazac kalkulacije'!$F$24</f>
        <v>NARUČITELJ:</v>
      </c>
      <c r="G425" s="841"/>
      <c r="K425" s="3" t="str">
        <f>'Obrazac kalkulacije'!$C$24</f>
        <v>IZVODITELJ:</v>
      </c>
      <c r="N425" s="841" t="str">
        <f>'Obrazac kalkulacije'!$F$24</f>
        <v>NARUČITELJ:</v>
      </c>
      <c r="O425" s="841"/>
    </row>
    <row r="426" spans="1:15" ht="25.15" customHeight="1">
      <c r="C426" s="3" t="str">
        <f>'Obrazac kalkulacije'!$C$25</f>
        <v>__________________</v>
      </c>
      <c r="F426" s="841" t="str">
        <f>'Obrazac kalkulacije'!$F$25</f>
        <v>___________________</v>
      </c>
      <c r="G426" s="841"/>
      <c r="K426" s="3" t="str">
        <f>'Obrazac kalkulacije'!$C$25</f>
        <v>__________________</v>
      </c>
      <c r="N426" s="841" t="str">
        <f>'Obrazac kalkulacije'!$F$25</f>
        <v>___________________</v>
      </c>
      <c r="O426" s="841"/>
    </row>
    <row r="427" spans="1:15" ht="15" customHeight="1">
      <c r="F427" s="841"/>
      <c r="G427" s="841"/>
      <c r="N427" s="841"/>
      <c r="O427" s="841"/>
    </row>
    <row r="428" spans="1:15" ht="15" customHeight="1"/>
    <row r="429" spans="1:15" ht="15" customHeight="1">
      <c r="A429" s="144"/>
      <c r="B429" s="145" t="s">
        <v>39</v>
      </c>
      <c r="C429" s="836" t="s">
        <v>360</v>
      </c>
      <c r="D429" s="836"/>
      <c r="E429" s="836"/>
      <c r="F429" s="836"/>
      <c r="G429" s="836"/>
      <c r="I429" s="144"/>
      <c r="J429" s="145" t="s">
        <v>39</v>
      </c>
      <c r="K429" s="836" t="s">
        <v>360</v>
      </c>
      <c r="L429" s="836"/>
      <c r="M429" s="836"/>
      <c r="N429" s="836"/>
      <c r="O429" s="836"/>
    </row>
    <row r="430" spans="1:15" ht="15" customHeight="1">
      <c r="A430" s="38"/>
      <c r="B430" s="39" t="s">
        <v>41</v>
      </c>
      <c r="C430" s="860" t="s">
        <v>361</v>
      </c>
      <c r="D430" s="860"/>
      <c r="E430" s="860"/>
      <c r="F430" s="860"/>
      <c r="G430" s="860"/>
      <c r="I430" s="38"/>
      <c r="J430" s="39" t="s">
        <v>41</v>
      </c>
      <c r="K430" s="860" t="s">
        <v>361</v>
      </c>
      <c r="L430" s="860"/>
      <c r="M430" s="860"/>
      <c r="N430" s="860"/>
      <c r="O430" s="860"/>
    </row>
    <row r="431" spans="1:15" ht="150" customHeight="1">
      <c r="A431" s="40"/>
      <c r="B431" s="556" t="s">
        <v>411</v>
      </c>
      <c r="C431" s="852" t="s">
        <v>412</v>
      </c>
      <c r="D431" s="852"/>
      <c r="E431" s="852"/>
      <c r="F431" s="852"/>
      <c r="G431" s="852"/>
      <c r="I431" s="40"/>
      <c r="J431" s="41" t="s">
        <v>411</v>
      </c>
      <c r="K431" s="869" t="s">
        <v>413</v>
      </c>
      <c r="L431" s="869"/>
      <c r="M431" s="869"/>
      <c r="N431" s="869"/>
      <c r="O431" s="869"/>
    </row>
    <row r="432" spans="1:15" ht="15" customHeight="1" thickBot="1"/>
    <row r="433" spans="1:15" ht="30" customHeight="1" thickTop="1" thickBot="1">
      <c r="A433" s="10"/>
      <c r="B433" s="835" t="str">
        <f>'Obrazac kalkulacije'!$B$6:$C$6</f>
        <v>Opis</v>
      </c>
      <c r="C433" s="835"/>
      <c r="D433" s="10" t="str">
        <f>'Obrazac kalkulacije'!$D$6</f>
        <v>Jed.
mjere</v>
      </c>
      <c r="E433" s="10" t="str">
        <f>'Obrazac kalkulacije'!$E$6</f>
        <v>Normativ</v>
      </c>
      <c r="F433" s="10" t="str">
        <f>'Obrazac kalkulacije'!$F$6</f>
        <v>Jed.
cijena</v>
      </c>
      <c r="G433" s="10" t="str">
        <f>'Obrazac kalkulacije'!$G$6</f>
        <v>Iznos</v>
      </c>
      <c r="I433" s="10"/>
      <c r="J433" s="835" t="e">
        <f>'Obrazac kalkulacije'!$B$6:$C$6</f>
        <v>#VALUE!</v>
      </c>
      <c r="K433" s="835"/>
      <c r="L433" s="10" t="str">
        <f>'Obrazac kalkulacije'!$D$6</f>
        <v>Jed.
mjere</v>
      </c>
      <c r="M433" s="10" t="str">
        <f>'Obrazac kalkulacije'!$E$6</f>
        <v>Normativ</v>
      </c>
      <c r="N433" s="10" t="str">
        <f>'Obrazac kalkulacije'!$F$6</f>
        <v>Jed.
cijena</v>
      </c>
      <c r="O433" s="10" t="str">
        <f>'Obrazac kalkulacije'!$G$6</f>
        <v>Iznos</v>
      </c>
    </row>
    <row r="434" spans="1:15" ht="4.5" customHeight="1" thickTop="1">
      <c r="B434" s="42"/>
      <c r="C434" s="1"/>
      <c r="D434" s="11"/>
      <c r="E434" s="13"/>
      <c r="F434" s="258"/>
      <c r="G434" s="15"/>
      <c r="J434" s="42"/>
      <c r="K434" s="1"/>
      <c r="L434" s="11"/>
      <c r="M434" s="13"/>
      <c r="N434" s="258"/>
      <c r="O434" s="15"/>
    </row>
    <row r="435" spans="1:15" ht="25.15" customHeight="1">
      <c r="A435" s="16"/>
      <c r="B435" s="837" t="str">
        <f>'Obrazac kalkulacije'!$B$8</f>
        <v>Radna snaga:</v>
      </c>
      <c r="C435" s="837"/>
      <c r="D435" s="16"/>
      <c r="E435" s="16"/>
      <c r="F435" s="44"/>
      <c r="G435" s="18">
        <f>SUM(G436:G436)</f>
        <v>210.06</v>
      </c>
      <c r="I435" s="16"/>
      <c r="J435" s="837" t="str">
        <f>'Obrazac kalkulacije'!$B$8</f>
        <v>Radna snaga:</v>
      </c>
      <c r="K435" s="837"/>
      <c r="L435" s="16"/>
      <c r="M435" s="16"/>
      <c r="N435" s="44"/>
      <c r="O435" s="18">
        <f>SUM(O436:O436)</f>
        <v>67.852530900000005</v>
      </c>
    </row>
    <row r="436" spans="1:15" ht="25.15" customHeight="1">
      <c r="A436" s="32"/>
      <c r="B436" s="854" t="s">
        <v>57</v>
      </c>
      <c r="C436" s="854"/>
      <c r="D436" s="33" t="s">
        <v>51</v>
      </c>
      <c r="E436" s="34">
        <v>2</v>
      </c>
      <c r="F436" s="238">
        <f>SUMIF('Cjenik RS'!$C$11:$C$26,$B436,'Cjenik RS'!$D$11:$D$90)</f>
        <v>105.03</v>
      </c>
      <c r="G436" s="35">
        <f>+F436*E436</f>
        <v>210.06</v>
      </c>
      <c r="I436" s="32"/>
      <c r="J436" s="854" t="s">
        <v>57</v>
      </c>
      <c r="K436" s="854"/>
      <c r="L436" s="33" t="s">
        <v>51</v>
      </c>
      <c r="M436" s="34">
        <v>0.64602999999999999</v>
      </c>
      <c r="N436" s="44">
        <f>SUMIF('Cjenik RS'!$C$11:$C$26,J436,'Cjenik RS'!$D$11:$D$90)</f>
        <v>105.03</v>
      </c>
      <c r="O436" s="35">
        <f>+N436*M436</f>
        <v>67.852530900000005</v>
      </c>
    </row>
    <row r="437" spans="1:15" ht="25.15" customHeight="1">
      <c r="A437" s="16"/>
      <c r="B437" s="837" t="str">
        <f>'Obrazac kalkulacije'!$B$11</f>
        <v>Vozila, strojevi i oprema:</v>
      </c>
      <c r="C437" s="837"/>
      <c r="D437" s="16"/>
      <c r="E437" s="16"/>
      <c r="F437" s="238">
        <f>'Obrazac kalkulacije'!$F$11</f>
        <v>0</v>
      </c>
      <c r="G437" s="18">
        <f>SUM(G438:G439)</f>
        <v>44.182706400000001</v>
      </c>
      <c r="I437" s="16"/>
      <c r="J437" s="837" t="str">
        <f>'Obrazac kalkulacije'!$B$11</f>
        <v>Vozila, strojevi i oprema:</v>
      </c>
      <c r="K437" s="837"/>
      <c r="L437" s="16"/>
      <c r="M437" s="16"/>
      <c r="N437" s="238">
        <f>'Obrazac kalkulacije'!$F$11</f>
        <v>0</v>
      </c>
      <c r="O437" s="18">
        <f>SUM(O438:O439)</f>
        <v>44.182706400000001</v>
      </c>
    </row>
    <row r="438" spans="1:15" ht="25.15" customHeight="1">
      <c r="A438" s="51"/>
      <c r="B438" s="863" t="s">
        <v>73</v>
      </c>
      <c r="C438" s="863"/>
      <c r="D438" s="52" t="s">
        <v>51</v>
      </c>
      <c r="E438" s="53">
        <v>5.3620000000000001E-2</v>
      </c>
      <c r="F438" s="260">
        <f>SUMIF('Cjenik VSO'!$B$9:$B$85,$B438,'Cjenik VSO'!$C$9:$C$85)</f>
        <v>291.72000000000003</v>
      </c>
      <c r="G438" s="55">
        <f>E438*F438</f>
        <v>15.642026400000002</v>
      </c>
      <c r="I438" s="51"/>
      <c r="J438" s="863" t="s">
        <v>73</v>
      </c>
      <c r="K438" s="863"/>
      <c r="L438" s="52" t="s">
        <v>51</v>
      </c>
      <c r="M438" s="53">
        <v>5.3620000000000001E-2</v>
      </c>
      <c r="N438" s="260">
        <f>SUMIF('Cjenik VSO'!$B$9:$B$85,$B438,'Cjenik VSO'!$C$9:$C$85)</f>
        <v>291.72000000000003</v>
      </c>
      <c r="O438" s="55">
        <f>M438*N438</f>
        <v>15.642026400000002</v>
      </c>
    </row>
    <row r="439" spans="1:15" ht="25.15" customHeight="1">
      <c r="A439" s="84"/>
      <c r="B439" s="873" t="s">
        <v>288</v>
      </c>
      <c r="C439" s="873"/>
      <c r="D439" s="78" t="s">
        <v>51</v>
      </c>
      <c r="E439" s="85">
        <v>0.1671</v>
      </c>
      <c r="F439" s="265">
        <f>SUMIF('Cjenik VSO'!$B$9:$B$85,$B439,'Cjenik VSO'!$C$9:$C$85)</f>
        <v>170.8</v>
      </c>
      <c r="G439" s="80">
        <f>E439*F439</f>
        <v>28.540680000000002</v>
      </c>
      <c r="I439" s="84"/>
      <c r="J439" s="873" t="s">
        <v>288</v>
      </c>
      <c r="K439" s="873"/>
      <c r="L439" s="78" t="s">
        <v>51</v>
      </c>
      <c r="M439" s="85">
        <v>0.1671</v>
      </c>
      <c r="N439" s="265">
        <f>SUMIF('Cjenik VSO'!$B$9:$B$85,$B439,'Cjenik VSO'!$C$9:$C$85)</f>
        <v>170.8</v>
      </c>
      <c r="O439" s="80">
        <f>M439*N439</f>
        <v>28.540680000000002</v>
      </c>
    </row>
    <row r="440" spans="1:15" ht="25.15" customHeight="1">
      <c r="A440" s="16"/>
      <c r="B440" s="837" t="str">
        <f>'Obrazac kalkulacije'!$B$15</f>
        <v>Materijali:</v>
      </c>
      <c r="C440" s="837"/>
      <c r="D440" s="16"/>
      <c r="E440" s="16"/>
      <c r="F440" s="238"/>
      <c r="G440" s="18">
        <f>SUM(G441:G443)</f>
        <v>0</v>
      </c>
      <c r="I440" s="16"/>
      <c r="J440" s="837" t="str">
        <f>'Obrazac kalkulacije'!$B$15</f>
        <v>Materijali:</v>
      </c>
      <c r="K440" s="837"/>
      <c r="L440" s="16"/>
      <c r="M440" s="16"/>
      <c r="N440" s="238"/>
      <c r="O440" s="18">
        <f>SUM(O441:O443)</f>
        <v>0</v>
      </c>
    </row>
    <row r="441" spans="1:15" ht="25.15" customHeight="1">
      <c r="A441" s="16"/>
      <c r="B441" s="838">
        <f>'Cjenik M'!$B$62</f>
        <v>0</v>
      </c>
      <c r="C441" s="838"/>
      <c r="D441" s="44">
        <f>'Cjenik M'!$C$62</f>
        <v>0</v>
      </c>
      <c r="E441" s="45">
        <v>0.34499999999999997</v>
      </c>
      <c r="F441" s="238">
        <f>'Cjenik M'!$D$62</f>
        <v>0</v>
      </c>
      <c r="G441" s="46">
        <f>E441*F441</f>
        <v>0</v>
      </c>
      <c r="I441" s="51"/>
      <c r="J441" s="863">
        <f>'Cjenik M'!$B$62</f>
        <v>0</v>
      </c>
      <c r="K441" s="863"/>
      <c r="L441" s="52">
        <f>'Cjenik M'!$C$62</f>
        <v>0</v>
      </c>
      <c r="M441" s="53">
        <v>0.59375</v>
      </c>
      <c r="N441" s="260">
        <f>'Cjenik M'!$D$62</f>
        <v>0</v>
      </c>
      <c r="O441" s="55">
        <f>M441*N441</f>
        <v>0</v>
      </c>
    </row>
    <row r="442" spans="1:15" ht="25.15" customHeight="1">
      <c r="A442" s="16"/>
      <c r="B442" s="838">
        <f>'Cjenik M'!$B$111</f>
        <v>0</v>
      </c>
      <c r="C442" s="838"/>
      <c r="D442" s="44">
        <f>'Cjenik M'!$C$61</f>
        <v>0</v>
      </c>
      <c r="E442" s="45">
        <v>1</v>
      </c>
      <c r="F442" s="238">
        <f>'Cjenik M'!$D$111</f>
        <v>0</v>
      </c>
      <c r="G442" s="46">
        <f>E442*F442</f>
        <v>0</v>
      </c>
      <c r="I442" s="56"/>
      <c r="J442" s="834">
        <f>'Cjenik M'!$B$61</f>
        <v>0</v>
      </c>
      <c r="K442" s="834"/>
      <c r="L442" s="57">
        <f>'Cjenik M'!$C$61</f>
        <v>0</v>
      </c>
      <c r="M442" s="58">
        <v>1.25</v>
      </c>
      <c r="N442" s="263">
        <f>'Cjenik M'!$D$61</f>
        <v>0</v>
      </c>
      <c r="O442" s="60">
        <f>M442*N442</f>
        <v>0</v>
      </c>
    </row>
    <row r="443" spans="1:15" ht="25.15" customHeight="1" thickBot="1">
      <c r="A443" s="632"/>
      <c r="B443" s="881">
        <f>'Cjenik M'!$B$34</f>
        <v>0</v>
      </c>
      <c r="C443" s="881"/>
      <c r="D443" s="633">
        <f>'Cjenik M'!$C$34</f>
        <v>0</v>
      </c>
      <c r="E443" s="634">
        <v>0.02</v>
      </c>
      <c r="F443" s="635">
        <f>'Cjenik M'!$D$34</f>
        <v>0</v>
      </c>
      <c r="G443" s="636">
        <f>E443*F443</f>
        <v>0</v>
      </c>
      <c r="I443" s="66"/>
      <c r="J443" s="859">
        <f>'Cjenik M'!$B$34</f>
        <v>0</v>
      </c>
      <c r="K443" s="859"/>
      <c r="L443" s="67">
        <f>'Cjenik M'!$C$34</f>
        <v>0</v>
      </c>
      <c r="M443" s="68">
        <v>0.02</v>
      </c>
      <c r="N443" s="262">
        <f>'Cjenik M'!$D$34</f>
        <v>0</v>
      </c>
      <c r="O443" s="70">
        <f>M443*N443</f>
        <v>0</v>
      </c>
    </row>
    <row r="444" spans="1:15" ht="25.15" customHeight="1" thickTop="1" thickBot="1">
      <c r="B444" s="47"/>
      <c r="C444" s="24"/>
      <c r="D444" s="25"/>
      <c r="E444" s="850" t="str">
        <f>'Obrazac kalkulacije'!$E$18</f>
        <v>Ukupno (kn):</v>
      </c>
      <c r="F444" s="850"/>
      <c r="G444" s="26">
        <f>ROUND(SUM(G435+G437+G440),2)</f>
        <v>254.24</v>
      </c>
      <c r="H444" s="269" t="e">
        <f>SUMIF(#REF!,$B431,#REF!)</f>
        <v>#REF!</v>
      </c>
      <c r="J444" s="47"/>
      <c r="K444" s="24"/>
      <c r="L444" s="25"/>
      <c r="M444" s="850" t="str">
        <f>'Obrazac kalkulacije'!$E$18</f>
        <v>Ukupno (kn):</v>
      </c>
      <c r="N444" s="850"/>
      <c r="O444" s="26">
        <f>ROUND(SUM(O435+O437+O440),2)</f>
        <v>112.04</v>
      </c>
    </row>
    <row r="445" spans="1:15" ht="25.15" customHeight="1" thickTop="1" thickBot="1">
      <c r="E445" s="27" t="str">
        <f>'Obrazac kalkulacije'!$E$19</f>
        <v>PDV:</v>
      </c>
      <c r="F445" s="259">
        <f>'Obrazac kalkulacije'!$F$19</f>
        <v>0.25</v>
      </c>
      <c r="G445" s="29">
        <f>G444*F445</f>
        <v>63.56</v>
      </c>
      <c r="H445" s="270" t="e">
        <f>H444-G444</f>
        <v>#REF!</v>
      </c>
      <c r="M445" s="27" t="str">
        <f>'Obrazac kalkulacije'!$E$19</f>
        <v>PDV:</v>
      </c>
      <c r="N445" s="259">
        <f>'Obrazac kalkulacije'!$F$19</f>
        <v>0.25</v>
      </c>
      <c r="O445" s="29">
        <f>O444*N445</f>
        <v>28.01</v>
      </c>
    </row>
    <row r="446" spans="1:15" ht="25.15" customHeight="1" thickTop="1" thickBot="1">
      <c r="E446" s="840" t="str">
        <f>'Obrazac kalkulacije'!$E$20</f>
        <v>Sveukupno (kn):</v>
      </c>
      <c r="F446" s="840"/>
      <c r="G446" s="29">
        <f>ROUND(SUM(G444:G445),2)</f>
        <v>317.8</v>
      </c>
      <c r="H446" s="271" t="e">
        <f>G442+H445</f>
        <v>#REF!</v>
      </c>
      <c r="M446" s="840" t="str">
        <f>'Obrazac kalkulacije'!$E$20</f>
        <v>Sveukupno (kn):</v>
      </c>
      <c r="N446" s="840"/>
      <c r="O446" s="29">
        <f>ROUND(SUM(O444:O445),2)</f>
        <v>140.05000000000001</v>
      </c>
    </row>
    <row r="447" spans="1:15" ht="15" customHeight="1" thickTop="1"/>
    <row r="448" spans="1:15" ht="15" customHeight="1"/>
    <row r="449" spans="1:15" ht="15" customHeight="1"/>
    <row r="450" spans="1:15" ht="15" customHeight="1">
      <c r="C450" s="3" t="str">
        <f>'Obrazac kalkulacije'!$C$24</f>
        <v>IZVODITELJ:</v>
      </c>
      <c r="F450" s="841" t="str">
        <f>'Obrazac kalkulacije'!$F$24</f>
        <v>NARUČITELJ:</v>
      </c>
      <c r="G450" s="841"/>
      <c r="K450" s="3" t="str">
        <f>'Obrazac kalkulacije'!$C$24</f>
        <v>IZVODITELJ:</v>
      </c>
      <c r="N450" s="841" t="str">
        <f>'Obrazac kalkulacije'!$F$24</f>
        <v>NARUČITELJ:</v>
      </c>
      <c r="O450" s="841"/>
    </row>
    <row r="451" spans="1:15" ht="25.15" customHeight="1">
      <c r="C451" s="3" t="str">
        <f>'Obrazac kalkulacije'!$C$25</f>
        <v>__________________</v>
      </c>
      <c r="F451" s="841" t="str">
        <f>'Obrazac kalkulacije'!$F$25</f>
        <v>___________________</v>
      </c>
      <c r="G451" s="841"/>
      <c r="K451" s="3" t="str">
        <f>'Obrazac kalkulacije'!$C$25</f>
        <v>__________________</v>
      </c>
      <c r="N451" s="841" t="str">
        <f>'Obrazac kalkulacije'!$F$25</f>
        <v>___________________</v>
      </c>
      <c r="O451" s="841"/>
    </row>
    <row r="452" spans="1:15" ht="15" customHeight="1">
      <c r="F452" s="841"/>
      <c r="G452" s="841"/>
      <c r="N452" s="841"/>
      <c r="O452" s="841"/>
    </row>
    <row r="453" spans="1:15" ht="15" customHeight="1"/>
    <row r="454" spans="1:15" ht="15" customHeight="1">
      <c r="A454" s="144"/>
      <c r="B454" s="145" t="s">
        <v>39</v>
      </c>
      <c r="C454" s="836" t="s">
        <v>360</v>
      </c>
      <c r="D454" s="836"/>
      <c r="E454" s="836"/>
      <c r="F454" s="836"/>
      <c r="G454" s="836"/>
      <c r="I454" s="144"/>
      <c r="J454" s="145" t="s">
        <v>39</v>
      </c>
      <c r="K454" s="836" t="s">
        <v>360</v>
      </c>
      <c r="L454" s="836"/>
      <c r="M454" s="836"/>
      <c r="N454" s="836"/>
      <c r="O454" s="836"/>
    </row>
    <row r="455" spans="1:15" ht="15" customHeight="1">
      <c r="A455" s="38"/>
      <c r="B455" s="39" t="s">
        <v>41</v>
      </c>
      <c r="C455" s="860" t="s">
        <v>361</v>
      </c>
      <c r="D455" s="860"/>
      <c r="E455" s="860"/>
      <c r="F455" s="860"/>
      <c r="G455" s="860"/>
      <c r="I455" s="38"/>
      <c r="J455" s="39" t="s">
        <v>41</v>
      </c>
      <c r="K455" s="860" t="s">
        <v>361</v>
      </c>
      <c r="L455" s="860"/>
      <c r="M455" s="860"/>
      <c r="N455" s="860"/>
      <c r="O455" s="860"/>
    </row>
    <row r="456" spans="1:15" ht="150" customHeight="1">
      <c r="A456" s="40"/>
      <c r="B456" s="556" t="s">
        <v>414</v>
      </c>
      <c r="C456" s="852" t="s">
        <v>415</v>
      </c>
      <c r="D456" s="852"/>
      <c r="E456" s="852"/>
      <c r="F456" s="852"/>
      <c r="G456" s="852"/>
      <c r="I456" s="40"/>
      <c r="J456" s="41" t="s">
        <v>414</v>
      </c>
      <c r="K456" s="869" t="s">
        <v>416</v>
      </c>
      <c r="L456" s="869"/>
      <c r="M456" s="869"/>
      <c r="N456" s="869"/>
      <c r="O456" s="869"/>
    </row>
    <row r="457" spans="1:15" ht="15" customHeight="1" thickBot="1"/>
    <row r="458" spans="1:15" ht="30" customHeight="1" thickTop="1" thickBot="1">
      <c r="A458" s="10"/>
      <c r="B458" s="835" t="str">
        <f>'Obrazac kalkulacije'!$B$6:$C$6</f>
        <v>Opis</v>
      </c>
      <c r="C458" s="835"/>
      <c r="D458" s="10" t="str">
        <f>'Obrazac kalkulacije'!$D$6</f>
        <v>Jed.
mjere</v>
      </c>
      <c r="E458" s="10" t="str">
        <f>'Obrazac kalkulacije'!$E$6</f>
        <v>Normativ</v>
      </c>
      <c r="F458" s="10" t="str">
        <f>'Obrazac kalkulacije'!$F$6</f>
        <v>Jed.
cijena</v>
      </c>
      <c r="G458" s="10" t="str">
        <f>'Obrazac kalkulacije'!$G$6</f>
        <v>Iznos</v>
      </c>
      <c r="I458" s="10"/>
      <c r="J458" s="835" t="e">
        <f>'Obrazac kalkulacije'!$B$6:$C$6</f>
        <v>#VALUE!</v>
      </c>
      <c r="K458" s="835"/>
      <c r="L458" s="10" t="str">
        <f>'Obrazac kalkulacije'!$D$6</f>
        <v>Jed.
mjere</v>
      </c>
      <c r="M458" s="10" t="str">
        <f>'Obrazac kalkulacije'!$E$6</f>
        <v>Normativ</v>
      </c>
      <c r="N458" s="10" t="str">
        <f>'Obrazac kalkulacije'!$F$6</f>
        <v>Jed.
cijena</v>
      </c>
      <c r="O458" s="10" t="str">
        <f>'Obrazac kalkulacije'!$G$6</f>
        <v>Iznos</v>
      </c>
    </row>
    <row r="459" spans="1:15" ht="4.5" customHeight="1" thickTop="1">
      <c r="B459" s="42"/>
      <c r="C459" s="1"/>
      <c r="D459" s="11"/>
      <c r="E459" s="13"/>
      <c r="F459" s="258"/>
      <c r="G459" s="15"/>
      <c r="J459" s="42"/>
      <c r="K459" s="1"/>
      <c r="L459" s="11"/>
      <c r="M459" s="13"/>
      <c r="N459" s="258"/>
      <c r="O459" s="15"/>
    </row>
    <row r="460" spans="1:15" ht="25.15" customHeight="1">
      <c r="A460" s="16"/>
      <c r="B460" s="837" t="str">
        <f>'Obrazac kalkulacije'!$B$8</f>
        <v>Radna snaga:</v>
      </c>
      <c r="C460" s="837"/>
      <c r="D460" s="16"/>
      <c r="E460" s="16"/>
      <c r="F460" s="44"/>
      <c r="G460" s="18">
        <f>SUM(G461:G461)</f>
        <v>89.275499999999994</v>
      </c>
      <c r="I460" s="16"/>
      <c r="J460" s="837" t="str">
        <f>'Obrazac kalkulacije'!$B$8</f>
        <v>Radna snaga:</v>
      </c>
      <c r="K460" s="837"/>
      <c r="L460" s="16"/>
      <c r="M460" s="16"/>
      <c r="N460" s="44"/>
      <c r="O460" s="18">
        <f>SUM(O461:O461)</f>
        <v>89.275499999999994</v>
      </c>
    </row>
    <row r="461" spans="1:15" ht="25.15" customHeight="1">
      <c r="A461" s="32"/>
      <c r="B461" s="854" t="s">
        <v>57</v>
      </c>
      <c r="C461" s="854"/>
      <c r="D461" s="33" t="s">
        <v>51</v>
      </c>
      <c r="E461" s="34">
        <v>0.85</v>
      </c>
      <c r="F461" s="238">
        <f>SUMIF('Cjenik RS'!$C$11:$C$26,$B461,'Cjenik RS'!$D$11:$D$90)</f>
        <v>105.03</v>
      </c>
      <c r="G461" s="35">
        <f>+F461*E461</f>
        <v>89.275499999999994</v>
      </c>
      <c r="I461" s="32"/>
      <c r="J461" s="854" t="s">
        <v>57</v>
      </c>
      <c r="K461" s="854"/>
      <c r="L461" s="33" t="s">
        <v>51</v>
      </c>
      <c r="M461" s="34">
        <v>0.85</v>
      </c>
      <c r="N461" s="44">
        <f>SUMIF('Cjenik RS'!$C$11:$C$26,J461,'Cjenik RS'!$D$11:$D$90)</f>
        <v>105.03</v>
      </c>
      <c r="O461" s="35">
        <f>+N461*M461</f>
        <v>89.275499999999994</v>
      </c>
    </row>
    <row r="462" spans="1:15" ht="25.15" customHeight="1">
      <c r="A462" s="16"/>
      <c r="B462" s="837" t="str">
        <f>'Obrazac kalkulacije'!$B$11</f>
        <v>Vozila, strojevi i oprema:</v>
      </c>
      <c r="C462" s="837"/>
      <c r="D462" s="16"/>
      <c r="E462" s="16"/>
      <c r="F462" s="238">
        <f>'Obrazac kalkulacije'!$F$11</f>
        <v>0</v>
      </c>
      <c r="G462" s="18">
        <f>SUM(G463:G463)</f>
        <v>245.12039999999999</v>
      </c>
      <c r="I462" s="16"/>
      <c r="J462" s="837" t="str">
        <f>'Obrazac kalkulacije'!$B$11</f>
        <v>Vozila, strojevi i oprema:</v>
      </c>
      <c r="K462" s="837"/>
      <c r="L462" s="16"/>
      <c r="M462" s="16"/>
      <c r="N462" s="238">
        <f>'Obrazac kalkulacije'!$F$11</f>
        <v>0</v>
      </c>
      <c r="O462" s="18">
        <f>SUM(O463:O463)</f>
        <v>245.12039999999999</v>
      </c>
    </row>
    <row r="463" spans="1:15" ht="25.15" customHeight="1">
      <c r="A463" s="61"/>
      <c r="B463" s="864" t="s">
        <v>417</v>
      </c>
      <c r="C463" s="864"/>
      <c r="D463" s="62" t="s">
        <v>51</v>
      </c>
      <c r="E463" s="63">
        <v>0.68500000000000005</v>
      </c>
      <c r="F463" s="260">
        <f>SUMIF('Cjenik VSO'!$B$9:$B$85,$B463,'Cjenik VSO'!$C$9:$C$85)</f>
        <v>357.84</v>
      </c>
      <c r="G463" s="65">
        <f>E463*F463</f>
        <v>245.12039999999999</v>
      </c>
      <c r="I463" s="61"/>
      <c r="J463" s="864" t="s">
        <v>417</v>
      </c>
      <c r="K463" s="864"/>
      <c r="L463" s="62" t="s">
        <v>51</v>
      </c>
      <c r="M463" s="63">
        <v>0.68500000000000005</v>
      </c>
      <c r="N463" s="260">
        <f>SUMIF('Cjenik VSO'!$B$9:$B$85,$B463,'Cjenik VSO'!$C$9:$C$85)</f>
        <v>357.84</v>
      </c>
      <c r="O463" s="65">
        <f>M463*N463</f>
        <v>245.12039999999999</v>
      </c>
    </row>
    <row r="464" spans="1:15" ht="25.15" customHeight="1">
      <c r="A464" s="16"/>
      <c r="B464" s="837" t="str">
        <f>'Obrazac kalkulacije'!$B$15</f>
        <v>Materijali:</v>
      </c>
      <c r="C464" s="837"/>
      <c r="D464" s="16"/>
      <c r="E464" s="16"/>
      <c r="F464" s="238"/>
      <c r="G464" s="18">
        <f>SUM(G465:G465)</f>
        <v>0</v>
      </c>
      <c r="I464" s="16"/>
      <c r="J464" s="837" t="str">
        <f>'Obrazac kalkulacije'!$B$15</f>
        <v>Materijali:</v>
      </c>
      <c r="K464" s="837"/>
      <c r="L464" s="16"/>
      <c r="M464" s="16"/>
      <c r="N464" s="238"/>
      <c r="O464" s="18">
        <f>SUM(O465:O465)</f>
        <v>0</v>
      </c>
    </row>
    <row r="465" spans="1:15" ht="25.15" customHeight="1" thickBot="1">
      <c r="A465" s="43"/>
      <c r="B465" s="863">
        <f>'Cjenik M'!$B$60</f>
        <v>0</v>
      </c>
      <c r="C465" s="863"/>
      <c r="D465" s="52">
        <f>'Cjenik M'!$C$60</f>
        <v>0</v>
      </c>
      <c r="E465" s="53">
        <v>1</v>
      </c>
      <c r="F465" s="260">
        <f>'Cjenik M'!$D$60</f>
        <v>0</v>
      </c>
      <c r="G465" s="55">
        <f>E465*F465</f>
        <v>0</v>
      </c>
      <c r="I465" s="43"/>
      <c r="J465" s="863">
        <f>'Cjenik M'!$B$60</f>
        <v>0</v>
      </c>
      <c r="K465" s="863"/>
      <c r="L465" s="52">
        <f>'Cjenik M'!$C$60</f>
        <v>0</v>
      </c>
      <c r="M465" s="53">
        <v>1</v>
      </c>
      <c r="N465" s="260">
        <f>'Cjenik M'!$D$60</f>
        <v>0</v>
      </c>
      <c r="O465" s="55">
        <f>M465*N465</f>
        <v>0</v>
      </c>
    </row>
    <row r="466" spans="1:15" ht="25.15" customHeight="1" thickTop="1" thickBot="1">
      <c r="B466" s="47"/>
      <c r="C466" s="24"/>
      <c r="D466" s="25"/>
      <c r="E466" s="850" t="str">
        <f>'Obrazac kalkulacije'!$E$18</f>
        <v>Ukupno (kn):</v>
      </c>
      <c r="F466" s="850"/>
      <c r="G466" s="26">
        <f>ROUND(SUM(G460+G462+G464),2)</f>
        <v>334.4</v>
      </c>
      <c r="H466" s="269" t="e">
        <f>SUMIF(#REF!,$B456,#REF!)</f>
        <v>#REF!</v>
      </c>
      <c r="J466" s="47"/>
      <c r="K466" s="24"/>
      <c r="L466" s="25"/>
      <c r="M466" s="850" t="str">
        <f>'Obrazac kalkulacije'!$E$18</f>
        <v>Ukupno (kn):</v>
      </c>
      <c r="N466" s="850"/>
      <c r="O466" s="26">
        <f>ROUND(SUM(O460+O462+O464),2)</f>
        <v>334.4</v>
      </c>
    </row>
    <row r="467" spans="1:15" ht="25.15" customHeight="1" thickTop="1" thickBot="1">
      <c r="E467" s="27" t="str">
        <f>'Obrazac kalkulacije'!$E$19</f>
        <v>PDV:</v>
      </c>
      <c r="F467" s="259">
        <f>'Obrazac kalkulacije'!$F$19</f>
        <v>0.25</v>
      </c>
      <c r="G467" s="29">
        <f>G466*F467</f>
        <v>83.6</v>
      </c>
      <c r="H467" s="270" t="e">
        <f>H466-G466</f>
        <v>#REF!</v>
      </c>
      <c r="M467" s="27" t="str">
        <f>'Obrazac kalkulacije'!$E$19</f>
        <v>PDV:</v>
      </c>
      <c r="N467" s="259">
        <f>'Obrazac kalkulacije'!$F$19</f>
        <v>0.25</v>
      </c>
      <c r="O467" s="29">
        <f>O466*N467</f>
        <v>83.6</v>
      </c>
    </row>
    <row r="468" spans="1:15" ht="25.15" customHeight="1" thickTop="1" thickBot="1">
      <c r="E468" s="840" t="str">
        <f>'Obrazac kalkulacije'!$E$20</f>
        <v>Sveukupno (kn):</v>
      </c>
      <c r="F468" s="840"/>
      <c r="G468" s="29">
        <f>ROUND(SUM(G466:G467),2)</f>
        <v>418</v>
      </c>
      <c r="H468" s="271" t="e">
        <f>G463+H467</f>
        <v>#REF!</v>
      </c>
      <c r="M468" s="840" t="str">
        <f>'Obrazac kalkulacije'!$E$20</f>
        <v>Sveukupno (kn):</v>
      </c>
      <c r="N468" s="840"/>
      <c r="O468" s="29">
        <f>ROUND(SUM(O466:O467),2)</f>
        <v>418</v>
      </c>
    </row>
    <row r="469" spans="1:15" ht="15" customHeight="1" thickTop="1"/>
    <row r="470" spans="1:15" ht="15" customHeight="1"/>
    <row r="471" spans="1:15" ht="15" customHeight="1"/>
    <row r="472" spans="1:15" ht="15" customHeight="1">
      <c r="C472" s="3" t="str">
        <f>'Obrazac kalkulacije'!$C$24</f>
        <v>IZVODITELJ:</v>
      </c>
      <c r="F472" s="841" t="str">
        <f>'Obrazac kalkulacije'!$F$24</f>
        <v>NARUČITELJ:</v>
      </c>
      <c r="G472" s="841"/>
      <c r="K472" s="3" t="str">
        <f>'Obrazac kalkulacije'!$C$24</f>
        <v>IZVODITELJ:</v>
      </c>
      <c r="N472" s="841" t="str">
        <f>'Obrazac kalkulacije'!$F$24</f>
        <v>NARUČITELJ:</v>
      </c>
      <c r="O472" s="841"/>
    </row>
    <row r="473" spans="1:15" ht="25.15" customHeight="1">
      <c r="C473" s="3" t="str">
        <f>'Obrazac kalkulacije'!$C$25</f>
        <v>__________________</v>
      </c>
      <c r="F473" s="841" t="str">
        <f>'Obrazac kalkulacije'!$F$25</f>
        <v>___________________</v>
      </c>
      <c r="G473" s="841"/>
      <c r="K473" s="3" t="str">
        <f>'Obrazac kalkulacije'!$C$25</f>
        <v>__________________</v>
      </c>
      <c r="N473" s="841" t="str">
        <f>'Obrazac kalkulacije'!$F$25</f>
        <v>___________________</v>
      </c>
      <c r="O473" s="841"/>
    </row>
    <row r="474" spans="1:15" ht="15" customHeight="1">
      <c r="F474" s="841"/>
      <c r="G474" s="841"/>
      <c r="N474" s="841"/>
      <c r="O474" s="841"/>
    </row>
    <row r="475" spans="1:15" ht="15" customHeight="1"/>
    <row r="476" spans="1:15" ht="15" customHeight="1">
      <c r="A476" s="144"/>
      <c r="B476" s="145" t="s">
        <v>39</v>
      </c>
      <c r="C476" s="836" t="s">
        <v>360</v>
      </c>
      <c r="D476" s="836"/>
      <c r="E476" s="836"/>
      <c r="F476" s="836"/>
      <c r="G476" s="836"/>
      <c r="I476" s="144"/>
      <c r="J476" s="145" t="s">
        <v>39</v>
      </c>
      <c r="K476" s="836" t="s">
        <v>360</v>
      </c>
      <c r="L476" s="836"/>
      <c r="M476" s="836"/>
      <c r="N476" s="836"/>
      <c r="O476" s="836"/>
    </row>
    <row r="477" spans="1:15" ht="15" customHeight="1">
      <c r="A477" s="38"/>
      <c r="B477" s="39" t="s">
        <v>41</v>
      </c>
      <c r="C477" s="860" t="s">
        <v>361</v>
      </c>
      <c r="D477" s="860"/>
      <c r="E477" s="860"/>
      <c r="F477" s="860"/>
      <c r="G477" s="860"/>
      <c r="I477" s="38"/>
      <c r="J477" s="39" t="s">
        <v>41</v>
      </c>
      <c r="K477" s="860" t="s">
        <v>361</v>
      </c>
      <c r="L477" s="860"/>
      <c r="M477" s="860"/>
      <c r="N477" s="860"/>
      <c r="O477" s="860"/>
    </row>
    <row r="478" spans="1:15" ht="150" customHeight="1">
      <c r="A478" s="40"/>
      <c r="B478" s="556" t="s">
        <v>418</v>
      </c>
      <c r="C478" s="852" t="s">
        <v>419</v>
      </c>
      <c r="D478" s="852"/>
      <c r="E478" s="852"/>
      <c r="F478" s="852"/>
      <c r="G478" s="852"/>
      <c r="I478" s="40"/>
      <c r="J478" s="41" t="s">
        <v>418</v>
      </c>
      <c r="K478" s="869" t="s">
        <v>420</v>
      </c>
      <c r="L478" s="869"/>
      <c r="M478" s="869"/>
      <c r="N478" s="869"/>
      <c r="O478" s="869"/>
    </row>
    <row r="479" spans="1:15" ht="15" customHeight="1" thickBot="1"/>
    <row r="480" spans="1:15" ht="30" customHeight="1" thickTop="1" thickBot="1">
      <c r="A480" s="10"/>
      <c r="B480" s="835" t="str">
        <f>'Obrazac kalkulacije'!$B$6:$C$6</f>
        <v>Opis</v>
      </c>
      <c r="C480" s="835"/>
      <c r="D480" s="10" t="str">
        <f>'Obrazac kalkulacije'!$D$6</f>
        <v>Jed.
mjere</v>
      </c>
      <c r="E480" s="10" t="str">
        <f>'Obrazac kalkulacije'!$E$6</f>
        <v>Normativ</v>
      </c>
      <c r="F480" s="10" t="str">
        <f>'Obrazac kalkulacije'!$F$6</f>
        <v>Jed.
cijena</v>
      </c>
      <c r="G480" s="10" t="str">
        <f>'Obrazac kalkulacije'!$G$6</f>
        <v>Iznos</v>
      </c>
      <c r="I480" s="10"/>
      <c r="J480" s="835" t="e">
        <f>'Obrazac kalkulacije'!$B$6:$C$6</f>
        <v>#VALUE!</v>
      </c>
      <c r="K480" s="835"/>
      <c r="L480" s="10" t="str">
        <f>'Obrazac kalkulacije'!$D$6</f>
        <v>Jed.
mjere</v>
      </c>
      <c r="M480" s="10" t="str">
        <f>'Obrazac kalkulacije'!$E$6</f>
        <v>Normativ</v>
      </c>
      <c r="N480" s="10" t="str">
        <f>'Obrazac kalkulacije'!$F$6</f>
        <v>Jed.
cijena</v>
      </c>
      <c r="O480" s="10" t="str">
        <f>'Obrazac kalkulacije'!$G$6</f>
        <v>Iznos</v>
      </c>
    </row>
    <row r="481" spans="1:15" ht="4.5" customHeight="1" thickTop="1">
      <c r="B481" s="42"/>
      <c r="C481" s="1"/>
      <c r="D481" s="11"/>
      <c r="E481" s="13"/>
      <c r="F481" s="258"/>
      <c r="G481" s="15"/>
      <c r="J481" s="42"/>
      <c r="K481" s="1"/>
      <c r="L481" s="11"/>
      <c r="M481" s="13"/>
      <c r="N481" s="258"/>
      <c r="O481" s="15"/>
    </row>
    <row r="482" spans="1:15" ht="25.15" customHeight="1">
      <c r="A482" s="16"/>
      <c r="B482" s="837" t="str">
        <f>'Obrazac kalkulacije'!$B$8</f>
        <v>Radna snaga:</v>
      </c>
      <c r="C482" s="837"/>
      <c r="D482" s="16"/>
      <c r="E482" s="16"/>
      <c r="F482" s="44"/>
      <c r="G482" s="18">
        <f>SUM(G483:G483)</f>
        <v>15.066343439999999</v>
      </c>
      <c r="I482" s="16"/>
      <c r="J482" s="837" t="str">
        <f>'Obrazac kalkulacije'!$B$8</f>
        <v>Radna snaga:</v>
      </c>
      <c r="K482" s="837"/>
      <c r="L482" s="16"/>
      <c r="M482" s="16"/>
      <c r="N482" s="44"/>
      <c r="O482" s="18">
        <f>SUM(O483:O483)</f>
        <v>15.066343439999999</v>
      </c>
    </row>
    <row r="483" spans="1:15" ht="25.15" customHeight="1">
      <c r="A483" s="32"/>
      <c r="B483" s="854" t="s">
        <v>57</v>
      </c>
      <c r="C483" s="854"/>
      <c r="D483" s="33" t="s">
        <v>51</v>
      </c>
      <c r="E483" s="34">
        <v>0.14344799999999999</v>
      </c>
      <c r="F483" s="238">
        <f>SUMIF('Cjenik RS'!$C$11:$C$26,$B483,'Cjenik RS'!$D$11:$D$90)</f>
        <v>105.03</v>
      </c>
      <c r="G483" s="35">
        <f>+F483*E483</f>
        <v>15.066343439999999</v>
      </c>
      <c r="I483" s="32"/>
      <c r="J483" s="854" t="s">
        <v>57</v>
      </c>
      <c r="K483" s="854"/>
      <c r="L483" s="33" t="s">
        <v>51</v>
      </c>
      <c r="M483" s="34">
        <v>0.14344799999999999</v>
      </c>
      <c r="N483" s="44">
        <f>SUMIF('Cjenik RS'!$C$11:$C$26,J483,'Cjenik RS'!$D$11:$D$90)</f>
        <v>105.03</v>
      </c>
      <c r="O483" s="35">
        <f>+N483*M483</f>
        <v>15.066343439999999</v>
      </c>
    </row>
    <row r="484" spans="1:15" ht="25.15" customHeight="1">
      <c r="A484" s="16"/>
      <c r="B484" s="837" t="str">
        <f>'Obrazac kalkulacije'!$B$11</f>
        <v>Vozila, strojevi i oprema:</v>
      </c>
      <c r="C484" s="837"/>
      <c r="D484" s="16"/>
      <c r="E484" s="16"/>
      <c r="F484" s="238">
        <f>'Obrazac kalkulacije'!$F$11</f>
        <v>0</v>
      </c>
      <c r="G484" s="18">
        <f>SUM(G485:G485)</f>
        <v>1.0920000000000001</v>
      </c>
      <c r="I484" s="16"/>
      <c r="J484" s="837" t="str">
        <f>'Obrazac kalkulacije'!$B$11</f>
        <v>Vozila, strojevi i oprema:</v>
      </c>
      <c r="K484" s="837"/>
      <c r="L484" s="16"/>
      <c r="M484" s="16"/>
      <c r="N484" s="238">
        <f>'Obrazac kalkulacije'!$F$11</f>
        <v>0</v>
      </c>
      <c r="O484" s="18">
        <f>SUM(O485:O485)</f>
        <v>1.0920000000000001</v>
      </c>
    </row>
    <row r="485" spans="1:15" ht="25.15" customHeight="1">
      <c r="A485" s="61"/>
      <c r="B485" s="864" t="s">
        <v>200</v>
      </c>
      <c r="C485" s="864"/>
      <c r="D485" s="62" t="s">
        <v>51</v>
      </c>
      <c r="E485" s="63">
        <v>0.05</v>
      </c>
      <c r="F485" s="260">
        <f>SUMIF('Cjenik VSO'!$B$9:$B$85,$B485,'Cjenik VSO'!$C$9:$C$85)</f>
        <v>21.84</v>
      </c>
      <c r="G485" s="65">
        <f>E485*F485</f>
        <v>1.0920000000000001</v>
      </c>
      <c r="I485" s="61"/>
      <c r="J485" s="864" t="s">
        <v>200</v>
      </c>
      <c r="K485" s="864"/>
      <c r="L485" s="62" t="s">
        <v>51</v>
      </c>
      <c r="M485" s="63">
        <v>0.05</v>
      </c>
      <c r="N485" s="260">
        <f>SUMIF('Cjenik VSO'!$B$9:$B$85,$B485,'Cjenik VSO'!$C$9:$C$85)</f>
        <v>21.84</v>
      </c>
      <c r="O485" s="65">
        <f>M485*N485</f>
        <v>1.0920000000000001</v>
      </c>
    </row>
    <row r="486" spans="1:15" ht="25.15" customHeight="1">
      <c r="A486" s="16"/>
      <c r="B486" s="837" t="str">
        <f>'Obrazac kalkulacije'!$B$15</f>
        <v>Materijali:</v>
      </c>
      <c r="C486" s="837"/>
      <c r="D486" s="16"/>
      <c r="E486" s="16"/>
      <c r="F486" s="238"/>
      <c r="G486" s="18">
        <f>SUM(G487:G487)</f>
        <v>0</v>
      </c>
      <c r="I486" s="16"/>
      <c r="J486" s="837" t="str">
        <f>'Obrazac kalkulacije'!$B$15</f>
        <v>Materijali:</v>
      </c>
      <c r="K486" s="837"/>
      <c r="L486" s="16"/>
      <c r="M486" s="16"/>
      <c r="N486" s="238"/>
      <c r="O486" s="18">
        <f>SUM(O487:O487)</f>
        <v>0</v>
      </c>
    </row>
    <row r="487" spans="1:15" ht="25.15" customHeight="1" thickBot="1">
      <c r="A487" s="43"/>
      <c r="B487" s="863">
        <f>'Cjenik M'!$B$55</f>
        <v>0</v>
      </c>
      <c r="C487" s="863"/>
      <c r="D487" s="52">
        <f>'Cjenik M'!$C$55</f>
        <v>0</v>
      </c>
      <c r="E487" s="53">
        <v>1</v>
      </c>
      <c r="F487" s="260">
        <f>'Cjenik M'!$D$55</f>
        <v>0</v>
      </c>
      <c r="G487" s="55">
        <f>E487*F487</f>
        <v>0</v>
      </c>
      <c r="I487" s="43"/>
      <c r="J487" s="863">
        <f>'Cjenik M'!$B$55</f>
        <v>0</v>
      </c>
      <c r="K487" s="863"/>
      <c r="L487" s="52">
        <f>'Cjenik M'!$C$55</f>
        <v>0</v>
      </c>
      <c r="M487" s="53">
        <v>1</v>
      </c>
      <c r="N487" s="260">
        <f>'Cjenik M'!$D$55</f>
        <v>0</v>
      </c>
      <c r="O487" s="55">
        <f>M487*N487</f>
        <v>0</v>
      </c>
    </row>
    <row r="488" spans="1:15" ht="25.15" customHeight="1" thickTop="1" thickBot="1">
      <c r="B488" s="47"/>
      <c r="C488" s="24"/>
      <c r="D488" s="25"/>
      <c r="E488" s="850" t="str">
        <f>'Obrazac kalkulacije'!$E$18</f>
        <v>Ukupno (kn):</v>
      </c>
      <c r="F488" s="850"/>
      <c r="G488" s="26">
        <f>ROUND(SUM(G482+G484+G486),2)</f>
        <v>16.16</v>
      </c>
      <c r="H488" s="269" t="e">
        <f>SUMIF(#REF!,$B478,#REF!)</f>
        <v>#REF!</v>
      </c>
      <c r="J488" s="47"/>
      <c r="K488" s="24"/>
      <c r="L488" s="25"/>
      <c r="M488" s="850" t="str">
        <f>'Obrazac kalkulacije'!$E$18</f>
        <v>Ukupno (kn):</v>
      </c>
      <c r="N488" s="850"/>
      <c r="O488" s="26">
        <f>ROUND(SUM(O482+O484+O486),2)</f>
        <v>16.16</v>
      </c>
    </row>
    <row r="489" spans="1:15" ht="25.15" customHeight="1" thickTop="1" thickBot="1">
      <c r="E489" s="27" t="str">
        <f>'Obrazac kalkulacije'!$E$19</f>
        <v>PDV:</v>
      </c>
      <c r="F489" s="259">
        <f>'Obrazac kalkulacije'!$F$19</f>
        <v>0.25</v>
      </c>
      <c r="G489" s="29">
        <f>G488*F489</f>
        <v>4.04</v>
      </c>
      <c r="H489" s="270" t="e">
        <f>H488-G488</f>
        <v>#REF!</v>
      </c>
      <c r="M489" s="27" t="str">
        <f>'Obrazac kalkulacije'!$E$19</f>
        <v>PDV:</v>
      </c>
      <c r="N489" s="259">
        <f>'Obrazac kalkulacije'!$F$19</f>
        <v>0.25</v>
      </c>
      <c r="O489" s="29">
        <f>O488*N489</f>
        <v>4.04</v>
      </c>
    </row>
    <row r="490" spans="1:15" ht="25.15" customHeight="1" thickTop="1" thickBot="1">
      <c r="E490" s="840" t="str">
        <f>'Obrazac kalkulacije'!$E$20</f>
        <v>Sveukupno (kn):</v>
      </c>
      <c r="F490" s="840"/>
      <c r="G490" s="29">
        <f>ROUND(SUM(G488:G489),2)</f>
        <v>20.2</v>
      </c>
      <c r="H490" s="271" t="e">
        <f>G485+H489</f>
        <v>#REF!</v>
      </c>
      <c r="M490" s="840" t="str">
        <f>'Obrazac kalkulacije'!$E$20</f>
        <v>Sveukupno (kn):</v>
      </c>
      <c r="N490" s="840"/>
      <c r="O490" s="29">
        <f>ROUND(SUM(O488:O489),2)</f>
        <v>20.2</v>
      </c>
    </row>
    <row r="491" spans="1:15" ht="15" customHeight="1" thickTop="1"/>
    <row r="492" spans="1:15" ht="15" customHeight="1"/>
    <row r="493" spans="1:15" ht="15" customHeight="1"/>
    <row r="494" spans="1:15" ht="15" customHeight="1">
      <c r="C494" s="3" t="str">
        <f>'Obrazac kalkulacije'!$C$24</f>
        <v>IZVODITELJ:</v>
      </c>
      <c r="F494" s="841" t="str">
        <f>'Obrazac kalkulacije'!$F$24</f>
        <v>NARUČITELJ:</v>
      </c>
      <c r="G494" s="841"/>
      <c r="K494" s="3" t="str">
        <f>'Obrazac kalkulacije'!$C$24</f>
        <v>IZVODITELJ:</v>
      </c>
      <c r="N494" s="841" t="str">
        <f>'Obrazac kalkulacije'!$F$24</f>
        <v>NARUČITELJ:</v>
      </c>
      <c r="O494" s="841"/>
    </row>
    <row r="495" spans="1:15" ht="25.15" customHeight="1">
      <c r="C495" s="3" t="str">
        <f>'Obrazac kalkulacije'!$C$25</f>
        <v>__________________</v>
      </c>
      <c r="F495" s="841" t="str">
        <f>'Obrazac kalkulacije'!$F$25</f>
        <v>___________________</v>
      </c>
      <c r="G495" s="841"/>
      <c r="K495" s="3" t="str">
        <f>'Obrazac kalkulacije'!$C$25</f>
        <v>__________________</v>
      </c>
      <c r="N495" s="841" t="str">
        <f>'Obrazac kalkulacije'!$F$25</f>
        <v>___________________</v>
      </c>
      <c r="O495" s="841"/>
    </row>
    <row r="496" spans="1:15" ht="15" customHeight="1">
      <c r="F496" s="841"/>
      <c r="G496" s="841"/>
      <c r="N496" s="841"/>
      <c r="O496" s="841"/>
    </row>
    <row r="497" spans="1:15" ht="15" customHeight="1"/>
    <row r="498" spans="1:15" ht="15" customHeight="1">
      <c r="A498" s="144"/>
      <c r="B498" s="145" t="s">
        <v>39</v>
      </c>
      <c r="C498" s="836" t="s">
        <v>360</v>
      </c>
      <c r="D498" s="836"/>
      <c r="E498" s="836"/>
      <c r="F498" s="836"/>
      <c r="G498" s="836"/>
      <c r="I498" s="144"/>
      <c r="J498" s="145" t="s">
        <v>39</v>
      </c>
      <c r="K498" s="836" t="s">
        <v>360</v>
      </c>
      <c r="L498" s="836"/>
      <c r="M498" s="836"/>
      <c r="N498" s="836"/>
      <c r="O498" s="836"/>
    </row>
    <row r="499" spans="1:15" ht="15" customHeight="1">
      <c r="A499" s="38"/>
      <c r="B499" s="39" t="s">
        <v>41</v>
      </c>
      <c r="C499" s="860" t="s">
        <v>361</v>
      </c>
      <c r="D499" s="860"/>
      <c r="E499" s="860"/>
      <c r="F499" s="860"/>
      <c r="G499" s="860"/>
      <c r="I499" s="38"/>
      <c r="J499" s="39" t="s">
        <v>41</v>
      </c>
      <c r="K499" s="860" t="s">
        <v>361</v>
      </c>
      <c r="L499" s="860"/>
      <c r="M499" s="860"/>
      <c r="N499" s="860"/>
      <c r="O499" s="860"/>
    </row>
    <row r="500" spans="1:15" ht="150" customHeight="1">
      <c r="A500" s="40"/>
      <c r="B500" s="556" t="s">
        <v>421</v>
      </c>
      <c r="C500" s="852" t="s">
        <v>422</v>
      </c>
      <c r="D500" s="852"/>
      <c r="E500" s="852"/>
      <c r="F500" s="852"/>
      <c r="G500" s="852"/>
      <c r="I500" s="40"/>
      <c r="J500" s="41" t="s">
        <v>421</v>
      </c>
      <c r="K500" s="869" t="s">
        <v>423</v>
      </c>
      <c r="L500" s="869"/>
      <c r="M500" s="869"/>
      <c r="N500" s="869"/>
      <c r="O500" s="869"/>
    </row>
    <row r="501" spans="1:15" ht="15" customHeight="1" thickBot="1"/>
    <row r="502" spans="1:15" ht="30" customHeight="1" thickTop="1" thickBot="1">
      <c r="A502" s="10"/>
      <c r="B502" s="835" t="str">
        <f>'Obrazac kalkulacije'!$B$6:$C$6</f>
        <v>Opis</v>
      </c>
      <c r="C502" s="835"/>
      <c r="D502" s="10" t="str">
        <f>'Obrazac kalkulacije'!$D$6</f>
        <v>Jed.
mjere</v>
      </c>
      <c r="E502" s="10" t="str">
        <f>'Obrazac kalkulacije'!$E$6</f>
        <v>Normativ</v>
      </c>
      <c r="F502" s="10" t="str">
        <f>'Obrazac kalkulacije'!$F$6</f>
        <v>Jed.
cijena</v>
      </c>
      <c r="G502" s="10" t="str">
        <f>'Obrazac kalkulacije'!$G$6</f>
        <v>Iznos</v>
      </c>
      <c r="I502" s="10"/>
      <c r="J502" s="835" t="e">
        <f>'Obrazac kalkulacije'!$B$6:$C$6</f>
        <v>#VALUE!</v>
      </c>
      <c r="K502" s="835"/>
      <c r="L502" s="10" t="str">
        <f>'Obrazac kalkulacije'!$D$6</f>
        <v>Jed.
mjere</v>
      </c>
      <c r="M502" s="10" t="str">
        <f>'Obrazac kalkulacije'!$E$6</f>
        <v>Normativ</v>
      </c>
      <c r="N502" s="10" t="str">
        <f>'Obrazac kalkulacije'!$F$6</f>
        <v>Jed.
cijena</v>
      </c>
      <c r="O502" s="10" t="str">
        <f>'Obrazac kalkulacije'!$G$6</f>
        <v>Iznos</v>
      </c>
    </row>
    <row r="503" spans="1:15" ht="4.5" customHeight="1" thickTop="1">
      <c r="B503" s="42"/>
      <c r="C503" s="1"/>
      <c r="D503" s="11"/>
      <c r="E503" s="13"/>
      <c r="F503" s="258"/>
      <c r="G503" s="15"/>
      <c r="J503" s="42"/>
      <c r="K503" s="1"/>
      <c r="L503" s="11"/>
      <c r="M503" s="13"/>
      <c r="N503" s="258"/>
      <c r="O503" s="15"/>
    </row>
    <row r="504" spans="1:15" ht="25.15" customHeight="1">
      <c r="A504" s="16"/>
      <c r="B504" s="837" t="str">
        <f>'Obrazac kalkulacije'!$B$8</f>
        <v>Radna snaga:</v>
      </c>
      <c r="C504" s="837"/>
      <c r="D504" s="16"/>
      <c r="E504" s="16"/>
      <c r="F504" s="44"/>
      <c r="G504" s="18">
        <f>SUM(G505:G505)</f>
        <v>26.2575</v>
      </c>
      <c r="I504" s="16"/>
      <c r="J504" s="837" t="str">
        <f>'Obrazac kalkulacije'!$B$8</f>
        <v>Radna snaga:</v>
      </c>
      <c r="K504" s="837"/>
      <c r="L504" s="16"/>
      <c r="M504" s="16"/>
      <c r="N504" s="44"/>
      <c r="O504" s="18">
        <f>SUM(O505:O505)</f>
        <v>20.86116363</v>
      </c>
    </row>
    <row r="505" spans="1:15" ht="25.15" customHeight="1">
      <c r="A505" s="32"/>
      <c r="B505" s="854" t="s">
        <v>57</v>
      </c>
      <c r="C505" s="854"/>
      <c r="D505" s="33" t="s">
        <v>51</v>
      </c>
      <c r="E505" s="34">
        <v>0.25</v>
      </c>
      <c r="F505" s="238">
        <f>SUMIF('Cjenik RS'!$C$11:$C$26,$B505,'Cjenik RS'!$D$11:$D$90)</f>
        <v>105.03</v>
      </c>
      <c r="G505" s="35">
        <f>+F505*E505</f>
        <v>26.2575</v>
      </c>
      <c r="I505" s="32"/>
      <c r="J505" s="854" t="s">
        <v>57</v>
      </c>
      <c r="K505" s="854"/>
      <c r="L505" s="33" t="s">
        <v>51</v>
      </c>
      <c r="M505" s="34">
        <v>0.19862099999999999</v>
      </c>
      <c r="N505" s="44">
        <f>SUMIF('Cjenik RS'!$C$11:$C$26,J505,'Cjenik RS'!$D$11:$D$90)</f>
        <v>105.03</v>
      </c>
      <c r="O505" s="35">
        <f>+N505*M505</f>
        <v>20.86116363</v>
      </c>
    </row>
    <row r="506" spans="1:15" ht="25.15" customHeight="1">
      <c r="A506" s="16"/>
      <c r="B506" s="837" t="str">
        <f>'Obrazac kalkulacije'!$B$11</f>
        <v>Vozila, strojevi i oprema:</v>
      </c>
      <c r="C506" s="837"/>
      <c r="D506" s="16"/>
      <c r="E506" s="16"/>
      <c r="F506" s="238">
        <f>'Obrazac kalkulacije'!$F$11</f>
        <v>0</v>
      </c>
      <c r="G506" s="18">
        <f>SUM(G507:G507)</f>
        <v>1.7472000000000001</v>
      </c>
      <c r="I506" s="16"/>
      <c r="J506" s="837" t="str">
        <f>'Obrazac kalkulacije'!$B$11</f>
        <v>Vozila, strojevi i oprema:</v>
      </c>
      <c r="K506" s="837"/>
      <c r="L506" s="16"/>
      <c r="M506" s="16"/>
      <c r="N506" s="238">
        <f>'Obrazac kalkulacije'!$F$11</f>
        <v>0</v>
      </c>
      <c r="O506" s="18">
        <f>SUM(O507:O507)</f>
        <v>1.7472000000000001</v>
      </c>
    </row>
    <row r="507" spans="1:15" ht="25.15" customHeight="1">
      <c r="A507" s="61"/>
      <c r="B507" s="864" t="s">
        <v>200</v>
      </c>
      <c r="C507" s="864"/>
      <c r="D507" s="62" t="s">
        <v>51</v>
      </c>
      <c r="E507" s="63">
        <v>0.08</v>
      </c>
      <c r="F507" s="260">
        <f>SUMIF('Cjenik VSO'!$B$9:$B$85,$B507,'Cjenik VSO'!$C$9:$C$85)</f>
        <v>21.84</v>
      </c>
      <c r="G507" s="65">
        <f>E507*F507</f>
        <v>1.7472000000000001</v>
      </c>
      <c r="I507" s="61"/>
      <c r="J507" s="864" t="s">
        <v>200</v>
      </c>
      <c r="K507" s="864"/>
      <c r="L507" s="62" t="s">
        <v>51</v>
      </c>
      <c r="M507" s="63">
        <v>0.08</v>
      </c>
      <c r="N507" s="260">
        <f>SUMIF('Cjenik VSO'!$B$9:$B$85,$B507,'Cjenik VSO'!$C$9:$C$85)</f>
        <v>21.84</v>
      </c>
      <c r="O507" s="65">
        <f>M507*N507</f>
        <v>1.7472000000000001</v>
      </c>
    </row>
    <row r="508" spans="1:15" ht="25.15" customHeight="1">
      <c r="A508" s="16"/>
      <c r="B508" s="837" t="str">
        <f>'Obrazac kalkulacije'!$B$15</f>
        <v>Materijali:</v>
      </c>
      <c r="C508" s="837"/>
      <c r="D508" s="16"/>
      <c r="E508" s="16"/>
      <c r="F508" s="238"/>
      <c r="G508" s="18">
        <f>SUM(G509:G509)</f>
        <v>0</v>
      </c>
      <c r="I508" s="16"/>
      <c r="J508" s="837" t="str">
        <f>'Obrazac kalkulacije'!$B$15</f>
        <v>Materijali:</v>
      </c>
      <c r="K508" s="837"/>
      <c r="L508" s="16"/>
      <c r="M508" s="16"/>
      <c r="N508" s="238"/>
      <c r="O508" s="18">
        <f>SUM(O509:O509)</f>
        <v>0</v>
      </c>
    </row>
    <row r="509" spans="1:15" ht="25.15" customHeight="1" thickBot="1">
      <c r="A509" s="43"/>
      <c r="B509" s="863">
        <f>'Cjenik M'!$B$55</f>
        <v>0</v>
      </c>
      <c r="C509" s="863"/>
      <c r="D509" s="52">
        <f>'Cjenik M'!$C$55</f>
        <v>0</v>
      </c>
      <c r="E509" s="53">
        <v>1</v>
      </c>
      <c r="F509" s="260">
        <f>'Cjenik M'!$D$55</f>
        <v>0</v>
      </c>
      <c r="G509" s="55">
        <f>E509*F509</f>
        <v>0</v>
      </c>
      <c r="I509" s="43"/>
      <c r="J509" s="863">
        <f>'Cjenik M'!$B$55</f>
        <v>0</v>
      </c>
      <c r="K509" s="863"/>
      <c r="L509" s="52">
        <f>'Cjenik M'!$C$55</f>
        <v>0</v>
      </c>
      <c r="M509" s="53">
        <v>1</v>
      </c>
      <c r="N509" s="260">
        <f>'Cjenik M'!$D$55</f>
        <v>0</v>
      </c>
      <c r="O509" s="55">
        <f>M509*N509</f>
        <v>0</v>
      </c>
    </row>
    <row r="510" spans="1:15" ht="25.15" customHeight="1" thickTop="1" thickBot="1">
      <c r="B510" s="47"/>
      <c r="C510" s="24"/>
      <c r="D510" s="25"/>
      <c r="E510" s="850" t="str">
        <f>'Obrazac kalkulacije'!$E$18</f>
        <v>Ukupno (kn):</v>
      </c>
      <c r="F510" s="850"/>
      <c r="G510" s="26">
        <f>ROUND(SUM(G504+G506+G508),2)</f>
        <v>28</v>
      </c>
      <c r="H510" s="269" t="e">
        <f>SUMIF(#REF!,$B500,#REF!)</f>
        <v>#REF!</v>
      </c>
      <c r="J510" s="47"/>
      <c r="K510" s="24"/>
      <c r="L510" s="25"/>
      <c r="M510" s="850" t="str">
        <f>'Obrazac kalkulacije'!$E$18</f>
        <v>Ukupno (kn):</v>
      </c>
      <c r="N510" s="850"/>
      <c r="O510" s="26">
        <f>ROUND(SUM(O504+O506+O508),2)</f>
        <v>22.61</v>
      </c>
    </row>
    <row r="511" spans="1:15" ht="25.15" customHeight="1" thickTop="1" thickBot="1">
      <c r="E511" s="27" t="str">
        <f>'Obrazac kalkulacije'!$E$19</f>
        <v>PDV:</v>
      </c>
      <c r="F511" s="259">
        <f>'Obrazac kalkulacije'!$F$19</f>
        <v>0.25</v>
      </c>
      <c r="G511" s="29">
        <f>G510*F511</f>
        <v>7</v>
      </c>
      <c r="H511" s="270" t="e">
        <f>H510-G510</f>
        <v>#REF!</v>
      </c>
      <c r="M511" s="27" t="str">
        <f>'Obrazac kalkulacije'!$E$19</f>
        <v>PDV:</v>
      </c>
      <c r="N511" s="259">
        <f>'Obrazac kalkulacije'!$F$19</f>
        <v>0.25</v>
      </c>
      <c r="O511" s="29">
        <f>O510*N511</f>
        <v>5.6524999999999999</v>
      </c>
    </row>
    <row r="512" spans="1:15" ht="25.15" customHeight="1" thickTop="1" thickBot="1">
      <c r="E512" s="840" t="str">
        <f>'Obrazac kalkulacije'!$E$20</f>
        <v>Sveukupno (kn):</v>
      </c>
      <c r="F512" s="840"/>
      <c r="G512" s="29">
        <f>ROUND(SUM(G510:G511),2)</f>
        <v>35</v>
      </c>
      <c r="H512" s="271" t="e">
        <f>G507+H511</f>
        <v>#REF!</v>
      </c>
      <c r="M512" s="840" t="str">
        <f>'Obrazac kalkulacije'!$E$20</f>
        <v>Sveukupno (kn):</v>
      </c>
      <c r="N512" s="840"/>
      <c r="O512" s="29">
        <f>ROUND(SUM(O510:O511),2)</f>
        <v>28.26</v>
      </c>
    </row>
    <row r="513" spans="1:15" ht="15" customHeight="1" thickTop="1"/>
    <row r="514" spans="1:15" ht="15" customHeight="1"/>
    <row r="515" spans="1:15" ht="15" customHeight="1"/>
    <row r="516" spans="1:15" ht="15" customHeight="1">
      <c r="C516" s="3" t="str">
        <f>'Obrazac kalkulacije'!$C$24</f>
        <v>IZVODITELJ:</v>
      </c>
      <c r="F516" s="841" t="str">
        <f>'Obrazac kalkulacije'!$F$24</f>
        <v>NARUČITELJ:</v>
      </c>
      <c r="G516" s="841"/>
      <c r="K516" s="3" t="str">
        <f>'Obrazac kalkulacije'!$C$24</f>
        <v>IZVODITELJ:</v>
      </c>
      <c r="N516" s="841" t="str">
        <f>'Obrazac kalkulacije'!$F$24</f>
        <v>NARUČITELJ:</v>
      </c>
      <c r="O516" s="841"/>
    </row>
    <row r="517" spans="1:15" ht="25.15" customHeight="1">
      <c r="C517" s="3" t="str">
        <f>'Obrazac kalkulacije'!$C$25</f>
        <v>__________________</v>
      </c>
      <c r="F517" s="841" t="str">
        <f>'Obrazac kalkulacije'!$F$25</f>
        <v>___________________</v>
      </c>
      <c r="G517" s="841"/>
      <c r="K517" s="3" t="str">
        <f>'Obrazac kalkulacije'!$C$25</f>
        <v>__________________</v>
      </c>
      <c r="N517" s="841" t="str">
        <f>'Obrazac kalkulacije'!$F$25</f>
        <v>___________________</v>
      </c>
      <c r="O517" s="841"/>
    </row>
    <row r="518" spans="1:15" ht="15" customHeight="1">
      <c r="F518" s="841"/>
      <c r="G518" s="841"/>
      <c r="N518" s="841"/>
      <c r="O518" s="841"/>
    </row>
    <row r="519" spans="1:15" ht="15" customHeight="1"/>
    <row r="520" spans="1:15" ht="15" customHeight="1">
      <c r="A520" s="144"/>
      <c r="B520" s="145" t="s">
        <v>39</v>
      </c>
      <c r="C520" s="836" t="s">
        <v>360</v>
      </c>
      <c r="D520" s="836"/>
      <c r="E520" s="836"/>
      <c r="F520" s="836"/>
      <c r="G520" s="836"/>
      <c r="I520" s="144"/>
      <c r="J520" s="145" t="s">
        <v>39</v>
      </c>
      <c r="K520" s="836" t="s">
        <v>360</v>
      </c>
      <c r="L520" s="836"/>
      <c r="M520" s="836"/>
      <c r="N520" s="836"/>
      <c r="O520" s="836"/>
    </row>
    <row r="521" spans="1:15" ht="15" customHeight="1">
      <c r="A521" s="38"/>
      <c r="B521" s="39" t="s">
        <v>44</v>
      </c>
      <c r="C521" s="860" t="s">
        <v>424</v>
      </c>
      <c r="D521" s="860"/>
      <c r="E521" s="860"/>
      <c r="F521" s="860"/>
      <c r="G521" s="860"/>
      <c r="I521" s="38"/>
      <c r="J521" s="39" t="s">
        <v>44</v>
      </c>
      <c r="K521" s="860" t="s">
        <v>424</v>
      </c>
      <c r="L521" s="860"/>
      <c r="M521" s="860"/>
      <c r="N521" s="860"/>
      <c r="O521" s="860"/>
    </row>
    <row r="522" spans="1:15" ht="150" customHeight="1">
      <c r="A522" s="40"/>
      <c r="B522" s="556" t="s">
        <v>45</v>
      </c>
      <c r="C522" s="852" t="s">
        <v>425</v>
      </c>
      <c r="D522" s="852"/>
      <c r="E522" s="852"/>
      <c r="F522" s="852"/>
      <c r="G522" s="852"/>
      <c r="I522" s="40"/>
      <c r="J522" s="41" t="s">
        <v>45</v>
      </c>
      <c r="K522" s="869" t="s">
        <v>426</v>
      </c>
      <c r="L522" s="869"/>
      <c r="M522" s="869"/>
      <c r="N522" s="869"/>
      <c r="O522" s="869"/>
    </row>
    <row r="523" spans="1:15" ht="15" customHeight="1" thickBot="1"/>
    <row r="524" spans="1:15" ht="30" customHeight="1" thickTop="1" thickBot="1">
      <c r="A524" s="10"/>
      <c r="B524" s="835" t="str">
        <f>'Obrazac kalkulacije'!$B$6:$C$6</f>
        <v>Opis</v>
      </c>
      <c r="C524" s="835"/>
      <c r="D524" s="10" t="str">
        <f>'Obrazac kalkulacije'!$D$6</f>
        <v>Jed.
mjere</v>
      </c>
      <c r="E524" s="10" t="str">
        <f>'Obrazac kalkulacije'!$E$6</f>
        <v>Normativ</v>
      </c>
      <c r="F524" s="10" t="str">
        <f>'Obrazac kalkulacije'!$F$6</f>
        <v>Jed.
cijena</v>
      </c>
      <c r="G524" s="10" t="str">
        <f>'Obrazac kalkulacije'!$G$6</f>
        <v>Iznos</v>
      </c>
      <c r="I524" s="10"/>
      <c r="J524" s="835" t="e">
        <f>'Obrazac kalkulacije'!$B$6:$C$6</f>
        <v>#VALUE!</v>
      </c>
      <c r="K524" s="835"/>
      <c r="L524" s="10" t="str">
        <f>'Obrazac kalkulacije'!$D$6</f>
        <v>Jed.
mjere</v>
      </c>
      <c r="M524" s="10" t="str">
        <f>'Obrazac kalkulacije'!$E$6</f>
        <v>Normativ</v>
      </c>
      <c r="N524" s="10" t="str">
        <f>'Obrazac kalkulacije'!$F$6</f>
        <v>Jed.
cijena</v>
      </c>
      <c r="O524" s="10" t="str">
        <f>'Obrazac kalkulacije'!$G$6</f>
        <v>Iznos</v>
      </c>
    </row>
    <row r="525" spans="1:15" ht="4.5" customHeight="1" thickTop="1">
      <c r="B525" s="42"/>
      <c r="C525" s="1"/>
      <c r="D525" s="11"/>
      <c r="E525" s="13"/>
      <c r="F525" s="258"/>
      <c r="G525" s="15"/>
      <c r="J525" s="42"/>
      <c r="K525" s="1"/>
      <c r="L525" s="11"/>
      <c r="M525" s="13"/>
      <c r="N525" s="258"/>
      <c r="O525" s="15"/>
    </row>
    <row r="526" spans="1:15" ht="25.15" customHeight="1">
      <c r="A526" s="16"/>
      <c r="B526" s="837" t="str">
        <f>'Obrazac kalkulacije'!$B$8</f>
        <v>Radna snaga:</v>
      </c>
      <c r="C526" s="837"/>
      <c r="D526" s="16"/>
      <c r="E526" s="16"/>
      <c r="F526" s="44"/>
      <c r="G526" s="18">
        <f>SUM(G527:G527)</f>
        <v>12.84170301</v>
      </c>
      <c r="H526" s="620" t="s">
        <v>427</v>
      </c>
      <c r="I526" s="16"/>
      <c r="J526" s="837" t="str">
        <f>'Obrazac kalkulacije'!$B$8</f>
        <v>Radna snaga:</v>
      </c>
      <c r="K526" s="837"/>
      <c r="L526" s="16"/>
      <c r="M526" s="16"/>
      <c r="N526" s="44"/>
      <c r="O526" s="18">
        <f>SUM(O527:O527)</f>
        <v>12.84170301</v>
      </c>
    </row>
    <row r="527" spans="1:15" ht="25.15" customHeight="1">
      <c r="A527" s="19"/>
      <c r="B527" s="854" t="s">
        <v>57</v>
      </c>
      <c r="C527" s="854"/>
      <c r="D527" s="33" t="s">
        <v>51</v>
      </c>
      <c r="E527" s="34">
        <v>0.122267</v>
      </c>
      <c r="F527" s="238">
        <f>SUMIF('Cjenik RS'!$C$11:$C$26,$B527,'Cjenik RS'!$D$11:$D$90)</f>
        <v>105.03</v>
      </c>
      <c r="G527" s="35">
        <f>+F527*E527</f>
        <v>12.84170301</v>
      </c>
      <c r="H527" s="620" t="s">
        <v>428</v>
      </c>
      <c r="I527" s="19"/>
      <c r="J527" s="854" t="s">
        <v>57</v>
      </c>
      <c r="K527" s="854"/>
      <c r="L527" s="33" t="s">
        <v>51</v>
      </c>
      <c r="M527" s="34">
        <v>0.122267</v>
      </c>
      <c r="N527" s="44">
        <f>SUMIF('Cjenik RS'!$C$11:$C$26,J527,'Cjenik RS'!$D$11:$D$90)</f>
        <v>105.03</v>
      </c>
      <c r="O527" s="35">
        <f>+N527*M527</f>
        <v>12.84170301</v>
      </c>
    </row>
    <row r="528" spans="1:15" ht="25.15" customHeight="1">
      <c r="B528" s="47"/>
      <c r="C528" s="24"/>
      <c r="D528" s="25"/>
      <c r="E528" s="850" t="str">
        <f>'Obrazac kalkulacije'!$E$18</f>
        <v>Ukupno (kn):</v>
      </c>
      <c r="F528" s="850"/>
      <c r="G528" s="26">
        <f>ROUND(SUM(G526),2)</f>
        <v>12.84</v>
      </c>
      <c r="H528" s="269"/>
      <c r="J528" s="47"/>
      <c r="K528" s="24"/>
      <c r="L528" s="25"/>
      <c r="M528" s="850" t="str">
        <f>'Obrazac kalkulacije'!$E$18</f>
        <v>Ukupno (kn):</v>
      </c>
      <c r="N528" s="850"/>
      <c r="O528" s="26">
        <f>ROUND(SUM(O526),2)</f>
        <v>12.84</v>
      </c>
    </row>
    <row r="529" spans="1:15" ht="25.15" customHeight="1" thickTop="1" thickBot="1">
      <c r="E529" s="27" t="str">
        <f>'Obrazac kalkulacije'!$E$19</f>
        <v>PDV:</v>
      </c>
      <c r="F529" s="259">
        <f>'Obrazac kalkulacije'!$F$19</f>
        <v>0.25</v>
      </c>
      <c r="G529" s="29">
        <f>G528*F529</f>
        <v>3.21</v>
      </c>
      <c r="H529" s="270"/>
      <c r="M529" s="27" t="str">
        <f>'Obrazac kalkulacije'!$E$19</f>
        <v>PDV:</v>
      </c>
      <c r="N529" s="259">
        <f>'Obrazac kalkulacije'!$F$19</f>
        <v>0.25</v>
      </c>
      <c r="O529" s="29">
        <f>O528*N529</f>
        <v>3.21</v>
      </c>
    </row>
    <row r="530" spans="1:15" ht="25.15" customHeight="1" thickTop="1" thickBot="1">
      <c r="E530" s="840" t="str">
        <f>'Obrazac kalkulacije'!$E$20</f>
        <v>Sveukupno (kn):</v>
      </c>
      <c r="F530" s="840"/>
      <c r="G530" s="29">
        <f>ROUND(SUM(G528:G529),2)</f>
        <v>16.05</v>
      </c>
      <c r="H530" s="271"/>
      <c r="M530" s="840" t="str">
        <f>'Obrazac kalkulacije'!$E$20</f>
        <v>Sveukupno (kn):</v>
      </c>
      <c r="N530" s="840"/>
      <c r="O530" s="29">
        <f>ROUND(SUM(O528:O529),2)</f>
        <v>16.05</v>
      </c>
    </row>
    <row r="531" spans="1:15" ht="15" customHeight="1" thickTop="1"/>
    <row r="532" spans="1:15" ht="15" customHeight="1"/>
    <row r="533" spans="1:15" ht="15" customHeight="1"/>
    <row r="534" spans="1:15" ht="15" customHeight="1">
      <c r="C534" s="3" t="str">
        <f>'Obrazac kalkulacije'!$C$24</f>
        <v>IZVODITELJ:</v>
      </c>
      <c r="F534" s="841" t="str">
        <f>'Obrazac kalkulacije'!$F$24</f>
        <v>NARUČITELJ:</v>
      </c>
      <c r="G534" s="841"/>
      <c r="K534" s="3" t="str">
        <f>'Obrazac kalkulacije'!$C$24</f>
        <v>IZVODITELJ:</v>
      </c>
      <c r="N534" s="841" t="str">
        <f>'Obrazac kalkulacije'!$F$24</f>
        <v>NARUČITELJ:</v>
      </c>
      <c r="O534" s="841"/>
    </row>
    <row r="535" spans="1:15" ht="25.15" customHeight="1">
      <c r="C535" s="3" t="str">
        <f>'Obrazac kalkulacije'!$C$25</f>
        <v>__________________</v>
      </c>
      <c r="F535" s="841" t="str">
        <f>'Obrazac kalkulacije'!$F$25</f>
        <v>___________________</v>
      </c>
      <c r="G535" s="841"/>
      <c r="K535" s="3" t="str">
        <f>'Obrazac kalkulacije'!$C$25</f>
        <v>__________________</v>
      </c>
      <c r="N535" s="841" t="str">
        <f>'Obrazac kalkulacije'!$F$25</f>
        <v>___________________</v>
      </c>
      <c r="O535" s="841"/>
    </row>
    <row r="536" spans="1:15" ht="15" customHeight="1">
      <c r="F536" s="841"/>
      <c r="G536" s="841"/>
      <c r="N536" s="841"/>
      <c r="O536" s="841"/>
    </row>
    <row r="537" spans="1:15" ht="15" customHeight="1"/>
    <row r="538" spans="1:15" ht="15" customHeight="1">
      <c r="A538" s="144"/>
      <c r="B538" s="145" t="s">
        <v>39</v>
      </c>
      <c r="C538" s="836" t="s">
        <v>360</v>
      </c>
      <c r="D538" s="836"/>
      <c r="E538" s="836"/>
      <c r="F538" s="836"/>
      <c r="G538" s="836"/>
      <c r="I538" s="144"/>
      <c r="J538" s="145" t="s">
        <v>39</v>
      </c>
      <c r="K538" s="836" t="s">
        <v>360</v>
      </c>
      <c r="L538" s="836"/>
      <c r="M538" s="836"/>
      <c r="N538" s="836"/>
      <c r="O538" s="836"/>
    </row>
    <row r="539" spans="1:15" ht="15" customHeight="1">
      <c r="A539" s="38"/>
      <c r="B539" s="39" t="s">
        <v>44</v>
      </c>
      <c r="C539" s="860" t="s">
        <v>424</v>
      </c>
      <c r="D539" s="860"/>
      <c r="E539" s="860"/>
      <c r="F539" s="860"/>
      <c r="G539" s="860"/>
      <c r="I539" s="38"/>
      <c r="J539" s="39" t="s">
        <v>44</v>
      </c>
      <c r="K539" s="860" t="s">
        <v>424</v>
      </c>
      <c r="L539" s="860"/>
      <c r="M539" s="860"/>
      <c r="N539" s="860"/>
      <c r="O539" s="860"/>
    </row>
    <row r="540" spans="1:15" ht="150" customHeight="1">
      <c r="A540" s="40"/>
      <c r="B540" s="556" t="s">
        <v>429</v>
      </c>
      <c r="C540" s="852" t="s">
        <v>430</v>
      </c>
      <c r="D540" s="852"/>
      <c r="E540" s="852"/>
      <c r="F540" s="852"/>
      <c r="G540" s="852"/>
      <c r="I540" s="40"/>
      <c r="J540" s="41" t="s">
        <v>429</v>
      </c>
      <c r="K540" s="869" t="s">
        <v>431</v>
      </c>
      <c r="L540" s="869"/>
      <c r="M540" s="869"/>
      <c r="N540" s="869"/>
      <c r="O540" s="869"/>
    </row>
    <row r="541" spans="1:15" ht="15" customHeight="1" thickBot="1"/>
    <row r="542" spans="1:15" ht="30" customHeight="1" thickTop="1" thickBot="1">
      <c r="A542" s="10"/>
      <c r="B542" s="835" t="str">
        <f>'Obrazac kalkulacije'!$B$6:$C$6</f>
        <v>Opis</v>
      </c>
      <c r="C542" s="835"/>
      <c r="D542" s="10" t="str">
        <f>'Obrazac kalkulacije'!$D$6</f>
        <v>Jed.
mjere</v>
      </c>
      <c r="E542" s="10" t="str">
        <f>'Obrazac kalkulacije'!$E$6</f>
        <v>Normativ</v>
      </c>
      <c r="F542" s="10" t="str">
        <f>'Obrazac kalkulacije'!$F$6</f>
        <v>Jed.
cijena</v>
      </c>
      <c r="G542" s="10" t="str">
        <f>'Obrazac kalkulacije'!$G$6</f>
        <v>Iznos</v>
      </c>
      <c r="I542" s="10"/>
      <c r="J542" s="835" t="e">
        <f>'Obrazac kalkulacije'!$B$6:$C$6</f>
        <v>#VALUE!</v>
      </c>
      <c r="K542" s="835"/>
      <c r="L542" s="10" t="str">
        <f>'Obrazac kalkulacije'!$D$6</f>
        <v>Jed.
mjere</v>
      </c>
      <c r="M542" s="10" t="str">
        <f>'Obrazac kalkulacije'!$E$6</f>
        <v>Normativ</v>
      </c>
      <c r="N542" s="10" t="str">
        <f>'Obrazac kalkulacije'!$F$6</f>
        <v>Jed.
cijena</v>
      </c>
      <c r="O542" s="10" t="str">
        <f>'Obrazac kalkulacije'!$G$6</f>
        <v>Iznos</v>
      </c>
    </row>
    <row r="543" spans="1:15" ht="4.5" customHeight="1" thickTop="1">
      <c r="B543" s="42"/>
      <c r="C543" s="1"/>
      <c r="D543" s="11"/>
      <c r="E543" s="13"/>
      <c r="F543" s="258"/>
      <c r="G543" s="15"/>
      <c r="J543" s="42"/>
      <c r="K543" s="1"/>
      <c r="L543" s="11"/>
      <c r="M543" s="13"/>
      <c r="N543" s="258"/>
      <c r="O543" s="15"/>
    </row>
    <row r="544" spans="1:15" ht="25.15" customHeight="1">
      <c r="A544" s="16"/>
      <c r="B544" s="837" t="str">
        <f>'Obrazac kalkulacije'!$B$8</f>
        <v>Radna snaga:</v>
      </c>
      <c r="C544" s="837"/>
      <c r="D544" s="16"/>
      <c r="E544" s="16"/>
      <c r="F544" s="44"/>
      <c r="G544" s="18">
        <f>SUM(G545:G545)</f>
        <v>31.343262660000004</v>
      </c>
      <c r="I544" s="16"/>
      <c r="J544" s="837" t="str">
        <f>'Obrazac kalkulacije'!$B$8</f>
        <v>Radna snaga:</v>
      </c>
      <c r="K544" s="837"/>
      <c r="L544" s="16"/>
      <c r="M544" s="16"/>
      <c r="N544" s="44"/>
      <c r="O544" s="18">
        <f>SUM(O545:O545)</f>
        <v>31.343262660000004</v>
      </c>
    </row>
    <row r="545" spans="1:15" ht="25.15" customHeight="1">
      <c r="A545" s="19"/>
      <c r="B545" s="854" t="s">
        <v>57</v>
      </c>
      <c r="C545" s="854"/>
      <c r="D545" s="33" t="s">
        <v>51</v>
      </c>
      <c r="E545" s="34">
        <v>0.29842200000000002</v>
      </c>
      <c r="F545" s="238">
        <f>SUMIF('Cjenik RS'!$C$11:$C$26,$B545,'Cjenik RS'!$D$11:$D$90)</f>
        <v>105.03</v>
      </c>
      <c r="G545" s="35">
        <f>+F545*E545</f>
        <v>31.343262660000004</v>
      </c>
      <c r="I545" s="19"/>
      <c r="J545" s="854" t="s">
        <v>57</v>
      </c>
      <c r="K545" s="854"/>
      <c r="L545" s="33" t="s">
        <v>51</v>
      </c>
      <c r="M545" s="34">
        <v>0.29842200000000002</v>
      </c>
      <c r="N545" s="44">
        <f>SUMIF('Cjenik RS'!$C$11:$C$26,J545,'Cjenik RS'!$D$11:$D$90)</f>
        <v>105.03</v>
      </c>
      <c r="O545" s="35">
        <f>+N545*M545</f>
        <v>31.343262660000004</v>
      </c>
    </row>
    <row r="546" spans="1:15" ht="25.15" customHeight="1">
      <c r="B546" s="47"/>
      <c r="C546" s="24"/>
      <c r="D546" s="25"/>
      <c r="E546" s="850" t="str">
        <f>'Obrazac kalkulacije'!$E$18</f>
        <v>Ukupno (kn):</v>
      </c>
      <c r="F546" s="850"/>
      <c r="G546" s="26">
        <f>ROUND(SUM(G544),2)</f>
        <v>31.34</v>
      </c>
      <c r="H546" s="269" t="e">
        <f>SUMIF(#REF!,$B540,#REF!)</f>
        <v>#REF!</v>
      </c>
      <c r="J546" s="47"/>
      <c r="K546" s="24"/>
      <c r="L546" s="25"/>
      <c r="M546" s="850" t="str">
        <f>'Obrazac kalkulacije'!$E$18</f>
        <v>Ukupno (kn):</v>
      </c>
      <c r="N546" s="850"/>
      <c r="O546" s="26">
        <f>ROUND(SUM(O544),2)</f>
        <v>31.34</v>
      </c>
    </row>
    <row r="547" spans="1:15" ht="25.15" customHeight="1" thickTop="1" thickBot="1">
      <c r="E547" s="27" t="str">
        <f>'Obrazac kalkulacije'!$E$19</f>
        <v>PDV:</v>
      </c>
      <c r="F547" s="259">
        <f>'Obrazac kalkulacije'!$F$19</f>
        <v>0.25</v>
      </c>
      <c r="G547" s="29">
        <f>G546*F547</f>
        <v>7.835</v>
      </c>
      <c r="H547" s="270" t="e">
        <f>H546-G546</f>
        <v>#REF!</v>
      </c>
      <c r="M547" s="27" t="str">
        <f>'Obrazac kalkulacije'!$E$19</f>
        <v>PDV:</v>
      </c>
      <c r="N547" s="259">
        <f>'Obrazac kalkulacije'!$F$19</f>
        <v>0.25</v>
      </c>
      <c r="O547" s="29">
        <f>O546*N547</f>
        <v>7.835</v>
      </c>
    </row>
    <row r="548" spans="1:15" ht="25.15" customHeight="1" thickTop="1" thickBot="1">
      <c r="E548" s="840" t="str">
        <f>'Obrazac kalkulacije'!$E$20</f>
        <v>Sveukupno (kn):</v>
      </c>
      <c r="F548" s="840"/>
      <c r="G548" s="29">
        <f>ROUND(SUM(G546:G547),2)</f>
        <v>39.18</v>
      </c>
      <c r="H548" s="271" t="e">
        <f>G543+H547</f>
        <v>#REF!</v>
      </c>
      <c r="M548" s="840" t="str">
        <f>'Obrazac kalkulacije'!$E$20</f>
        <v>Sveukupno (kn):</v>
      </c>
      <c r="N548" s="840"/>
      <c r="O548" s="29">
        <f>ROUND(SUM(O546:O547),2)</f>
        <v>39.18</v>
      </c>
    </row>
    <row r="549" spans="1:15" ht="15" customHeight="1" thickTop="1"/>
    <row r="550" spans="1:15" ht="15" customHeight="1"/>
    <row r="551" spans="1:15" ht="15" customHeight="1"/>
    <row r="552" spans="1:15" ht="15" customHeight="1">
      <c r="C552" s="3" t="str">
        <f>'Obrazac kalkulacije'!$C$24</f>
        <v>IZVODITELJ:</v>
      </c>
      <c r="F552" s="841" t="str">
        <f>'Obrazac kalkulacije'!$F$24</f>
        <v>NARUČITELJ:</v>
      </c>
      <c r="G552" s="841"/>
      <c r="K552" s="3" t="str">
        <f>'Obrazac kalkulacije'!$C$24</f>
        <v>IZVODITELJ:</v>
      </c>
      <c r="N552" s="841" t="str">
        <f>'Obrazac kalkulacije'!$F$24</f>
        <v>NARUČITELJ:</v>
      </c>
      <c r="O552" s="841"/>
    </row>
    <row r="553" spans="1:15" ht="25.15" customHeight="1">
      <c r="C553" s="3" t="str">
        <f>'Obrazac kalkulacije'!$C$25</f>
        <v>__________________</v>
      </c>
      <c r="F553" s="841" t="str">
        <f>'Obrazac kalkulacije'!$F$25</f>
        <v>___________________</v>
      </c>
      <c r="G553" s="841"/>
      <c r="K553" s="3" t="str">
        <f>'Obrazac kalkulacije'!$C$25</f>
        <v>__________________</v>
      </c>
      <c r="N553" s="841" t="str">
        <f>'Obrazac kalkulacije'!$F$25</f>
        <v>___________________</v>
      </c>
      <c r="O553" s="841"/>
    </row>
    <row r="554" spans="1:15" ht="15" customHeight="1">
      <c r="F554" s="841"/>
      <c r="G554" s="841"/>
      <c r="N554" s="841"/>
      <c r="O554" s="841"/>
    </row>
    <row r="555" spans="1:15" ht="15" customHeight="1"/>
    <row r="556" spans="1:15" ht="15" customHeight="1">
      <c r="A556" s="144"/>
      <c r="B556" s="145" t="s">
        <v>39</v>
      </c>
      <c r="C556" s="836" t="s">
        <v>360</v>
      </c>
      <c r="D556" s="836"/>
      <c r="E556" s="836"/>
      <c r="F556" s="836"/>
      <c r="G556" s="836"/>
      <c r="I556" s="144"/>
      <c r="J556" s="145" t="s">
        <v>39</v>
      </c>
      <c r="K556" s="836" t="s">
        <v>360</v>
      </c>
      <c r="L556" s="836"/>
      <c r="M556" s="836"/>
      <c r="N556" s="836"/>
      <c r="O556" s="836"/>
    </row>
    <row r="557" spans="1:15" ht="15" customHeight="1">
      <c r="A557" s="38"/>
      <c r="B557" s="39" t="s">
        <v>44</v>
      </c>
      <c r="C557" s="860" t="s">
        <v>424</v>
      </c>
      <c r="D557" s="860"/>
      <c r="E557" s="860"/>
      <c r="F557" s="860"/>
      <c r="G557" s="860"/>
      <c r="I557" s="38"/>
      <c r="J557" s="39" t="s">
        <v>44</v>
      </c>
      <c r="K557" s="860" t="s">
        <v>424</v>
      </c>
      <c r="L557" s="860"/>
      <c r="M557" s="860"/>
      <c r="N557" s="860"/>
      <c r="O557" s="860"/>
    </row>
    <row r="558" spans="1:15" ht="150" customHeight="1">
      <c r="A558" s="40"/>
      <c r="B558" s="556" t="s">
        <v>432</v>
      </c>
      <c r="C558" s="852" t="s">
        <v>433</v>
      </c>
      <c r="D558" s="852"/>
      <c r="E558" s="852"/>
      <c r="F558" s="852"/>
      <c r="G558" s="852"/>
      <c r="I558" s="40"/>
      <c r="J558" s="41" t="s">
        <v>432</v>
      </c>
      <c r="K558" s="869" t="s">
        <v>434</v>
      </c>
      <c r="L558" s="869"/>
      <c r="M558" s="869"/>
      <c r="N558" s="869"/>
      <c r="O558" s="869"/>
    </row>
    <row r="559" spans="1:15" ht="15" customHeight="1" thickBot="1"/>
    <row r="560" spans="1:15" ht="30" customHeight="1" thickTop="1" thickBot="1">
      <c r="A560" s="10"/>
      <c r="B560" s="835" t="str">
        <f>'Obrazac kalkulacije'!$B$6:$C$6</f>
        <v>Opis</v>
      </c>
      <c r="C560" s="835"/>
      <c r="D560" s="10" t="str">
        <f>'Obrazac kalkulacije'!$D$6</f>
        <v>Jed.
mjere</v>
      </c>
      <c r="E560" s="10" t="str">
        <f>'Obrazac kalkulacije'!$E$6</f>
        <v>Normativ</v>
      </c>
      <c r="F560" s="10" t="str">
        <f>'Obrazac kalkulacije'!$F$6</f>
        <v>Jed.
cijena</v>
      </c>
      <c r="G560" s="10" t="str">
        <f>'Obrazac kalkulacije'!$G$6</f>
        <v>Iznos</v>
      </c>
      <c r="I560" s="10"/>
      <c r="J560" s="835" t="e">
        <f>'Obrazac kalkulacije'!$B$6:$C$6</f>
        <v>#VALUE!</v>
      </c>
      <c r="K560" s="835"/>
      <c r="L560" s="10" t="str">
        <f>'Obrazac kalkulacije'!$D$6</f>
        <v>Jed.
mjere</v>
      </c>
      <c r="M560" s="10" t="str">
        <f>'Obrazac kalkulacije'!$E$6</f>
        <v>Normativ</v>
      </c>
      <c r="N560" s="10" t="str">
        <f>'Obrazac kalkulacije'!$F$6</f>
        <v>Jed.
cijena</v>
      </c>
      <c r="O560" s="10" t="str">
        <f>'Obrazac kalkulacije'!$G$6</f>
        <v>Iznos</v>
      </c>
    </row>
    <row r="561" spans="1:15" ht="4.5" customHeight="1" thickTop="1">
      <c r="B561" s="42"/>
      <c r="C561" s="1"/>
      <c r="D561" s="11"/>
      <c r="E561" s="13"/>
      <c r="F561" s="258"/>
      <c r="G561" s="15"/>
      <c r="J561" s="42"/>
      <c r="K561" s="1"/>
      <c r="L561" s="11"/>
      <c r="M561" s="13"/>
      <c r="N561" s="258"/>
      <c r="O561" s="15"/>
    </row>
    <row r="562" spans="1:15" ht="25.15" customHeight="1">
      <c r="A562" s="16"/>
      <c r="B562" s="837" t="str">
        <f>'Obrazac kalkulacije'!$B$8</f>
        <v>Radna snaga:</v>
      </c>
      <c r="C562" s="837"/>
      <c r="D562" s="16"/>
      <c r="E562" s="16"/>
      <c r="F562" s="44"/>
      <c r="G562" s="18">
        <f>SUM(G563:G563)</f>
        <v>15.066343439999999</v>
      </c>
      <c r="H562" s="620" t="s">
        <v>427</v>
      </c>
      <c r="I562" s="16"/>
      <c r="J562" s="837" t="str">
        <f>'Obrazac kalkulacije'!$B$8</f>
        <v>Radna snaga:</v>
      </c>
      <c r="K562" s="837"/>
      <c r="L562" s="16"/>
      <c r="M562" s="16"/>
      <c r="N562" s="44"/>
      <c r="O562" s="18">
        <f>SUM(O563:O563)</f>
        <v>15.066343439999999</v>
      </c>
    </row>
    <row r="563" spans="1:15" ht="25.15" customHeight="1">
      <c r="A563" s="19"/>
      <c r="B563" s="854" t="s">
        <v>57</v>
      </c>
      <c r="C563" s="854"/>
      <c r="D563" s="33" t="s">
        <v>51</v>
      </c>
      <c r="E563" s="34">
        <v>0.14344799999999999</v>
      </c>
      <c r="F563" s="238">
        <f>SUMIF('Cjenik RS'!$C$11:$C$26,$B563,'Cjenik RS'!$D$11:$D$90)</f>
        <v>105.03</v>
      </c>
      <c r="G563" s="35">
        <f>+F563*E563</f>
        <v>15.066343439999999</v>
      </c>
      <c r="H563" s="620" t="s">
        <v>428</v>
      </c>
      <c r="I563" s="19"/>
      <c r="J563" s="854" t="s">
        <v>57</v>
      </c>
      <c r="K563" s="854"/>
      <c r="L563" s="33" t="s">
        <v>51</v>
      </c>
      <c r="M563" s="34">
        <v>0.14344799999999999</v>
      </c>
      <c r="N563" s="44">
        <f>SUMIF('Cjenik RS'!$C$11:$C$26,J563,'Cjenik RS'!$D$11:$D$90)</f>
        <v>105.03</v>
      </c>
      <c r="O563" s="35">
        <f>+N563*M563</f>
        <v>15.066343439999999</v>
      </c>
    </row>
    <row r="564" spans="1:15" ht="25.15" customHeight="1">
      <c r="B564" s="47"/>
      <c r="C564" s="24"/>
      <c r="D564" s="25"/>
      <c r="E564" s="850" t="str">
        <f>'Obrazac kalkulacije'!$E$18</f>
        <v>Ukupno (kn):</v>
      </c>
      <c r="F564" s="850"/>
      <c r="G564" s="26">
        <f>ROUND(SUM(G562),2)</f>
        <v>15.07</v>
      </c>
      <c r="H564" s="269" t="e">
        <f>SUMIF(#REF!,$B558,#REF!)</f>
        <v>#REF!</v>
      </c>
      <c r="J564" s="47"/>
      <c r="K564" s="24"/>
      <c r="L564" s="25"/>
      <c r="M564" s="850" t="str">
        <f>'Obrazac kalkulacije'!$E$18</f>
        <v>Ukupno (kn):</v>
      </c>
      <c r="N564" s="850"/>
      <c r="O564" s="26">
        <f>ROUND(SUM(O562),2)</f>
        <v>15.07</v>
      </c>
    </row>
    <row r="565" spans="1:15" ht="25.15" customHeight="1" thickTop="1" thickBot="1">
      <c r="E565" s="27" t="str">
        <f>'Obrazac kalkulacije'!$E$19</f>
        <v>PDV:</v>
      </c>
      <c r="F565" s="259">
        <f>'Obrazac kalkulacije'!$F$19</f>
        <v>0.25</v>
      </c>
      <c r="G565" s="29">
        <f>G564*F565</f>
        <v>3.7675000000000001</v>
      </c>
      <c r="H565" s="270" t="e">
        <f>H564-G564</f>
        <v>#REF!</v>
      </c>
      <c r="M565" s="27" t="str">
        <f>'Obrazac kalkulacije'!$E$19</f>
        <v>PDV:</v>
      </c>
      <c r="N565" s="259">
        <f>'Obrazac kalkulacije'!$F$19</f>
        <v>0.25</v>
      </c>
      <c r="O565" s="29">
        <f>O564*N565</f>
        <v>3.7675000000000001</v>
      </c>
    </row>
    <row r="566" spans="1:15" ht="25.15" customHeight="1" thickTop="1" thickBot="1">
      <c r="E566" s="840" t="str">
        <f>'Obrazac kalkulacije'!$E$20</f>
        <v>Sveukupno (kn):</v>
      </c>
      <c r="F566" s="840"/>
      <c r="G566" s="29">
        <f>ROUND(SUM(G564:G565),2)</f>
        <v>18.84</v>
      </c>
      <c r="H566" s="271" t="e">
        <f>G561+H565</f>
        <v>#REF!</v>
      </c>
      <c r="M566" s="840" t="str">
        <f>'Obrazac kalkulacije'!$E$20</f>
        <v>Sveukupno (kn):</v>
      </c>
      <c r="N566" s="840"/>
      <c r="O566" s="29">
        <f>ROUND(SUM(O564:O565),2)</f>
        <v>18.84</v>
      </c>
    </row>
    <row r="567" spans="1:15" ht="15" customHeight="1" thickTop="1"/>
    <row r="568" spans="1:15" ht="15" customHeight="1"/>
    <row r="569" spans="1:15" ht="15" customHeight="1"/>
    <row r="570" spans="1:15" ht="15" customHeight="1">
      <c r="C570" s="3" t="str">
        <f>'Obrazac kalkulacije'!$C$24</f>
        <v>IZVODITELJ:</v>
      </c>
      <c r="F570" s="841" t="str">
        <f>'Obrazac kalkulacije'!$F$24</f>
        <v>NARUČITELJ:</v>
      </c>
      <c r="G570" s="841"/>
      <c r="K570" s="3" t="str">
        <f>'Obrazac kalkulacije'!$C$24</f>
        <v>IZVODITELJ:</v>
      </c>
      <c r="N570" s="841" t="str">
        <f>'Obrazac kalkulacije'!$F$24</f>
        <v>NARUČITELJ:</v>
      </c>
      <c r="O570" s="841"/>
    </row>
    <row r="571" spans="1:15" ht="25.15" customHeight="1">
      <c r="C571" s="3" t="str">
        <f>'Obrazac kalkulacije'!$C$25</f>
        <v>__________________</v>
      </c>
      <c r="F571" s="841" t="str">
        <f>'Obrazac kalkulacije'!$F$25</f>
        <v>___________________</v>
      </c>
      <c r="G571" s="841"/>
      <c r="K571" s="3" t="str">
        <f>'Obrazac kalkulacije'!$C$25</f>
        <v>__________________</v>
      </c>
      <c r="N571" s="841" t="str">
        <f>'Obrazac kalkulacije'!$F$25</f>
        <v>___________________</v>
      </c>
      <c r="O571" s="841"/>
    </row>
    <row r="572" spans="1:15" ht="15" customHeight="1">
      <c r="F572" s="841"/>
      <c r="G572" s="841"/>
      <c r="N572" s="841"/>
      <c r="O572" s="841"/>
    </row>
    <row r="573" spans="1:15" ht="15" customHeight="1"/>
    <row r="574" spans="1:15" ht="15" customHeight="1">
      <c r="A574" s="144"/>
      <c r="B574" s="145" t="s">
        <v>39</v>
      </c>
      <c r="C574" s="836" t="s">
        <v>360</v>
      </c>
      <c r="D574" s="836"/>
      <c r="E574" s="836"/>
      <c r="F574" s="836"/>
      <c r="G574" s="836"/>
      <c r="I574" s="144"/>
      <c r="J574" s="145" t="s">
        <v>39</v>
      </c>
      <c r="K574" s="836" t="s">
        <v>360</v>
      </c>
      <c r="L574" s="836"/>
      <c r="M574" s="836"/>
      <c r="N574" s="836"/>
      <c r="O574" s="836"/>
    </row>
    <row r="575" spans="1:15" ht="15" customHeight="1">
      <c r="A575" s="38"/>
      <c r="B575" s="39" t="s">
        <v>44</v>
      </c>
      <c r="C575" s="860" t="s">
        <v>424</v>
      </c>
      <c r="D575" s="860"/>
      <c r="E575" s="860"/>
      <c r="F575" s="860"/>
      <c r="G575" s="860"/>
      <c r="I575" s="38"/>
      <c r="J575" s="39" t="s">
        <v>44</v>
      </c>
      <c r="K575" s="860" t="s">
        <v>424</v>
      </c>
      <c r="L575" s="860"/>
      <c r="M575" s="860"/>
      <c r="N575" s="860"/>
      <c r="O575" s="860"/>
    </row>
    <row r="576" spans="1:15" ht="150" customHeight="1">
      <c r="A576" s="40"/>
      <c r="B576" s="556" t="s">
        <v>435</v>
      </c>
      <c r="C576" s="852" t="s">
        <v>436</v>
      </c>
      <c r="D576" s="852"/>
      <c r="E576" s="852"/>
      <c r="F576" s="852"/>
      <c r="G576" s="852"/>
      <c r="I576" s="40"/>
      <c r="J576" s="41" t="s">
        <v>435</v>
      </c>
      <c r="K576" s="869" t="s">
        <v>437</v>
      </c>
      <c r="L576" s="869"/>
      <c r="M576" s="869"/>
      <c r="N576" s="869"/>
      <c r="O576" s="869"/>
    </row>
    <row r="577" spans="1:15" ht="15" customHeight="1" thickBot="1"/>
    <row r="578" spans="1:15" ht="30" customHeight="1" thickTop="1" thickBot="1">
      <c r="A578" s="10"/>
      <c r="B578" s="835" t="str">
        <f>'Obrazac kalkulacije'!$B$6:$C$6</f>
        <v>Opis</v>
      </c>
      <c r="C578" s="835"/>
      <c r="D578" s="10" t="str">
        <f>'Obrazac kalkulacije'!$D$6</f>
        <v>Jed.
mjere</v>
      </c>
      <c r="E578" s="10" t="str">
        <f>'Obrazac kalkulacije'!$E$6</f>
        <v>Normativ</v>
      </c>
      <c r="F578" s="10" t="str">
        <f>'Obrazac kalkulacije'!$F$6</f>
        <v>Jed.
cijena</v>
      </c>
      <c r="G578" s="10" t="str">
        <f>'Obrazac kalkulacije'!$G$6</f>
        <v>Iznos</v>
      </c>
      <c r="I578" s="10"/>
      <c r="J578" s="835" t="e">
        <f>'Obrazac kalkulacije'!$B$6:$C$6</f>
        <v>#VALUE!</v>
      </c>
      <c r="K578" s="835"/>
      <c r="L578" s="10" t="str">
        <f>'Obrazac kalkulacije'!$D$6</f>
        <v>Jed.
mjere</v>
      </c>
      <c r="M578" s="10" t="str">
        <f>'Obrazac kalkulacije'!$E$6</f>
        <v>Normativ</v>
      </c>
      <c r="N578" s="10" t="str">
        <f>'Obrazac kalkulacije'!$F$6</f>
        <v>Jed.
cijena</v>
      </c>
      <c r="O578" s="10" t="str">
        <f>'Obrazac kalkulacije'!$G$6</f>
        <v>Iznos</v>
      </c>
    </row>
    <row r="579" spans="1:15" ht="4.5" customHeight="1" thickTop="1">
      <c r="B579" s="42"/>
      <c r="C579" s="1"/>
      <c r="D579" s="11"/>
      <c r="E579" s="13"/>
      <c r="F579" s="258"/>
      <c r="G579" s="15"/>
      <c r="J579" s="42"/>
      <c r="K579" s="1"/>
      <c r="L579" s="11"/>
      <c r="M579" s="13"/>
      <c r="N579" s="258"/>
      <c r="O579" s="15"/>
    </row>
    <row r="580" spans="1:15" ht="25.15" customHeight="1">
      <c r="A580" s="16"/>
      <c r="B580" s="837" t="str">
        <f>'Obrazac kalkulacije'!$B$8</f>
        <v>Radna snaga:</v>
      </c>
      <c r="C580" s="837"/>
      <c r="D580" s="16"/>
      <c r="E580" s="16"/>
      <c r="F580" s="44"/>
      <c r="G580" s="18">
        <f>SUM(G581:G581)</f>
        <v>81.923400000000001</v>
      </c>
      <c r="I580" s="16"/>
      <c r="J580" s="837" t="str">
        <f>'Obrazac kalkulacije'!$B$8</f>
        <v>Radna snaga:</v>
      </c>
      <c r="K580" s="837"/>
      <c r="L580" s="16"/>
      <c r="M580" s="16"/>
      <c r="N580" s="44"/>
      <c r="O580" s="18">
        <f>SUM(O581:O581)</f>
        <v>82.394249490000007</v>
      </c>
    </row>
    <row r="581" spans="1:15" ht="25.15" customHeight="1">
      <c r="A581" s="32"/>
      <c r="B581" s="854" t="s">
        <v>57</v>
      </c>
      <c r="C581" s="854"/>
      <c r="D581" s="33" t="s">
        <v>51</v>
      </c>
      <c r="E581" s="34">
        <v>0.78</v>
      </c>
      <c r="F581" s="238">
        <f>SUMIF('Cjenik RS'!$C$11:$C$26,$B581,'Cjenik RS'!$D$11:$D$90)</f>
        <v>105.03</v>
      </c>
      <c r="G581" s="35">
        <f>+F581*E581</f>
        <v>81.923400000000001</v>
      </c>
      <c r="I581" s="32"/>
      <c r="J581" s="854" t="s">
        <v>57</v>
      </c>
      <c r="K581" s="854"/>
      <c r="L581" s="33" t="s">
        <v>51</v>
      </c>
      <c r="M581" s="34">
        <v>0.78448300000000004</v>
      </c>
      <c r="N581" s="44">
        <f>SUMIF('Cjenik RS'!$C$11:$C$26,J581,'Cjenik RS'!$D$11:$D$90)</f>
        <v>105.03</v>
      </c>
      <c r="O581" s="35">
        <f>+N581*M581</f>
        <v>82.394249490000007</v>
      </c>
    </row>
    <row r="582" spans="1:15" ht="25.15" customHeight="1">
      <c r="A582" s="16"/>
      <c r="B582" s="837" t="str">
        <f>'Obrazac kalkulacije'!$B$11</f>
        <v>Vozila, strojevi i oprema:</v>
      </c>
      <c r="C582" s="837"/>
      <c r="D582" s="16"/>
      <c r="E582" s="16"/>
      <c r="F582" s="238">
        <f>'Obrazac kalkulacije'!$F$11</f>
        <v>0</v>
      </c>
      <c r="G582" s="18">
        <f>SUM(G583:G583)</f>
        <v>26.939999999999998</v>
      </c>
      <c r="I582" s="16"/>
      <c r="J582" s="837" t="str">
        <f>'Obrazac kalkulacije'!$B$11</f>
        <v>Vozila, strojevi i oprema:</v>
      </c>
      <c r="K582" s="837"/>
      <c r="L582" s="16"/>
      <c r="M582" s="16"/>
      <c r="N582" s="238">
        <f>'Obrazac kalkulacije'!$F$11</f>
        <v>0</v>
      </c>
      <c r="O582" s="18">
        <f>SUM(O583:O583)</f>
        <v>29.587483599999999</v>
      </c>
    </row>
    <row r="583" spans="1:15" ht="25.15" customHeight="1" thickBot="1">
      <c r="A583" s="43"/>
      <c r="B583" s="863" t="s">
        <v>69</v>
      </c>
      <c r="C583" s="863"/>
      <c r="D583" s="52" t="s">
        <v>51</v>
      </c>
      <c r="E583" s="53">
        <v>0.15</v>
      </c>
      <c r="F583" s="260">
        <f>SUMIF('Cjenik VSO'!$B$9:$B$85,$B583,'Cjenik VSO'!$C$9:$C$85)</f>
        <v>179.6</v>
      </c>
      <c r="G583" s="55">
        <f>E583*F583</f>
        <v>26.939999999999998</v>
      </c>
      <c r="I583" s="43"/>
      <c r="J583" s="863" t="s">
        <v>69</v>
      </c>
      <c r="K583" s="863"/>
      <c r="L583" s="52" t="s">
        <v>51</v>
      </c>
      <c r="M583" s="53">
        <v>0.164741</v>
      </c>
      <c r="N583" s="260">
        <f>SUMIF('Cjenik VSO'!$B$9:$B$85,$B583,'Cjenik VSO'!$C$9:$C$85)</f>
        <v>179.6</v>
      </c>
      <c r="O583" s="55">
        <f>M583*N583</f>
        <v>29.587483599999999</v>
      </c>
    </row>
    <row r="584" spans="1:15" ht="25.15" customHeight="1" thickTop="1" thickBot="1">
      <c r="B584" s="47"/>
      <c r="C584" s="24"/>
      <c r="D584" s="25"/>
      <c r="E584" s="850" t="str">
        <f>'Obrazac kalkulacije'!$E$18</f>
        <v>Ukupno (kn):</v>
      </c>
      <c r="F584" s="850"/>
      <c r="G584" s="26">
        <f>ROUND(SUM(G580+G582),2)</f>
        <v>108.86</v>
      </c>
      <c r="H584" s="269" t="e">
        <f>SUMIF(#REF!,$B576,#REF!)</f>
        <v>#REF!</v>
      </c>
      <c r="J584" s="47"/>
      <c r="K584" s="24"/>
      <c r="L584" s="25"/>
      <c r="M584" s="850" t="str">
        <f>'Obrazac kalkulacije'!$E$18</f>
        <v>Ukupno (kn):</v>
      </c>
      <c r="N584" s="850"/>
      <c r="O584" s="26">
        <f>ROUND(SUM(O580+O582),2)</f>
        <v>111.98</v>
      </c>
    </row>
    <row r="585" spans="1:15" ht="25.15" customHeight="1" thickTop="1" thickBot="1">
      <c r="E585" s="27" t="str">
        <f>'Obrazac kalkulacije'!$E$19</f>
        <v>PDV:</v>
      </c>
      <c r="F585" s="259">
        <f>'Obrazac kalkulacije'!$F$19</f>
        <v>0.25</v>
      </c>
      <c r="G585" s="29">
        <f>G584*F585</f>
        <v>27.215</v>
      </c>
      <c r="H585" s="270" t="e">
        <f>H584-G584</f>
        <v>#REF!</v>
      </c>
      <c r="M585" s="27" t="str">
        <f>'Obrazac kalkulacije'!$E$19</f>
        <v>PDV:</v>
      </c>
      <c r="N585" s="259">
        <f>'Obrazac kalkulacije'!$F$19</f>
        <v>0.25</v>
      </c>
      <c r="O585" s="29">
        <f>O584*N585</f>
        <v>27.995000000000001</v>
      </c>
    </row>
    <row r="586" spans="1:15" ht="25.15" customHeight="1" thickTop="1" thickBot="1">
      <c r="E586" s="840" t="str">
        <f>'Obrazac kalkulacije'!$E$20</f>
        <v>Sveukupno (kn):</v>
      </c>
      <c r="F586" s="840"/>
      <c r="G586" s="29">
        <f>ROUND(SUM(G584:G585),2)</f>
        <v>136.08000000000001</v>
      </c>
      <c r="H586" s="271" t="e">
        <f>G583+H585</f>
        <v>#REF!</v>
      </c>
      <c r="M586" s="840" t="str">
        <f>'Obrazac kalkulacije'!$E$20</f>
        <v>Sveukupno (kn):</v>
      </c>
      <c r="N586" s="840"/>
      <c r="O586" s="29">
        <f>ROUND(SUM(O584:O585),2)</f>
        <v>139.97999999999999</v>
      </c>
    </row>
    <row r="587" spans="1:15" ht="15" customHeight="1" thickTop="1"/>
    <row r="588" spans="1:15" ht="15" customHeight="1"/>
    <row r="589" spans="1:15" ht="15" customHeight="1"/>
    <row r="590" spans="1:15" ht="15" customHeight="1">
      <c r="C590" s="3" t="str">
        <f>'Obrazac kalkulacije'!$C$24</f>
        <v>IZVODITELJ:</v>
      </c>
      <c r="F590" s="841" t="str">
        <f>'Obrazac kalkulacije'!$F$24</f>
        <v>NARUČITELJ:</v>
      </c>
      <c r="G590" s="841"/>
      <c r="K590" s="3" t="str">
        <f>'Obrazac kalkulacije'!$C$24</f>
        <v>IZVODITELJ:</v>
      </c>
      <c r="N590" s="841" t="str">
        <f>'Obrazac kalkulacije'!$F$24</f>
        <v>NARUČITELJ:</v>
      </c>
      <c r="O590" s="841"/>
    </row>
    <row r="591" spans="1:15" ht="25.15" customHeight="1">
      <c r="C591" s="3" t="str">
        <f>'Obrazac kalkulacije'!$C$25</f>
        <v>__________________</v>
      </c>
      <c r="F591" s="841" t="str">
        <f>'Obrazac kalkulacije'!$F$25</f>
        <v>___________________</v>
      </c>
      <c r="G591" s="841"/>
      <c r="K591" s="3" t="str">
        <f>'Obrazac kalkulacije'!$C$25</f>
        <v>__________________</v>
      </c>
      <c r="N591" s="841" t="str">
        <f>'Obrazac kalkulacije'!$F$25</f>
        <v>___________________</v>
      </c>
      <c r="O591" s="841"/>
    </row>
    <row r="592" spans="1:15" ht="15" customHeight="1">
      <c r="F592" s="841"/>
      <c r="G592" s="841"/>
      <c r="N592" s="841"/>
      <c r="O592" s="841"/>
    </row>
    <row r="593" spans="1:15" ht="15" customHeight="1"/>
    <row r="594" spans="1:15" ht="15" customHeight="1">
      <c r="A594" s="144"/>
      <c r="B594" s="145" t="s">
        <v>39</v>
      </c>
      <c r="C594" s="836" t="s">
        <v>360</v>
      </c>
      <c r="D594" s="836"/>
      <c r="E594" s="836"/>
      <c r="F594" s="836"/>
      <c r="G594" s="836"/>
      <c r="I594" s="144"/>
      <c r="J594" s="145" t="s">
        <v>39</v>
      </c>
      <c r="K594" s="836" t="s">
        <v>360</v>
      </c>
      <c r="L594" s="836"/>
      <c r="M594" s="836"/>
      <c r="N594" s="836"/>
      <c r="O594" s="836"/>
    </row>
    <row r="595" spans="1:15" ht="15" customHeight="1">
      <c r="A595" s="38"/>
      <c r="B595" s="39" t="s">
        <v>44</v>
      </c>
      <c r="C595" s="860" t="s">
        <v>424</v>
      </c>
      <c r="D595" s="860"/>
      <c r="E595" s="860"/>
      <c r="F595" s="860"/>
      <c r="G595" s="860"/>
      <c r="I595" s="38"/>
      <c r="J595" s="39" t="s">
        <v>44</v>
      </c>
      <c r="K595" s="860" t="s">
        <v>424</v>
      </c>
      <c r="L595" s="860"/>
      <c r="M595" s="860"/>
      <c r="N595" s="860"/>
      <c r="O595" s="860"/>
    </row>
    <row r="596" spans="1:15" ht="150" customHeight="1">
      <c r="A596" s="40"/>
      <c r="B596" s="556" t="s">
        <v>438</v>
      </c>
      <c r="C596" s="852" t="s">
        <v>439</v>
      </c>
      <c r="D596" s="852"/>
      <c r="E596" s="852"/>
      <c r="F596" s="852"/>
      <c r="G596" s="852"/>
      <c r="I596" s="40"/>
      <c r="J596" s="41" t="s">
        <v>438</v>
      </c>
      <c r="K596" s="869" t="s">
        <v>440</v>
      </c>
      <c r="L596" s="869"/>
      <c r="M596" s="869"/>
      <c r="N596" s="869"/>
      <c r="O596" s="869"/>
    </row>
    <row r="597" spans="1:15" ht="15" customHeight="1" thickBot="1"/>
    <row r="598" spans="1:15" ht="30" customHeight="1" thickTop="1" thickBot="1">
      <c r="A598" s="10"/>
      <c r="B598" s="835" t="str">
        <f>'Obrazac kalkulacije'!$B$6:$C$6</f>
        <v>Opis</v>
      </c>
      <c r="C598" s="835"/>
      <c r="D598" s="10" t="str">
        <f>'Obrazac kalkulacije'!$D$6</f>
        <v>Jed.
mjere</v>
      </c>
      <c r="E598" s="10" t="str">
        <f>'Obrazac kalkulacije'!$E$6</f>
        <v>Normativ</v>
      </c>
      <c r="F598" s="10" t="str">
        <f>'Obrazac kalkulacije'!$F$6</f>
        <v>Jed.
cijena</v>
      </c>
      <c r="G598" s="10" t="str">
        <f>'Obrazac kalkulacije'!$G$6</f>
        <v>Iznos</v>
      </c>
      <c r="I598" s="10"/>
      <c r="J598" s="835" t="e">
        <f>'Obrazac kalkulacije'!$B$6:$C$6</f>
        <v>#VALUE!</v>
      </c>
      <c r="K598" s="835"/>
      <c r="L598" s="10" t="str">
        <f>'Obrazac kalkulacije'!$D$6</f>
        <v>Jed.
mjere</v>
      </c>
      <c r="M598" s="10" t="str">
        <f>'Obrazac kalkulacije'!$E$6</f>
        <v>Normativ</v>
      </c>
      <c r="N598" s="10" t="str">
        <f>'Obrazac kalkulacije'!$F$6</f>
        <v>Jed.
cijena</v>
      </c>
      <c r="O598" s="10" t="str">
        <f>'Obrazac kalkulacije'!$G$6</f>
        <v>Iznos</v>
      </c>
    </row>
    <row r="599" spans="1:15" ht="4.5" customHeight="1" thickTop="1">
      <c r="B599" s="42"/>
      <c r="C599" s="1"/>
      <c r="D599" s="11"/>
      <c r="E599" s="13"/>
      <c r="F599" s="258"/>
      <c r="G599" s="15"/>
      <c r="J599" s="42"/>
      <c r="K599" s="1"/>
      <c r="L599" s="11"/>
      <c r="M599" s="13"/>
      <c r="N599" s="258"/>
      <c r="O599" s="15"/>
    </row>
    <row r="600" spans="1:15" ht="25.15" customHeight="1">
      <c r="A600" s="16"/>
      <c r="B600" s="837" t="str">
        <f>'Obrazac kalkulacije'!$B$8</f>
        <v>Radna snaga:</v>
      </c>
      <c r="C600" s="837"/>
      <c r="D600" s="16"/>
      <c r="E600" s="16"/>
      <c r="F600" s="44"/>
      <c r="G600" s="18">
        <f>SUM(G601:G601)</f>
        <v>52.515000000000001</v>
      </c>
      <c r="I600" s="16"/>
      <c r="J600" s="837" t="str">
        <f>'Obrazac kalkulacije'!$B$8</f>
        <v>Radna snaga:</v>
      </c>
      <c r="K600" s="837"/>
      <c r="L600" s="16"/>
      <c r="M600" s="16"/>
      <c r="N600" s="44"/>
      <c r="O600" s="18">
        <f>SUM(O601:O601)</f>
        <v>51.049831499999996</v>
      </c>
    </row>
    <row r="601" spans="1:15" ht="25.15" customHeight="1">
      <c r="A601" s="32"/>
      <c r="B601" s="854" t="s">
        <v>57</v>
      </c>
      <c r="C601" s="854"/>
      <c r="D601" s="637" t="s">
        <v>51</v>
      </c>
      <c r="E601" s="104">
        <v>0.5</v>
      </c>
      <c r="F601" s="238">
        <f>SUMIF('Cjenik RS'!$C$11:$C$26,$B601,'Cjenik RS'!$D$11:$D$90)</f>
        <v>105.03</v>
      </c>
      <c r="G601" s="46">
        <f>+F601*E601</f>
        <v>52.515000000000001</v>
      </c>
      <c r="I601" s="32"/>
      <c r="J601" s="854" t="s">
        <v>57</v>
      </c>
      <c r="K601" s="854"/>
      <c r="L601" s="33" t="s">
        <v>51</v>
      </c>
      <c r="M601" s="34">
        <v>0.48604999999999998</v>
      </c>
      <c r="N601" s="44">
        <f>SUMIF('Cjenik RS'!$C$11:$C$26,J601,'Cjenik RS'!$D$11:$D$90)</f>
        <v>105.03</v>
      </c>
      <c r="O601" s="35">
        <f>+N601*M601</f>
        <v>51.049831499999996</v>
      </c>
    </row>
    <row r="602" spans="1:15" ht="25.15" customHeight="1">
      <c r="A602" s="16"/>
      <c r="B602" s="837" t="str">
        <f>'Obrazac kalkulacije'!$B$11</f>
        <v>Vozila, strojevi i oprema:</v>
      </c>
      <c r="C602" s="837"/>
      <c r="D602" s="16"/>
      <c r="E602" s="16"/>
      <c r="F602" s="238">
        <f>'Obrazac kalkulacije'!$F$11</f>
        <v>0</v>
      </c>
      <c r="G602" s="18">
        <f>SUM(G603:G603)</f>
        <v>26.939999999999998</v>
      </c>
      <c r="I602" s="16"/>
      <c r="J602" s="837" t="str">
        <f>'Obrazac kalkulacije'!$B$11</f>
        <v>Vozila, strojevi i oprema:</v>
      </c>
      <c r="K602" s="837"/>
      <c r="L602" s="16"/>
      <c r="M602" s="16"/>
      <c r="N602" s="238">
        <f>'Obrazac kalkulacije'!$F$11</f>
        <v>0</v>
      </c>
      <c r="O602" s="18">
        <f>SUM(O603:O603)</f>
        <v>29.086758800000002</v>
      </c>
    </row>
    <row r="603" spans="1:15" ht="25.15" customHeight="1" thickBot="1">
      <c r="A603" s="16"/>
      <c r="B603" s="838" t="s">
        <v>69</v>
      </c>
      <c r="C603" s="838"/>
      <c r="D603" s="44" t="s">
        <v>51</v>
      </c>
      <c r="E603" s="45">
        <v>0.15</v>
      </c>
      <c r="F603" s="238">
        <f>SUMIF('Cjenik VSO'!$B$9:$B$85,$B603,'Cjenik VSO'!$C$9:$C$85)</f>
        <v>179.6</v>
      </c>
      <c r="G603" s="46">
        <f>E603*F603</f>
        <v>26.939999999999998</v>
      </c>
      <c r="I603" s="43"/>
      <c r="J603" s="863" t="s">
        <v>69</v>
      </c>
      <c r="K603" s="863"/>
      <c r="L603" s="52" t="s">
        <v>51</v>
      </c>
      <c r="M603" s="53">
        <v>0.16195300000000001</v>
      </c>
      <c r="N603" s="260">
        <f>SUMIF('Cjenik VSO'!$B$9:$B$85,$B603,'Cjenik VSO'!$C$9:$C$85)</f>
        <v>179.6</v>
      </c>
      <c r="O603" s="55">
        <f>M603*N603</f>
        <v>29.086758800000002</v>
      </c>
    </row>
    <row r="604" spans="1:15" ht="25.15" customHeight="1" thickTop="1">
      <c r="A604" s="16"/>
      <c r="B604" s="837" t="str">
        <f>'Obrazac kalkulacije'!$B$15</f>
        <v>Materijali:</v>
      </c>
      <c r="C604" s="837"/>
      <c r="D604" s="16"/>
      <c r="E604" s="16"/>
      <c r="F604" s="238"/>
      <c r="G604" s="18">
        <f>SUM(G605)</f>
        <v>0</v>
      </c>
      <c r="I604" s="16"/>
      <c r="J604" s="837" t="str">
        <f>'Obrazac kalkulacije'!$B$15</f>
        <v>Materijali:</v>
      </c>
      <c r="K604" s="837"/>
      <c r="L604" s="16"/>
      <c r="M604" s="16"/>
      <c r="N604" s="238"/>
      <c r="O604" s="18"/>
    </row>
    <row r="605" spans="1:15" ht="25.15" customHeight="1" thickBot="1">
      <c r="A605" s="16"/>
      <c r="B605" s="884">
        <f>'Cjenik M'!$B$47</f>
        <v>0</v>
      </c>
      <c r="C605" s="838"/>
      <c r="D605" s="44" t="s">
        <v>441</v>
      </c>
      <c r="E605" s="45">
        <v>1</v>
      </c>
      <c r="F605" s="238">
        <f>'Cjenik M'!$D$47</f>
        <v>0</v>
      </c>
      <c r="G605" s="46">
        <f>E605*F605</f>
        <v>0</v>
      </c>
      <c r="I605" s="51"/>
      <c r="J605" s="863"/>
      <c r="K605" s="863"/>
      <c r="L605" s="52"/>
      <c r="M605" s="53"/>
      <c r="N605" s="260"/>
      <c r="O605" s="55">
        <f>M605*N605</f>
        <v>0</v>
      </c>
    </row>
    <row r="606" spans="1:15" ht="25.15" customHeight="1" thickTop="1" thickBot="1">
      <c r="E606" s="868" t="str">
        <f>'Obrazac kalkulacije'!$E$18</f>
        <v>Ukupno (kn):</v>
      </c>
      <c r="F606" s="868"/>
      <c r="G606" s="71">
        <f>ROUND(SUM(G600+G602+G604),2)</f>
        <v>79.459999999999994</v>
      </c>
      <c r="H606" s="269" t="e">
        <f>SUMIF(#REF!,$B596,#REF!)</f>
        <v>#REF!</v>
      </c>
      <c r="J606" s="47"/>
      <c r="K606" s="24"/>
      <c r="L606" s="25"/>
      <c r="M606" s="850" t="str">
        <f>'Obrazac kalkulacije'!$E$18</f>
        <v>Ukupno (kn):</v>
      </c>
      <c r="N606" s="850"/>
      <c r="O606" s="26">
        <f>ROUND(SUM(O600+O602+O604),2)</f>
        <v>80.14</v>
      </c>
    </row>
    <row r="607" spans="1:15" ht="25.15" customHeight="1" thickTop="1" thickBot="1">
      <c r="E607" s="27" t="str">
        <f>'Obrazac kalkulacije'!$E$19</f>
        <v>PDV:</v>
      </c>
      <c r="F607" s="259">
        <f>'Obrazac kalkulacije'!$F$19</f>
        <v>0.25</v>
      </c>
      <c r="G607" s="29">
        <f>G606*F607</f>
        <v>19.864999999999998</v>
      </c>
      <c r="H607" s="270" t="e">
        <f>H606-G606</f>
        <v>#REF!</v>
      </c>
      <c r="M607" s="27" t="str">
        <f>'Obrazac kalkulacije'!$E$19</f>
        <v>PDV:</v>
      </c>
      <c r="N607" s="259">
        <f>'Obrazac kalkulacije'!$F$19</f>
        <v>0.25</v>
      </c>
      <c r="O607" s="29">
        <f>O606*N607</f>
        <v>20.035</v>
      </c>
    </row>
    <row r="608" spans="1:15" ht="25.15" customHeight="1" thickTop="1" thickBot="1">
      <c r="E608" s="840" t="str">
        <f>'Obrazac kalkulacije'!$E$20</f>
        <v>Sveukupno (kn):</v>
      </c>
      <c r="F608" s="840"/>
      <c r="G608" s="29">
        <f>ROUND(SUM(G606:G607),2)</f>
        <v>99.33</v>
      </c>
      <c r="H608" s="271" t="e">
        <f>G603+H607</f>
        <v>#REF!</v>
      </c>
      <c r="M608" s="840" t="str">
        <f>'Obrazac kalkulacije'!$E$20</f>
        <v>Sveukupno (kn):</v>
      </c>
      <c r="N608" s="840"/>
      <c r="O608" s="29">
        <f>ROUND(SUM(O606:O607),2)</f>
        <v>100.18</v>
      </c>
    </row>
    <row r="609" spans="1:15" ht="15" customHeight="1" thickTop="1"/>
    <row r="610" spans="1:15" ht="15" customHeight="1"/>
    <row r="611" spans="1:15" ht="15" customHeight="1"/>
    <row r="612" spans="1:15" ht="15" customHeight="1">
      <c r="C612" s="3" t="str">
        <f>'Obrazac kalkulacije'!$C$24</f>
        <v>IZVODITELJ:</v>
      </c>
      <c r="F612" s="841" t="str">
        <f>'Obrazac kalkulacije'!$F$24</f>
        <v>NARUČITELJ:</v>
      </c>
      <c r="G612" s="841"/>
      <c r="K612" s="3" t="str">
        <f>'Obrazac kalkulacije'!$C$24</f>
        <v>IZVODITELJ:</v>
      </c>
      <c r="N612" s="841" t="str">
        <f>'Obrazac kalkulacije'!$F$24</f>
        <v>NARUČITELJ:</v>
      </c>
      <c r="O612" s="841"/>
    </row>
    <row r="613" spans="1:15" ht="25.15" customHeight="1">
      <c r="C613" s="3" t="str">
        <f>'Obrazac kalkulacije'!$C$25</f>
        <v>__________________</v>
      </c>
      <c r="F613" s="841" t="str">
        <f>'Obrazac kalkulacije'!$F$25</f>
        <v>___________________</v>
      </c>
      <c r="G613" s="841"/>
      <c r="K613" s="3" t="str">
        <f>'Obrazac kalkulacije'!$C$25</f>
        <v>__________________</v>
      </c>
      <c r="N613" s="841" t="str">
        <f>'Obrazac kalkulacije'!$F$25</f>
        <v>___________________</v>
      </c>
      <c r="O613" s="841"/>
    </row>
    <row r="614" spans="1:15" ht="15" customHeight="1">
      <c r="F614" s="841"/>
      <c r="G614" s="841"/>
      <c r="N614" s="841"/>
      <c r="O614" s="841"/>
    </row>
    <row r="615" spans="1:15" ht="15" customHeight="1"/>
    <row r="616" spans="1:15" ht="15" customHeight="1">
      <c r="A616" s="144"/>
      <c r="B616" s="145" t="s">
        <v>39</v>
      </c>
      <c r="C616" s="836" t="s">
        <v>360</v>
      </c>
      <c r="D616" s="836"/>
      <c r="E616" s="836"/>
      <c r="F616" s="836"/>
      <c r="G616" s="836"/>
      <c r="I616" s="144"/>
      <c r="J616" s="145" t="s">
        <v>39</v>
      </c>
      <c r="K616" s="836" t="s">
        <v>360</v>
      </c>
      <c r="L616" s="836"/>
      <c r="M616" s="836"/>
      <c r="N616" s="836"/>
      <c r="O616" s="836"/>
    </row>
    <row r="617" spans="1:15" ht="15" customHeight="1">
      <c r="A617" s="38"/>
      <c r="B617" s="39" t="s">
        <v>44</v>
      </c>
      <c r="C617" s="860" t="s">
        <v>424</v>
      </c>
      <c r="D617" s="860"/>
      <c r="E617" s="860"/>
      <c r="F617" s="860"/>
      <c r="G617" s="860"/>
      <c r="I617" s="38"/>
      <c r="J617" s="39" t="s">
        <v>44</v>
      </c>
      <c r="K617" s="860" t="s">
        <v>424</v>
      </c>
      <c r="L617" s="860"/>
      <c r="M617" s="860"/>
      <c r="N617" s="860"/>
      <c r="O617" s="860"/>
    </row>
    <row r="618" spans="1:15" ht="150" customHeight="1">
      <c r="A618" s="40"/>
      <c r="B618" s="556" t="s">
        <v>442</v>
      </c>
      <c r="C618" s="852" t="s">
        <v>443</v>
      </c>
      <c r="D618" s="852"/>
      <c r="E618" s="852"/>
      <c r="F618" s="852"/>
      <c r="G618" s="852"/>
      <c r="I618" s="40"/>
      <c r="J618" s="41" t="s">
        <v>442</v>
      </c>
      <c r="K618" s="869" t="s">
        <v>444</v>
      </c>
      <c r="L618" s="869"/>
      <c r="M618" s="869"/>
      <c r="N618" s="869"/>
      <c r="O618" s="869"/>
    </row>
    <row r="619" spans="1:15" ht="15" customHeight="1" thickBot="1"/>
    <row r="620" spans="1:15" ht="30" customHeight="1" thickTop="1" thickBot="1">
      <c r="A620" s="10"/>
      <c r="B620" s="835" t="str">
        <f>'Obrazac kalkulacije'!$B$6:$C$6</f>
        <v>Opis</v>
      </c>
      <c r="C620" s="835"/>
      <c r="D620" s="10" t="str">
        <f>'Obrazac kalkulacije'!$D$6</f>
        <v>Jed.
mjere</v>
      </c>
      <c r="E620" s="10" t="str">
        <f>'Obrazac kalkulacije'!$E$6</f>
        <v>Normativ</v>
      </c>
      <c r="F620" s="10" t="str">
        <f>'Obrazac kalkulacije'!$F$6</f>
        <v>Jed.
cijena</v>
      </c>
      <c r="G620" s="10" t="str">
        <f>'Obrazac kalkulacije'!$G$6</f>
        <v>Iznos</v>
      </c>
      <c r="I620" s="10"/>
      <c r="J620" s="835" t="e">
        <f>'Obrazac kalkulacije'!$B$6:$C$6</f>
        <v>#VALUE!</v>
      </c>
      <c r="K620" s="835"/>
      <c r="L620" s="10" t="str">
        <f>'Obrazac kalkulacije'!$D$6</f>
        <v>Jed.
mjere</v>
      </c>
      <c r="M620" s="10" t="str">
        <f>'Obrazac kalkulacije'!$E$6</f>
        <v>Normativ</v>
      </c>
      <c r="N620" s="10" t="str">
        <f>'Obrazac kalkulacije'!$F$6</f>
        <v>Jed.
cijena</v>
      </c>
      <c r="O620" s="10" t="str">
        <f>'Obrazac kalkulacije'!$G$6</f>
        <v>Iznos</v>
      </c>
    </row>
    <row r="621" spans="1:15" ht="4.5" customHeight="1" thickTop="1">
      <c r="B621" s="42"/>
      <c r="C621" s="1"/>
      <c r="D621" s="11"/>
      <c r="E621" s="13"/>
      <c r="F621" s="258"/>
      <c r="G621" s="15"/>
      <c r="J621" s="42"/>
      <c r="K621" s="1"/>
      <c r="L621" s="11"/>
      <c r="M621" s="13"/>
      <c r="N621" s="258"/>
      <c r="O621" s="15"/>
    </row>
    <row r="622" spans="1:15" ht="25.15" customHeight="1">
      <c r="A622" s="16"/>
      <c r="B622" s="837" t="str">
        <f>'Obrazac kalkulacije'!$B$8</f>
        <v>Radna snaga:</v>
      </c>
      <c r="C622" s="837"/>
      <c r="D622" s="16"/>
      <c r="E622" s="16"/>
      <c r="F622" s="44"/>
      <c r="G622" s="18">
        <f>SUM(G623:G623)</f>
        <v>89.275499999999994</v>
      </c>
      <c r="I622" s="16"/>
      <c r="J622" s="837" t="str">
        <f>'Obrazac kalkulacije'!$B$8</f>
        <v>Radna snaga:</v>
      </c>
      <c r="K622" s="837"/>
      <c r="L622" s="16"/>
      <c r="M622" s="16"/>
      <c r="N622" s="44"/>
      <c r="O622" s="18">
        <f>SUM(O623:O623)</f>
        <v>102.26088405</v>
      </c>
    </row>
    <row r="623" spans="1:15" ht="25.15" customHeight="1">
      <c r="A623" s="32"/>
      <c r="B623" s="854" t="s">
        <v>57</v>
      </c>
      <c r="C623" s="854"/>
      <c r="D623" s="637" t="s">
        <v>51</v>
      </c>
      <c r="E623" s="104">
        <v>0.85</v>
      </c>
      <c r="F623" s="238">
        <f>SUMIF('Cjenik RS'!$C$11:$C$26,$B623,'Cjenik RS'!$D$11:$D$90)</f>
        <v>105.03</v>
      </c>
      <c r="G623" s="46">
        <f>+F623*E623</f>
        <v>89.275499999999994</v>
      </c>
      <c r="I623" s="32"/>
      <c r="J623" s="854" t="s">
        <v>57</v>
      </c>
      <c r="K623" s="854"/>
      <c r="L623" s="33" t="s">
        <v>51</v>
      </c>
      <c r="M623" s="34">
        <v>0.97363500000000003</v>
      </c>
      <c r="N623" s="44">
        <f>SUMIF('Cjenik RS'!$C$11:$C$26,J623,'Cjenik RS'!$D$11:$D$90)</f>
        <v>105.03</v>
      </c>
      <c r="O623" s="35">
        <f>+N623*M623</f>
        <v>102.26088405</v>
      </c>
    </row>
    <row r="624" spans="1:15" ht="25.15" customHeight="1">
      <c r="A624" s="16"/>
      <c r="B624" s="837" t="str">
        <f>'Obrazac kalkulacije'!$B$11</f>
        <v>Vozila, strojevi i oprema:</v>
      </c>
      <c r="C624" s="837"/>
      <c r="D624" s="16"/>
      <c r="E624" s="16"/>
      <c r="F624" s="238">
        <f>'Obrazac kalkulacije'!$F$11</f>
        <v>0</v>
      </c>
      <c r="G624" s="18">
        <f>SUM(G625:G625)</f>
        <v>53.879999999999995</v>
      </c>
      <c r="I624" s="16"/>
      <c r="J624" s="837" t="str">
        <f>'Obrazac kalkulacije'!$B$11</f>
        <v>Vozila, strojevi i oprema:</v>
      </c>
      <c r="K624" s="837"/>
      <c r="L624" s="16"/>
      <c r="M624" s="16"/>
      <c r="N624" s="238">
        <f>'Obrazac kalkulacije'!$F$11</f>
        <v>0</v>
      </c>
      <c r="O624" s="18">
        <f>SUM(O625:O625)</f>
        <v>58.256313200000001</v>
      </c>
    </row>
    <row r="625" spans="1:15" ht="25.15" customHeight="1" thickBot="1">
      <c r="A625" s="16"/>
      <c r="B625" s="838" t="s">
        <v>69</v>
      </c>
      <c r="C625" s="838"/>
      <c r="D625" s="44" t="s">
        <v>51</v>
      </c>
      <c r="E625" s="45">
        <v>0.3</v>
      </c>
      <c r="F625" s="238">
        <f>SUMIF('Cjenik VSO'!$B$9:$B$85,$B625,'Cjenik VSO'!$C$9:$C$85)</f>
        <v>179.6</v>
      </c>
      <c r="G625" s="46">
        <f>E625*F625</f>
        <v>53.879999999999995</v>
      </c>
      <c r="I625" s="43"/>
      <c r="J625" s="863" t="s">
        <v>69</v>
      </c>
      <c r="K625" s="863"/>
      <c r="L625" s="52" t="s">
        <v>51</v>
      </c>
      <c r="M625" s="53">
        <v>0.32436700000000002</v>
      </c>
      <c r="N625" s="260">
        <f>SUMIF('Cjenik VSO'!$B$9:$B$85,$B625,'Cjenik VSO'!$C$9:$C$85)</f>
        <v>179.6</v>
      </c>
      <c r="O625" s="55">
        <f>M625*N625</f>
        <v>58.256313200000001</v>
      </c>
    </row>
    <row r="626" spans="1:15" ht="25.15" customHeight="1" thickTop="1">
      <c r="A626" s="16"/>
      <c r="B626" s="837" t="str">
        <f>'Obrazac kalkulacije'!$B$15</f>
        <v>Materijali:</v>
      </c>
      <c r="C626" s="837"/>
      <c r="D626" s="16"/>
      <c r="E626" s="16"/>
      <c r="F626" s="238"/>
      <c r="G626" s="18">
        <f>SUM(G627)</f>
        <v>0</v>
      </c>
      <c r="I626" s="16"/>
      <c r="J626" s="837" t="str">
        <f>'Obrazac kalkulacije'!$B$15</f>
        <v>Materijali:</v>
      </c>
      <c r="K626" s="837"/>
      <c r="L626" s="16"/>
      <c r="M626" s="16"/>
      <c r="N626" s="238"/>
      <c r="O626" s="18"/>
    </row>
    <row r="627" spans="1:15" ht="25.15" customHeight="1" thickBot="1">
      <c r="A627" s="16"/>
      <c r="B627" s="884">
        <f>'Cjenik M'!$B$48</f>
        <v>0</v>
      </c>
      <c r="C627" s="838"/>
      <c r="D627" s="44" t="s">
        <v>441</v>
      </c>
      <c r="E627" s="45">
        <v>1</v>
      </c>
      <c r="F627" s="238">
        <f>'Cjenik M'!$D$48</f>
        <v>0</v>
      </c>
      <c r="G627" s="46">
        <f>E627*F627</f>
        <v>0</v>
      </c>
      <c r="I627" s="51"/>
      <c r="J627" s="863"/>
      <c r="K627" s="863"/>
      <c r="L627" s="52"/>
      <c r="M627" s="53"/>
      <c r="N627" s="260"/>
      <c r="O627" s="55">
        <f>M627*N627</f>
        <v>0</v>
      </c>
    </row>
    <row r="628" spans="1:15" ht="25.15" customHeight="1" thickTop="1" thickBot="1">
      <c r="E628" s="868" t="str">
        <f>'Obrazac kalkulacije'!$E$18</f>
        <v>Ukupno (kn):</v>
      </c>
      <c r="F628" s="868"/>
      <c r="G628" s="71">
        <f>ROUND(SUM(G622+G624+G626),2)</f>
        <v>143.16</v>
      </c>
      <c r="H628" s="269" t="e">
        <f>SUMIF(#REF!,$B618,#REF!)</f>
        <v>#REF!</v>
      </c>
      <c r="J628" s="47"/>
      <c r="K628" s="24"/>
      <c r="L628" s="25"/>
      <c r="M628" s="850" t="str">
        <f>'Obrazac kalkulacije'!$E$18</f>
        <v>Ukupno (kn):</v>
      </c>
      <c r="N628" s="850"/>
      <c r="O628" s="26">
        <f>ROUND(SUM(O622+O624),2)</f>
        <v>160.52000000000001</v>
      </c>
    </row>
    <row r="629" spans="1:15" ht="25.15" customHeight="1" thickTop="1" thickBot="1">
      <c r="E629" s="27" t="str">
        <f>'Obrazac kalkulacije'!$E$19</f>
        <v>PDV:</v>
      </c>
      <c r="F629" s="259">
        <f>'Obrazac kalkulacije'!$F$19</f>
        <v>0.25</v>
      </c>
      <c r="G629" s="29">
        <f>G628*F629</f>
        <v>35.79</v>
      </c>
      <c r="H629" s="270" t="e">
        <f>H628-G628</f>
        <v>#REF!</v>
      </c>
      <c r="M629" s="27" t="str">
        <f>'Obrazac kalkulacije'!$E$19</f>
        <v>PDV:</v>
      </c>
      <c r="N629" s="259">
        <f>'Obrazac kalkulacije'!$F$19</f>
        <v>0.25</v>
      </c>
      <c r="O629" s="29">
        <f>O628*N629</f>
        <v>40.130000000000003</v>
      </c>
    </row>
    <row r="630" spans="1:15" ht="25.15" customHeight="1" thickTop="1" thickBot="1">
      <c r="E630" s="840" t="str">
        <f>'Obrazac kalkulacije'!$E$20</f>
        <v>Sveukupno (kn):</v>
      </c>
      <c r="F630" s="840"/>
      <c r="G630" s="29">
        <f>ROUND(SUM(G628:G629),2)</f>
        <v>178.95</v>
      </c>
      <c r="H630" s="271" t="e">
        <f>G625+H629</f>
        <v>#REF!</v>
      </c>
      <c r="M630" s="840" t="str">
        <f>'Obrazac kalkulacije'!$E$20</f>
        <v>Sveukupno (kn):</v>
      </c>
      <c r="N630" s="840"/>
      <c r="O630" s="29">
        <f>ROUND(SUM(O628:O629),2)</f>
        <v>200.65</v>
      </c>
    </row>
    <row r="631" spans="1:15" ht="15" customHeight="1" thickTop="1"/>
    <row r="632" spans="1:15" ht="15" customHeight="1"/>
    <row r="633" spans="1:15" ht="15" customHeight="1"/>
    <row r="634" spans="1:15" ht="15" customHeight="1">
      <c r="C634" s="3" t="str">
        <f>'Obrazac kalkulacije'!$C$24</f>
        <v>IZVODITELJ:</v>
      </c>
      <c r="F634" s="841" t="str">
        <f>'Obrazac kalkulacije'!$F$24</f>
        <v>NARUČITELJ:</v>
      </c>
      <c r="G634" s="841"/>
      <c r="K634" s="3" t="str">
        <f>'Obrazac kalkulacije'!$C$24</f>
        <v>IZVODITELJ:</v>
      </c>
      <c r="N634" s="841" t="str">
        <f>'Obrazac kalkulacije'!$F$24</f>
        <v>NARUČITELJ:</v>
      </c>
      <c r="O634" s="841"/>
    </row>
    <row r="635" spans="1:15" ht="25.15" customHeight="1">
      <c r="C635" s="3" t="str">
        <f>'Obrazac kalkulacije'!$C$25</f>
        <v>__________________</v>
      </c>
      <c r="F635" s="841" t="str">
        <f>'Obrazac kalkulacije'!$F$25</f>
        <v>___________________</v>
      </c>
      <c r="G635" s="841"/>
      <c r="K635" s="3" t="str">
        <f>'Obrazac kalkulacije'!$C$25</f>
        <v>__________________</v>
      </c>
      <c r="N635" s="841" t="str">
        <f>'Obrazac kalkulacije'!$F$25</f>
        <v>___________________</v>
      </c>
      <c r="O635" s="841"/>
    </row>
    <row r="636" spans="1:15" ht="15" customHeight="1">
      <c r="F636" s="841"/>
      <c r="G636" s="841"/>
      <c r="N636" s="841"/>
      <c r="O636" s="841"/>
    </row>
    <row r="637" spans="1:15" ht="15" customHeight="1"/>
    <row r="638" spans="1:15" ht="15" customHeight="1">
      <c r="A638" s="144"/>
      <c r="B638" s="145" t="s">
        <v>39</v>
      </c>
      <c r="C638" s="836" t="s">
        <v>360</v>
      </c>
      <c r="D638" s="836"/>
      <c r="E638" s="836"/>
      <c r="F638" s="836"/>
      <c r="G638" s="836"/>
      <c r="I638" s="144"/>
      <c r="J638" s="145" t="s">
        <v>39</v>
      </c>
      <c r="K638" s="836" t="s">
        <v>360</v>
      </c>
      <c r="L638" s="836"/>
      <c r="M638" s="836"/>
      <c r="N638" s="836"/>
      <c r="O638" s="836"/>
    </row>
    <row r="639" spans="1:15" ht="15" customHeight="1">
      <c r="A639" s="38"/>
      <c r="B639" s="39" t="s">
        <v>44</v>
      </c>
      <c r="C639" s="860" t="s">
        <v>424</v>
      </c>
      <c r="D639" s="860"/>
      <c r="E639" s="860"/>
      <c r="F639" s="860"/>
      <c r="G639" s="860"/>
      <c r="I639" s="38"/>
      <c r="J639" s="39" t="s">
        <v>44</v>
      </c>
      <c r="K639" s="860" t="s">
        <v>424</v>
      </c>
      <c r="L639" s="860"/>
      <c r="M639" s="860"/>
      <c r="N639" s="860"/>
      <c r="O639" s="860"/>
    </row>
    <row r="640" spans="1:15" ht="150" customHeight="1">
      <c r="A640" s="40"/>
      <c r="B640" s="556" t="s">
        <v>445</v>
      </c>
      <c r="C640" s="852" t="s">
        <v>446</v>
      </c>
      <c r="D640" s="852"/>
      <c r="E640" s="852"/>
      <c r="F640" s="852"/>
      <c r="G640" s="852"/>
      <c r="I640" s="40"/>
      <c r="J640" s="41" t="s">
        <v>445</v>
      </c>
      <c r="K640" s="869" t="s">
        <v>447</v>
      </c>
      <c r="L640" s="869"/>
      <c r="M640" s="869"/>
      <c r="N640" s="869"/>
      <c r="O640" s="869"/>
    </row>
    <row r="641" spans="1:15" ht="15" customHeight="1" thickBot="1"/>
    <row r="642" spans="1:15" ht="30" customHeight="1" thickTop="1" thickBot="1">
      <c r="A642" s="10"/>
      <c r="B642" s="835" t="str">
        <f>'Obrazac kalkulacije'!$B$6:$C$6</f>
        <v>Opis</v>
      </c>
      <c r="C642" s="835"/>
      <c r="D642" s="10" t="str">
        <f>'Obrazac kalkulacije'!$D$6</f>
        <v>Jed.
mjere</v>
      </c>
      <c r="E642" s="10" t="str">
        <f>'Obrazac kalkulacije'!$E$6</f>
        <v>Normativ</v>
      </c>
      <c r="F642" s="10" t="str">
        <f>'Obrazac kalkulacije'!$F$6</f>
        <v>Jed.
cijena</v>
      </c>
      <c r="G642" s="10" t="str">
        <f>'Obrazac kalkulacije'!$G$6</f>
        <v>Iznos</v>
      </c>
      <c r="I642" s="10"/>
      <c r="J642" s="835" t="e">
        <f>'Obrazac kalkulacije'!$B$6:$C$6</f>
        <v>#VALUE!</v>
      </c>
      <c r="K642" s="835"/>
      <c r="L642" s="10" t="str">
        <f>'Obrazac kalkulacije'!$D$6</f>
        <v>Jed.
mjere</v>
      </c>
      <c r="M642" s="10" t="str">
        <f>'Obrazac kalkulacije'!$E$6</f>
        <v>Normativ</v>
      </c>
      <c r="N642" s="10" t="str">
        <f>'Obrazac kalkulacije'!$F$6</f>
        <v>Jed.
cijena</v>
      </c>
      <c r="O642" s="10" t="str">
        <f>'Obrazac kalkulacije'!$G$6</f>
        <v>Iznos</v>
      </c>
    </row>
    <row r="643" spans="1:15" ht="4.5" customHeight="1" thickTop="1">
      <c r="B643" s="42"/>
      <c r="C643" s="1"/>
      <c r="D643" s="11"/>
      <c r="E643" s="13"/>
      <c r="F643" s="258"/>
      <c r="G643" s="15"/>
      <c r="J643" s="42"/>
      <c r="K643" s="1"/>
      <c r="L643" s="11"/>
      <c r="M643" s="13"/>
      <c r="N643" s="258"/>
      <c r="O643" s="15"/>
    </row>
    <row r="644" spans="1:15" ht="25.15" customHeight="1">
      <c r="A644" s="16"/>
      <c r="B644" s="837" t="str">
        <f>'Obrazac kalkulacije'!$B$8</f>
        <v>Radna snaga:</v>
      </c>
      <c r="C644" s="837"/>
      <c r="D644" s="16"/>
      <c r="E644" s="16"/>
      <c r="F644" s="44"/>
      <c r="G644" s="18">
        <f>SUM(G645:G645)</f>
        <v>157.54500000000002</v>
      </c>
      <c r="I644" s="16"/>
      <c r="J644" s="837" t="str">
        <f>'Obrazac kalkulacije'!$B$8</f>
        <v>Radna snaga:</v>
      </c>
      <c r="K644" s="837"/>
      <c r="L644" s="16"/>
      <c r="M644" s="16"/>
      <c r="N644" s="44"/>
      <c r="O644" s="18">
        <f>SUM(O645:O645)</f>
        <v>156.33778518000003</v>
      </c>
    </row>
    <row r="645" spans="1:15" ht="25.15" customHeight="1">
      <c r="A645" s="32"/>
      <c r="B645" s="854" t="s">
        <v>57</v>
      </c>
      <c r="C645" s="854"/>
      <c r="D645" s="637" t="s">
        <v>51</v>
      </c>
      <c r="E645" s="104">
        <v>1.5</v>
      </c>
      <c r="F645" s="238">
        <f>SUMIF('Cjenik RS'!$C$11:$C$26,$B645,'Cjenik RS'!$D$11:$D$90)</f>
        <v>105.03</v>
      </c>
      <c r="G645" s="46">
        <f>+F645*E645</f>
        <v>157.54500000000002</v>
      </c>
      <c r="I645" s="32"/>
      <c r="J645" s="854" t="s">
        <v>57</v>
      </c>
      <c r="K645" s="854"/>
      <c r="L645" s="33" t="s">
        <v>51</v>
      </c>
      <c r="M645" s="34">
        <v>1.4885060000000001</v>
      </c>
      <c r="N645" s="44">
        <f>SUMIF('Cjenik RS'!$C$11:$C$26,J645,'Cjenik RS'!$D$11:$D$90)</f>
        <v>105.03</v>
      </c>
      <c r="O645" s="35">
        <f>+N645*M645</f>
        <v>156.33778518000003</v>
      </c>
    </row>
    <row r="646" spans="1:15" ht="25.15" customHeight="1">
      <c r="A646" s="16"/>
      <c r="B646" s="837" t="str">
        <f>'Obrazac kalkulacije'!$B$11</f>
        <v>Vozila, strojevi i oprema:</v>
      </c>
      <c r="C646" s="837"/>
      <c r="D646" s="16"/>
      <c r="E646" s="16"/>
      <c r="F646" s="238">
        <f>'Obrazac kalkulacije'!$F$11</f>
        <v>0</v>
      </c>
      <c r="G646" s="18">
        <f>SUM(G647:G647)</f>
        <v>268.38</v>
      </c>
      <c r="I646" s="16"/>
      <c r="J646" s="837" t="str">
        <f>'Obrazac kalkulacije'!$B$11</f>
        <v>Vozila, strojevi i oprema:</v>
      </c>
      <c r="K646" s="837"/>
      <c r="L646" s="16"/>
      <c r="M646" s="16"/>
      <c r="N646" s="238">
        <f>'Obrazac kalkulacije'!$F$11</f>
        <v>0</v>
      </c>
      <c r="O646" s="18">
        <f>SUM(O647:O647)</f>
        <v>266.32349352</v>
      </c>
    </row>
    <row r="647" spans="1:15" ht="25.15" customHeight="1" thickBot="1">
      <c r="A647" s="16"/>
      <c r="B647" s="838" t="s">
        <v>417</v>
      </c>
      <c r="C647" s="838"/>
      <c r="D647" s="44" t="s">
        <v>51</v>
      </c>
      <c r="E647" s="45">
        <v>0.75</v>
      </c>
      <c r="F647" s="238">
        <f>SUMIF('Cjenik VSO'!$B$9:$B$85,$B647,'Cjenik VSO'!$C$9:$C$85)</f>
        <v>357.84</v>
      </c>
      <c r="G647" s="46">
        <f>E647*F647</f>
        <v>268.38</v>
      </c>
      <c r="I647" s="43"/>
      <c r="J647" s="863" t="s">
        <v>417</v>
      </c>
      <c r="K647" s="863"/>
      <c r="L647" s="52" t="s">
        <v>51</v>
      </c>
      <c r="M647" s="53">
        <v>0.74425300000000005</v>
      </c>
      <c r="N647" s="260">
        <f>SUMIF('Cjenik VSO'!$B$9:$B$85,$B647,'Cjenik VSO'!$C$9:$C$85)</f>
        <v>357.84</v>
      </c>
      <c r="O647" s="55">
        <f>M647*N647</f>
        <v>266.32349352</v>
      </c>
    </row>
    <row r="648" spans="1:15" ht="25.15" customHeight="1" thickTop="1">
      <c r="A648" s="16"/>
      <c r="B648" s="837" t="str">
        <f>'Obrazac kalkulacije'!$B$15</f>
        <v>Materijali:</v>
      </c>
      <c r="C648" s="837"/>
      <c r="D648" s="16"/>
      <c r="E648" s="16"/>
      <c r="F648" s="238"/>
      <c r="G648" s="18">
        <f>SUM(G649)</f>
        <v>0</v>
      </c>
      <c r="I648" s="16"/>
      <c r="J648" s="837" t="str">
        <f>'Obrazac kalkulacije'!$B$15</f>
        <v>Materijali:</v>
      </c>
      <c r="K648" s="837"/>
      <c r="L648" s="16"/>
      <c r="M648" s="16"/>
      <c r="N648" s="238"/>
      <c r="O648" s="18"/>
    </row>
    <row r="649" spans="1:15" ht="25.15" customHeight="1" thickBot="1">
      <c r="A649" s="16"/>
      <c r="B649" s="884">
        <f>'Cjenik M'!$B$49</f>
        <v>0</v>
      </c>
      <c r="C649" s="838"/>
      <c r="D649" s="44" t="s">
        <v>441</v>
      </c>
      <c r="E649" s="45">
        <v>1</v>
      </c>
      <c r="F649" s="238">
        <f>'Cjenik M'!$D$49</f>
        <v>0</v>
      </c>
      <c r="G649" s="46">
        <f>E649*F649</f>
        <v>0</v>
      </c>
      <c r="I649" s="51"/>
      <c r="J649" s="863"/>
      <c r="K649" s="863"/>
      <c r="L649" s="52"/>
      <c r="M649" s="53"/>
      <c r="N649" s="260"/>
      <c r="O649" s="55">
        <f>M649*N649</f>
        <v>0</v>
      </c>
    </row>
    <row r="650" spans="1:15" ht="25.15" customHeight="1" thickTop="1" thickBot="1">
      <c r="E650" s="868" t="str">
        <f>'Obrazac kalkulacije'!$E$18</f>
        <v>Ukupno (kn):</v>
      </c>
      <c r="F650" s="868"/>
      <c r="G650" s="71">
        <f>ROUND(SUM(G644+G646+G648),2)</f>
        <v>425.93</v>
      </c>
      <c r="H650" s="269" t="e">
        <f>SUMIF(#REF!,$B640,#REF!)</f>
        <v>#REF!</v>
      </c>
      <c r="J650" s="47"/>
      <c r="K650" s="24"/>
      <c r="L650" s="25"/>
      <c r="M650" s="850" t="str">
        <f>'Obrazac kalkulacije'!$E$18</f>
        <v>Ukupno (kn):</v>
      </c>
      <c r="N650" s="850"/>
      <c r="O650" s="26">
        <f>ROUND(SUM(O644+O646),2)</f>
        <v>422.66</v>
      </c>
    </row>
    <row r="651" spans="1:15" ht="25.15" customHeight="1" thickTop="1" thickBot="1">
      <c r="E651" s="27" t="str">
        <f>'Obrazac kalkulacije'!$E$19</f>
        <v>PDV:</v>
      </c>
      <c r="F651" s="259">
        <f>'Obrazac kalkulacije'!$F$19</f>
        <v>0.25</v>
      </c>
      <c r="G651" s="29">
        <f>G650*F651</f>
        <v>106.4825</v>
      </c>
      <c r="H651" s="270" t="e">
        <f>H650-G650</f>
        <v>#REF!</v>
      </c>
      <c r="M651" s="27" t="str">
        <f>'Obrazac kalkulacije'!$E$19</f>
        <v>PDV:</v>
      </c>
      <c r="N651" s="259">
        <f>'Obrazac kalkulacije'!$F$19</f>
        <v>0.25</v>
      </c>
      <c r="O651" s="29">
        <f>O650*N651</f>
        <v>105.66500000000001</v>
      </c>
    </row>
    <row r="652" spans="1:15" ht="25.15" customHeight="1" thickTop="1" thickBot="1">
      <c r="E652" s="840" t="str">
        <f>'Obrazac kalkulacije'!$E$20</f>
        <v>Sveukupno (kn):</v>
      </c>
      <c r="F652" s="840"/>
      <c r="G652" s="29">
        <f>ROUND(SUM(G650:G651),2)</f>
        <v>532.41</v>
      </c>
      <c r="H652" s="271" t="e">
        <f>G647+H651</f>
        <v>#REF!</v>
      </c>
      <c r="M652" s="840" t="str">
        <f>'Obrazac kalkulacije'!$E$20</f>
        <v>Sveukupno (kn):</v>
      </c>
      <c r="N652" s="840"/>
      <c r="O652" s="29">
        <f>ROUND(SUM(O650:O651),2)</f>
        <v>528.33000000000004</v>
      </c>
    </row>
    <row r="653" spans="1:15" ht="15" customHeight="1" thickTop="1"/>
    <row r="654" spans="1:15" ht="15" customHeight="1"/>
    <row r="655" spans="1:15" ht="15" customHeight="1"/>
    <row r="656" spans="1:15" ht="15" customHeight="1">
      <c r="C656" s="3" t="str">
        <f>'Obrazac kalkulacije'!$C$24</f>
        <v>IZVODITELJ:</v>
      </c>
      <c r="F656" s="841" t="str">
        <f>'Obrazac kalkulacije'!$F$24</f>
        <v>NARUČITELJ:</v>
      </c>
      <c r="G656" s="841"/>
      <c r="K656" s="3" t="str">
        <f>'Obrazac kalkulacije'!$C$24</f>
        <v>IZVODITELJ:</v>
      </c>
      <c r="N656" s="841" t="str">
        <f>'Obrazac kalkulacije'!$F$24</f>
        <v>NARUČITELJ:</v>
      </c>
      <c r="O656" s="841"/>
    </row>
    <row r="657" spans="1:15" ht="25.15" customHeight="1">
      <c r="C657" s="3" t="str">
        <f>'Obrazac kalkulacije'!$C$25</f>
        <v>__________________</v>
      </c>
      <c r="F657" s="841" t="str">
        <f>'Obrazac kalkulacije'!$F$25</f>
        <v>___________________</v>
      </c>
      <c r="G657" s="841"/>
      <c r="K657" s="3" t="str">
        <f>'Obrazac kalkulacije'!$C$25</f>
        <v>__________________</v>
      </c>
      <c r="N657" s="841" t="str">
        <f>'Obrazac kalkulacije'!$F$25</f>
        <v>___________________</v>
      </c>
      <c r="O657" s="841"/>
    </row>
    <row r="658" spans="1:15" ht="15" customHeight="1">
      <c r="F658" s="841"/>
      <c r="G658" s="841"/>
      <c r="N658" s="841"/>
      <c r="O658" s="841"/>
    </row>
    <row r="659" spans="1:15" ht="15" customHeight="1"/>
    <row r="660" spans="1:15" ht="15" customHeight="1">
      <c r="A660" s="144"/>
      <c r="B660" s="145" t="s">
        <v>39</v>
      </c>
      <c r="C660" s="836" t="s">
        <v>360</v>
      </c>
      <c r="D660" s="836"/>
      <c r="E660" s="836"/>
      <c r="F660" s="836"/>
      <c r="G660" s="836"/>
      <c r="I660" s="144"/>
      <c r="J660" s="145" t="s">
        <v>39</v>
      </c>
      <c r="K660" s="836" t="s">
        <v>360</v>
      </c>
      <c r="L660" s="836"/>
      <c r="M660" s="836"/>
      <c r="N660" s="836"/>
      <c r="O660" s="836"/>
    </row>
    <row r="661" spans="1:15" ht="15" customHeight="1">
      <c r="A661" s="38"/>
      <c r="B661" s="39" t="s">
        <v>44</v>
      </c>
      <c r="C661" s="860" t="s">
        <v>424</v>
      </c>
      <c r="D661" s="860"/>
      <c r="E661" s="860"/>
      <c r="F661" s="860"/>
      <c r="G661" s="860"/>
      <c r="I661" s="38"/>
      <c r="J661" s="39" t="s">
        <v>44</v>
      </c>
      <c r="K661" s="860" t="s">
        <v>424</v>
      </c>
      <c r="L661" s="860"/>
      <c r="M661" s="860"/>
      <c r="N661" s="860"/>
      <c r="O661" s="860"/>
    </row>
    <row r="662" spans="1:15" ht="150" customHeight="1">
      <c r="A662" s="40"/>
      <c r="B662" s="556" t="s">
        <v>448</v>
      </c>
      <c r="C662" s="852" t="s">
        <v>449</v>
      </c>
      <c r="D662" s="852"/>
      <c r="E662" s="852"/>
      <c r="F662" s="852"/>
      <c r="G662" s="852"/>
      <c r="I662" s="40"/>
      <c r="J662" s="41" t="s">
        <v>448</v>
      </c>
      <c r="K662" s="869" t="s">
        <v>450</v>
      </c>
      <c r="L662" s="869"/>
      <c r="M662" s="869"/>
      <c r="N662" s="869"/>
      <c r="O662" s="869"/>
    </row>
    <row r="663" spans="1:15" ht="15" customHeight="1" thickBot="1"/>
    <row r="664" spans="1:15" ht="30" customHeight="1" thickTop="1" thickBot="1">
      <c r="A664" s="10"/>
      <c r="B664" s="835" t="str">
        <f>'Obrazac kalkulacije'!$B$6:$C$6</f>
        <v>Opis</v>
      </c>
      <c r="C664" s="835"/>
      <c r="D664" s="10" t="str">
        <f>'Obrazac kalkulacije'!$D$6</f>
        <v>Jed.
mjere</v>
      </c>
      <c r="E664" s="10" t="str">
        <f>'Obrazac kalkulacije'!$E$6</f>
        <v>Normativ</v>
      </c>
      <c r="F664" s="10" t="str">
        <f>'Obrazac kalkulacije'!$F$6</f>
        <v>Jed.
cijena</v>
      </c>
      <c r="G664" s="10" t="str">
        <f>'Obrazac kalkulacije'!$G$6</f>
        <v>Iznos</v>
      </c>
      <c r="I664" s="10"/>
      <c r="J664" s="835" t="e">
        <f>'Obrazac kalkulacije'!$B$6:$C$6</f>
        <v>#VALUE!</v>
      </c>
      <c r="K664" s="835"/>
      <c r="L664" s="10" t="str">
        <f>'Obrazac kalkulacije'!$D$6</f>
        <v>Jed.
mjere</v>
      </c>
      <c r="M664" s="10" t="str">
        <f>'Obrazac kalkulacije'!$E$6</f>
        <v>Normativ</v>
      </c>
      <c r="N664" s="10" t="str">
        <f>'Obrazac kalkulacije'!$F$6</f>
        <v>Jed.
cijena</v>
      </c>
      <c r="O664" s="10" t="str">
        <f>'Obrazac kalkulacije'!$G$6</f>
        <v>Iznos</v>
      </c>
    </row>
    <row r="665" spans="1:15" ht="4.5" customHeight="1" thickTop="1">
      <c r="B665" s="42"/>
      <c r="C665" s="1"/>
      <c r="D665" s="11"/>
      <c r="E665" s="13"/>
      <c r="F665" s="258"/>
      <c r="G665" s="15"/>
      <c r="J665" s="42"/>
      <c r="K665" s="1"/>
      <c r="L665" s="11"/>
      <c r="M665" s="13"/>
      <c r="N665" s="258"/>
      <c r="O665" s="15"/>
    </row>
    <row r="666" spans="1:15" ht="25.15" customHeight="1">
      <c r="A666" s="16"/>
      <c r="B666" s="837" t="str">
        <f>'Obrazac kalkulacije'!$B$8</f>
        <v>Radna snaga:</v>
      </c>
      <c r="C666" s="837"/>
      <c r="D666" s="16"/>
      <c r="E666" s="16"/>
      <c r="F666" s="44"/>
      <c r="G666" s="18">
        <f>SUM(G667:G667)</f>
        <v>228.16864242</v>
      </c>
      <c r="I666" s="16"/>
      <c r="J666" s="837" t="str">
        <f>'Obrazac kalkulacije'!$B$8</f>
        <v>Radna snaga:</v>
      </c>
      <c r="K666" s="837"/>
      <c r="L666" s="16"/>
      <c r="M666" s="16"/>
      <c r="N666" s="44"/>
      <c r="O666" s="18">
        <f>SUM(O667:O667)</f>
        <v>228.16864242</v>
      </c>
    </row>
    <row r="667" spans="1:15" ht="25.15" customHeight="1">
      <c r="A667" s="32"/>
      <c r="B667" s="854" t="s">
        <v>57</v>
      </c>
      <c r="C667" s="854"/>
      <c r="D667" s="637" t="s">
        <v>51</v>
      </c>
      <c r="E667" s="34">
        <v>2.1724139999999998</v>
      </c>
      <c r="F667" s="238">
        <f>SUMIF('Cjenik RS'!$C$11:$C$26,$B667,'Cjenik RS'!$D$11:$D$90)</f>
        <v>105.03</v>
      </c>
      <c r="G667" s="46">
        <f>+F667*E667</f>
        <v>228.16864242</v>
      </c>
      <c r="I667" s="32"/>
      <c r="J667" s="854" t="s">
        <v>57</v>
      </c>
      <c r="K667" s="854"/>
      <c r="L667" s="33" t="s">
        <v>51</v>
      </c>
      <c r="M667" s="34">
        <v>2.1724139999999998</v>
      </c>
      <c r="N667" s="44">
        <f>SUMIF('Cjenik RS'!$C$11:$C$26,J667,'Cjenik RS'!$D$11:$D$90)</f>
        <v>105.03</v>
      </c>
      <c r="O667" s="35">
        <f>+N667*M667</f>
        <v>228.16864242</v>
      </c>
    </row>
    <row r="668" spans="1:15" ht="25.15" customHeight="1">
      <c r="A668" s="16"/>
      <c r="B668" s="837" t="str">
        <f>'Obrazac kalkulacije'!$B$11</f>
        <v>Vozila, strojevi i oprema:</v>
      </c>
      <c r="C668" s="837"/>
      <c r="D668" s="16"/>
      <c r="E668" s="16"/>
      <c r="F668" s="238">
        <f>'Obrazac kalkulacije'!$F$11</f>
        <v>0</v>
      </c>
      <c r="G668" s="18">
        <f>SUM(G669:G669)</f>
        <v>388.68831287999996</v>
      </c>
      <c r="I668" s="16"/>
      <c r="J668" s="837" t="str">
        <f>'Obrazac kalkulacije'!$B$11</f>
        <v>Vozila, strojevi i oprema:</v>
      </c>
      <c r="K668" s="837"/>
      <c r="L668" s="16"/>
      <c r="M668" s="16"/>
      <c r="N668" s="238">
        <f>'Obrazac kalkulacije'!$F$11</f>
        <v>0</v>
      </c>
      <c r="O668" s="18">
        <f>SUM(O669:O669)</f>
        <v>388.68831287999996</v>
      </c>
    </row>
    <row r="669" spans="1:15" ht="25.15" customHeight="1" thickBot="1">
      <c r="A669" s="16"/>
      <c r="B669" s="838" t="s">
        <v>417</v>
      </c>
      <c r="C669" s="838"/>
      <c r="D669" s="44" t="s">
        <v>51</v>
      </c>
      <c r="E669" s="53">
        <v>1.0862069999999999</v>
      </c>
      <c r="F669" s="238">
        <f>SUMIF('Cjenik VSO'!$B$9:$B$85,$B669,'Cjenik VSO'!$C$9:$C$85)</f>
        <v>357.84</v>
      </c>
      <c r="G669" s="46">
        <f>E669*F669</f>
        <v>388.68831287999996</v>
      </c>
      <c r="I669" s="43"/>
      <c r="J669" s="863" t="s">
        <v>417</v>
      </c>
      <c r="K669" s="863"/>
      <c r="L669" s="52" t="s">
        <v>51</v>
      </c>
      <c r="M669" s="53">
        <v>1.0862069999999999</v>
      </c>
      <c r="N669" s="260">
        <f>SUMIF('Cjenik VSO'!$B$9:$B$85,$B669,'Cjenik VSO'!$C$9:$C$85)</f>
        <v>357.84</v>
      </c>
      <c r="O669" s="55">
        <f>M669*N669</f>
        <v>388.68831287999996</v>
      </c>
    </row>
    <row r="670" spans="1:15" ht="25.15" customHeight="1" thickTop="1">
      <c r="A670" s="16"/>
      <c r="B670" s="837" t="str">
        <f>'Obrazac kalkulacije'!$B$15</f>
        <v>Materijali:</v>
      </c>
      <c r="C670" s="837"/>
      <c r="D670" s="16"/>
      <c r="E670" s="16"/>
      <c r="F670" s="238"/>
      <c r="G670" s="18">
        <f>SUM(G671)</f>
        <v>0</v>
      </c>
      <c r="I670" s="16"/>
      <c r="J670" s="837" t="str">
        <f>'Obrazac kalkulacije'!$B$15</f>
        <v>Materijali:</v>
      </c>
      <c r="K670" s="837"/>
      <c r="L670" s="16"/>
      <c r="M670" s="16"/>
      <c r="N670" s="238"/>
      <c r="O670" s="18"/>
    </row>
    <row r="671" spans="1:15" ht="25.15" customHeight="1" thickBot="1">
      <c r="A671" s="16"/>
      <c r="B671" s="884">
        <f>'Cjenik M'!$B$50</f>
        <v>0</v>
      </c>
      <c r="C671" s="838"/>
      <c r="D671" s="44" t="s">
        <v>441</v>
      </c>
      <c r="E671" s="45">
        <v>1</v>
      </c>
      <c r="F671" s="238">
        <f>'Cjenik M'!$D$50</f>
        <v>0</v>
      </c>
      <c r="G671" s="46">
        <f>E671*F671</f>
        <v>0</v>
      </c>
      <c r="I671" s="51"/>
      <c r="J671" s="863"/>
      <c r="K671" s="863"/>
      <c r="L671" s="52"/>
      <c r="M671" s="53"/>
      <c r="N671" s="260"/>
      <c r="O671" s="55">
        <f>M671*N671</f>
        <v>0</v>
      </c>
    </row>
    <row r="672" spans="1:15" ht="25.15" customHeight="1" thickTop="1" thickBot="1">
      <c r="E672" s="868" t="str">
        <f>'Obrazac kalkulacije'!$E$18</f>
        <v>Ukupno (kn):</v>
      </c>
      <c r="F672" s="868"/>
      <c r="G672" s="71">
        <f>ROUND(SUM(G666+G668+G670),2)</f>
        <v>616.86</v>
      </c>
      <c r="H672" s="269" t="e">
        <f>SUMIF(#REF!,$B662,#REF!)</f>
        <v>#REF!</v>
      </c>
      <c r="J672" s="47"/>
      <c r="K672" s="24"/>
      <c r="L672" s="25"/>
      <c r="M672" s="850" t="str">
        <f>'Obrazac kalkulacije'!$E$18</f>
        <v>Ukupno (kn):</v>
      </c>
      <c r="N672" s="850"/>
      <c r="O672" s="26">
        <f>ROUND(SUM(O666+O668),2)</f>
        <v>616.86</v>
      </c>
    </row>
    <row r="673" spans="1:15" ht="25.15" customHeight="1" thickTop="1" thickBot="1">
      <c r="E673" s="27" t="str">
        <f>'Obrazac kalkulacije'!$E$19</f>
        <v>PDV:</v>
      </c>
      <c r="F673" s="259">
        <f>'Obrazac kalkulacije'!$F$19</f>
        <v>0.25</v>
      </c>
      <c r="G673" s="29">
        <f>G672*F673</f>
        <v>154.215</v>
      </c>
      <c r="H673" s="270" t="e">
        <f>H672-G672</f>
        <v>#REF!</v>
      </c>
      <c r="M673" s="27" t="str">
        <f>'Obrazac kalkulacije'!$E$19</f>
        <v>PDV:</v>
      </c>
      <c r="N673" s="259">
        <f>'Obrazac kalkulacije'!$F$19</f>
        <v>0.25</v>
      </c>
      <c r="O673" s="29">
        <f>O672*N673</f>
        <v>154.215</v>
      </c>
    </row>
    <row r="674" spans="1:15" ht="25.15" customHeight="1" thickTop="1" thickBot="1">
      <c r="E674" s="840" t="str">
        <f>'Obrazac kalkulacije'!$E$20</f>
        <v>Sveukupno (kn):</v>
      </c>
      <c r="F674" s="840"/>
      <c r="G674" s="29">
        <f>ROUND(SUM(G672:G673),2)</f>
        <v>771.08</v>
      </c>
      <c r="H674" s="271" t="e">
        <f>G669+H673</f>
        <v>#REF!</v>
      </c>
      <c r="M674" s="840" t="str">
        <f>'Obrazac kalkulacije'!$E$20</f>
        <v>Sveukupno (kn):</v>
      </c>
      <c r="N674" s="840"/>
      <c r="O674" s="29">
        <f>ROUND(SUM(O672:O673),2)</f>
        <v>771.08</v>
      </c>
    </row>
    <row r="675" spans="1:15" ht="15" customHeight="1" thickTop="1"/>
    <row r="676" spans="1:15" ht="15" customHeight="1"/>
    <row r="677" spans="1:15" ht="15" customHeight="1"/>
    <row r="678" spans="1:15" ht="15" customHeight="1">
      <c r="C678" s="3" t="str">
        <f>'Obrazac kalkulacije'!$C$24</f>
        <v>IZVODITELJ:</v>
      </c>
      <c r="F678" s="841" t="str">
        <f>'Obrazac kalkulacije'!$F$24</f>
        <v>NARUČITELJ:</v>
      </c>
      <c r="G678" s="841"/>
      <c r="K678" s="3" t="str">
        <f>'Obrazac kalkulacije'!$C$24</f>
        <v>IZVODITELJ:</v>
      </c>
      <c r="N678" s="841" t="str">
        <f>'Obrazac kalkulacije'!$F$24</f>
        <v>NARUČITELJ:</v>
      </c>
      <c r="O678" s="841"/>
    </row>
    <row r="679" spans="1:15" ht="25.15" customHeight="1">
      <c r="C679" s="3" t="str">
        <f>'Obrazac kalkulacije'!$C$25</f>
        <v>__________________</v>
      </c>
      <c r="F679" s="841" t="str">
        <f>'Obrazac kalkulacije'!$F$25</f>
        <v>___________________</v>
      </c>
      <c r="G679" s="841"/>
      <c r="K679" s="3" t="str">
        <f>'Obrazac kalkulacije'!$C$25</f>
        <v>__________________</v>
      </c>
      <c r="N679" s="841" t="str">
        <f>'Obrazac kalkulacije'!$F$25</f>
        <v>___________________</v>
      </c>
      <c r="O679" s="841"/>
    </row>
    <row r="680" spans="1:15" ht="15" customHeight="1">
      <c r="F680" s="841"/>
      <c r="G680" s="841"/>
      <c r="N680" s="841"/>
      <c r="O680" s="841"/>
    </row>
    <row r="681" spans="1:15" ht="15" customHeight="1"/>
    <row r="682" spans="1:15" ht="15" customHeight="1">
      <c r="A682" s="144"/>
      <c r="B682" s="145" t="s">
        <v>39</v>
      </c>
      <c r="C682" s="836" t="s">
        <v>360</v>
      </c>
      <c r="D682" s="836"/>
      <c r="E682" s="836"/>
      <c r="F682" s="836"/>
      <c r="G682" s="836"/>
      <c r="I682" s="144"/>
      <c r="J682" s="145" t="s">
        <v>39</v>
      </c>
      <c r="K682" s="836" t="s">
        <v>360</v>
      </c>
      <c r="L682" s="836"/>
      <c r="M682" s="836"/>
      <c r="N682" s="836"/>
      <c r="O682" s="836"/>
    </row>
    <row r="683" spans="1:15" ht="15" customHeight="1">
      <c r="A683" s="38"/>
      <c r="B683" s="39" t="s">
        <v>44</v>
      </c>
      <c r="C683" s="860" t="s">
        <v>424</v>
      </c>
      <c r="D683" s="860"/>
      <c r="E683" s="860"/>
      <c r="F683" s="860"/>
      <c r="G683" s="860"/>
      <c r="I683" s="38"/>
      <c r="J683" s="39" t="s">
        <v>44</v>
      </c>
      <c r="K683" s="860" t="s">
        <v>424</v>
      </c>
      <c r="L683" s="860"/>
      <c r="M683" s="860"/>
      <c r="N683" s="860"/>
      <c r="O683" s="860"/>
    </row>
    <row r="684" spans="1:15" ht="150" customHeight="1">
      <c r="A684" s="40"/>
      <c r="B684" s="556" t="s">
        <v>451</v>
      </c>
      <c r="C684" s="852" t="s">
        <v>452</v>
      </c>
      <c r="D684" s="852"/>
      <c r="E684" s="852"/>
      <c r="F684" s="852"/>
      <c r="G684" s="852"/>
      <c r="I684" s="40"/>
      <c r="J684" s="41" t="s">
        <v>451</v>
      </c>
      <c r="K684" s="869" t="s">
        <v>453</v>
      </c>
      <c r="L684" s="869"/>
      <c r="M684" s="869"/>
      <c r="N684" s="869"/>
      <c r="O684" s="869"/>
    </row>
    <row r="685" spans="1:15" ht="15" customHeight="1" thickBot="1"/>
    <row r="686" spans="1:15" ht="30" customHeight="1" thickTop="1" thickBot="1">
      <c r="A686" s="10"/>
      <c r="B686" s="835" t="str">
        <f>'Obrazac kalkulacije'!$B$6:$C$6</f>
        <v>Opis</v>
      </c>
      <c r="C686" s="835"/>
      <c r="D686" s="10" t="str">
        <f>'Obrazac kalkulacije'!$D$6</f>
        <v>Jed.
mjere</v>
      </c>
      <c r="E686" s="10" t="str">
        <f>'Obrazac kalkulacije'!$E$6</f>
        <v>Normativ</v>
      </c>
      <c r="F686" s="10" t="str">
        <f>'Obrazac kalkulacije'!$F$6</f>
        <v>Jed.
cijena</v>
      </c>
      <c r="G686" s="10" t="str">
        <f>'Obrazac kalkulacije'!$G$6</f>
        <v>Iznos</v>
      </c>
      <c r="I686" s="10"/>
      <c r="J686" s="835" t="e">
        <f>'Obrazac kalkulacije'!$B$6:$C$6</f>
        <v>#VALUE!</v>
      </c>
      <c r="K686" s="835"/>
      <c r="L686" s="10" t="str">
        <f>'Obrazac kalkulacije'!$D$6</f>
        <v>Jed.
mjere</v>
      </c>
      <c r="M686" s="10" t="str">
        <f>'Obrazac kalkulacije'!$E$6</f>
        <v>Normativ</v>
      </c>
      <c r="N686" s="10" t="str">
        <f>'Obrazac kalkulacije'!$F$6</f>
        <v>Jed.
cijena</v>
      </c>
      <c r="O686" s="10" t="str">
        <f>'Obrazac kalkulacije'!$G$6</f>
        <v>Iznos</v>
      </c>
    </row>
    <row r="687" spans="1:15" ht="4.5" customHeight="1" thickTop="1">
      <c r="B687" s="42"/>
      <c r="C687" s="1"/>
      <c r="D687" s="11"/>
      <c r="E687" s="13"/>
      <c r="F687" s="258"/>
      <c r="G687" s="15"/>
      <c r="J687" s="42"/>
      <c r="K687" s="1"/>
      <c r="L687" s="11"/>
      <c r="M687" s="13"/>
      <c r="N687" s="258"/>
      <c r="O687" s="15"/>
    </row>
    <row r="688" spans="1:15" ht="25.15" customHeight="1">
      <c r="A688" s="16"/>
      <c r="B688" s="837" t="str">
        <f>'Obrazac kalkulacije'!$B$8</f>
        <v>Radna snaga:</v>
      </c>
      <c r="C688" s="837"/>
      <c r="D688" s="16"/>
      <c r="E688" s="16"/>
      <c r="F688" s="44"/>
      <c r="G688" s="18">
        <f>SUM(G689:G689)</f>
        <v>30.286660860000001</v>
      </c>
      <c r="I688" s="16"/>
      <c r="J688" s="837" t="str">
        <f>'Obrazac kalkulacije'!$B$8</f>
        <v>Radna snaga:</v>
      </c>
      <c r="K688" s="837"/>
      <c r="L688" s="16"/>
      <c r="M688" s="16"/>
      <c r="N688" s="44"/>
      <c r="O688" s="18">
        <f>SUM(O689:O689)</f>
        <v>14.48689293</v>
      </c>
    </row>
    <row r="689" spans="1:15" ht="25.15" customHeight="1">
      <c r="A689" s="32"/>
      <c r="B689" s="854" t="s">
        <v>57</v>
      </c>
      <c r="C689" s="854"/>
      <c r="D689" s="637" t="s">
        <v>51</v>
      </c>
      <c r="E689" s="104">
        <f>E691*2</f>
        <v>0.28836200000000001</v>
      </c>
      <c r="F689" s="238">
        <f>SUMIF('Cjenik RS'!$C$11:$C$26,$B689,'Cjenik RS'!$D$11:$D$90)</f>
        <v>105.03</v>
      </c>
      <c r="G689" s="46">
        <f>+F689*E689</f>
        <v>30.286660860000001</v>
      </c>
      <c r="I689" s="32"/>
      <c r="J689" s="854" t="s">
        <v>57</v>
      </c>
      <c r="K689" s="854"/>
      <c r="L689" s="33" t="s">
        <v>51</v>
      </c>
      <c r="M689" s="34">
        <v>0.137931</v>
      </c>
      <c r="N689" s="44">
        <f>SUMIF('Cjenik RS'!$C$11:$C$26,J689,'Cjenik RS'!$D$11:$D$90)</f>
        <v>105.03</v>
      </c>
      <c r="O689" s="35">
        <f>+N689*M689</f>
        <v>14.48689293</v>
      </c>
    </row>
    <row r="690" spans="1:15" ht="25.15" customHeight="1">
      <c r="A690" s="16"/>
      <c r="B690" s="837" t="str">
        <f>'Obrazac kalkulacije'!$B$11</f>
        <v>Vozila, strojevi i oprema:</v>
      </c>
      <c r="C690" s="837"/>
      <c r="D690" s="16"/>
      <c r="E690" s="16"/>
      <c r="F690" s="238">
        <f>'Obrazac kalkulacije'!$F$11</f>
        <v>0</v>
      </c>
      <c r="G690" s="18">
        <f>SUM(G691:G693)</f>
        <v>94.207865400000003</v>
      </c>
      <c r="I690" s="16"/>
      <c r="J690" s="837" t="str">
        <f>'Obrazac kalkulacije'!$B$11</f>
        <v>Vozila, strojevi i oprema:</v>
      </c>
      <c r="K690" s="837"/>
      <c r="L690" s="16"/>
      <c r="M690" s="16"/>
      <c r="N690" s="238">
        <f>'Obrazac kalkulacije'!$F$11</f>
        <v>0</v>
      </c>
      <c r="O690" s="18">
        <f>SUM(O691:O693)</f>
        <v>92.461802900000009</v>
      </c>
    </row>
    <row r="691" spans="1:15" ht="25.15" customHeight="1">
      <c r="A691" s="16"/>
      <c r="B691" s="838" t="s">
        <v>73</v>
      </c>
      <c r="C691" s="838"/>
      <c r="D691" s="44" t="s">
        <v>51</v>
      </c>
      <c r="E691" s="45">
        <v>0.144181</v>
      </c>
      <c r="F691" s="238">
        <f>SUMIF('Cjenik VSO'!$B$9:$B$85,$B691,'Cjenik VSO'!$C$9:$C$85)</f>
        <v>291.72000000000003</v>
      </c>
      <c r="G691" s="46">
        <f>E691*F691</f>
        <v>42.060481320000008</v>
      </c>
      <c r="I691" s="51"/>
      <c r="J691" s="863" t="s">
        <v>73</v>
      </c>
      <c r="K691" s="863"/>
      <c r="L691" s="52" t="s">
        <v>51</v>
      </c>
      <c r="M691" s="53">
        <v>0.144181</v>
      </c>
      <c r="N691" s="260">
        <f>SUMIF('Cjenik VSO'!$B$9:$B$85,$B691,'Cjenik VSO'!$C$9:$C$85)</f>
        <v>291.72000000000003</v>
      </c>
      <c r="O691" s="55">
        <f>M691*N691</f>
        <v>42.060481320000008</v>
      </c>
    </row>
    <row r="692" spans="1:15" ht="25.15" customHeight="1">
      <c r="A692" s="16"/>
      <c r="B692" s="838" t="s">
        <v>454</v>
      </c>
      <c r="C692" s="838"/>
      <c r="D692" s="44" t="s">
        <v>51</v>
      </c>
      <c r="E692" s="45">
        <v>0.144181</v>
      </c>
      <c r="F692" s="238">
        <f>SUMIF('Cjenik VSO'!$B$9:$B$85,$B692,'Cjenik VSO'!$C$9:$C$85)</f>
        <v>82.31</v>
      </c>
      <c r="G692" s="46">
        <f>E692*F692</f>
        <v>11.86753811</v>
      </c>
      <c r="I692" s="51"/>
      <c r="J692" s="863" t="s">
        <v>73</v>
      </c>
      <c r="K692" s="863"/>
      <c r="L692" s="52" t="s">
        <v>51</v>
      </c>
      <c r="M692" s="53">
        <v>0.144181</v>
      </c>
      <c r="N692" s="260">
        <f>SUMIF('Cjenik VSO'!$B$9:$B$85,$B692,'Cjenik VSO'!$C$9:$C$85)</f>
        <v>82.31</v>
      </c>
      <c r="O692" s="55">
        <f>M692*N692</f>
        <v>11.86753811</v>
      </c>
    </row>
    <row r="693" spans="1:15" ht="25.15" customHeight="1" thickBot="1">
      <c r="A693" s="632"/>
      <c r="B693" s="881" t="s">
        <v>97</v>
      </c>
      <c r="C693" s="881"/>
      <c r="D693" s="633" t="s">
        <v>51</v>
      </c>
      <c r="E693" s="139">
        <v>0.144181</v>
      </c>
      <c r="F693" s="635">
        <f>SUMIF('Cjenik VSO'!$B$9:$B$85,$B693,'Cjenik VSO'!$C$9:$C$85)</f>
        <v>279.37</v>
      </c>
      <c r="G693" s="636">
        <f>E693*F693</f>
        <v>40.279845970000004</v>
      </c>
      <c r="I693" s="66"/>
      <c r="J693" s="859" t="s">
        <v>217</v>
      </c>
      <c r="K693" s="859"/>
      <c r="L693" s="67" t="s">
        <v>51</v>
      </c>
      <c r="M693" s="68">
        <v>0.137931</v>
      </c>
      <c r="N693" s="262">
        <f>SUMIF('Cjenik VSO'!$B$9:$B$85,$B693,'Cjenik VSO'!$C$9:$C$85)</f>
        <v>279.37</v>
      </c>
      <c r="O693" s="70">
        <f>M693*N693</f>
        <v>38.533783470000003</v>
      </c>
    </row>
    <row r="694" spans="1:15" ht="25.15" customHeight="1" thickTop="1" thickBot="1">
      <c r="B694" s="47"/>
      <c r="C694" s="24"/>
      <c r="D694" s="25"/>
      <c r="E694" s="850" t="str">
        <f>'Obrazac kalkulacije'!$E$18</f>
        <v>Ukupno (kn):</v>
      </c>
      <c r="F694" s="850"/>
      <c r="G694" s="26">
        <f>ROUND(SUM(G688+G690),2)</f>
        <v>124.49</v>
      </c>
      <c r="H694" s="269" t="e">
        <f>SUMIF(#REF!,$B684,#REF!)</f>
        <v>#REF!</v>
      </c>
      <c r="J694" s="47"/>
      <c r="K694" s="24"/>
      <c r="L694" s="25"/>
      <c r="M694" s="850" t="str">
        <f>'Obrazac kalkulacije'!$E$18</f>
        <v>Ukupno (kn):</v>
      </c>
      <c r="N694" s="850"/>
      <c r="O694" s="26">
        <f>ROUND(SUM(O688+O690),2)</f>
        <v>106.95</v>
      </c>
    </row>
    <row r="695" spans="1:15" ht="25.15" customHeight="1" thickTop="1" thickBot="1">
      <c r="E695" s="27" t="str">
        <f>'Obrazac kalkulacije'!$E$19</f>
        <v>PDV:</v>
      </c>
      <c r="F695" s="259">
        <f>'Obrazac kalkulacije'!$F$19</f>
        <v>0.25</v>
      </c>
      <c r="G695" s="29">
        <f>G694*F695</f>
        <v>31.122499999999999</v>
      </c>
      <c r="H695" s="270" t="e">
        <f>H694-G694</f>
        <v>#REF!</v>
      </c>
      <c r="M695" s="27" t="str">
        <f>'Obrazac kalkulacije'!$E$19</f>
        <v>PDV:</v>
      </c>
      <c r="N695" s="259">
        <f>'Obrazac kalkulacije'!$F$19</f>
        <v>0.25</v>
      </c>
      <c r="O695" s="29">
        <f>O694*N695</f>
        <v>26.737500000000001</v>
      </c>
    </row>
    <row r="696" spans="1:15" ht="25.15" customHeight="1" thickTop="1" thickBot="1">
      <c r="E696" s="840" t="str">
        <f>'Obrazac kalkulacije'!$E$20</f>
        <v>Sveukupno (kn):</v>
      </c>
      <c r="F696" s="840"/>
      <c r="G696" s="29">
        <f>ROUND(SUM(G694:G695),2)</f>
        <v>155.61000000000001</v>
      </c>
      <c r="H696" s="271" t="e">
        <f>G693+H695</f>
        <v>#REF!</v>
      </c>
      <c r="M696" s="840" t="str">
        <f>'Obrazac kalkulacije'!$E$20</f>
        <v>Sveukupno (kn):</v>
      </c>
      <c r="N696" s="840"/>
      <c r="O696" s="29">
        <f>ROUND(SUM(O694:O695),2)</f>
        <v>133.69</v>
      </c>
    </row>
    <row r="697" spans="1:15" ht="15" customHeight="1" thickTop="1"/>
    <row r="698" spans="1:15" ht="15" customHeight="1"/>
    <row r="699" spans="1:15" ht="15" customHeight="1"/>
    <row r="700" spans="1:15" ht="15" customHeight="1">
      <c r="C700" s="3" t="str">
        <f>'Obrazac kalkulacije'!$C$24</f>
        <v>IZVODITELJ:</v>
      </c>
      <c r="F700" s="841" t="str">
        <f>'Obrazac kalkulacije'!$F$24</f>
        <v>NARUČITELJ:</v>
      </c>
      <c r="G700" s="841"/>
      <c r="K700" s="3" t="str">
        <f>'Obrazac kalkulacije'!$C$24</f>
        <v>IZVODITELJ:</v>
      </c>
      <c r="N700" s="841" t="str">
        <f>'Obrazac kalkulacije'!$F$24</f>
        <v>NARUČITELJ:</v>
      </c>
      <c r="O700" s="841"/>
    </row>
    <row r="701" spans="1:15" ht="25.15" customHeight="1">
      <c r="C701" s="3" t="str">
        <f>'Obrazac kalkulacije'!$C$25</f>
        <v>__________________</v>
      </c>
      <c r="F701" s="841" t="str">
        <f>'Obrazac kalkulacije'!$F$25</f>
        <v>___________________</v>
      </c>
      <c r="G701" s="841"/>
      <c r="K701" s="3" t="str">
        <f>'Obrazac kalkulacije'!$C$25</f>
        <v>__________________</v>
      </c>
      <c r="N701" s="841" t="str">
        <f>'Obrazac kalkulacije'!$F$25</f>
        <v>___________________</v>
      </c>
      <c r="O701" s="841"/>
    </row>
    <row r="702" spans="1:15" ht="15" customHeight="1">
      <c r="F702" s="841"/>
      <c r="G702" s="841"/>
      <c r="N702" s="841"/>
      <c r="O702" s="841"/>
    </row>
    <row r="703" spans="1:15" ht="15" customHeight="1"/>
    <row r="704" spans="1:15" ht="15" customHeight="1">
      <c r="A704" s="144"/>
      <c r="B704" s="145" t="s">
        <v>39</v>
      </c>
      <c r="C704" s="836" t="s">
        <v>360</v>
      </c>
      <c r="D704" s="836"/>
      <c r="E704" s="836"/>
      <c r="F704" s="836"/>
      <c r="G704" s="836"/>
      <c r="I704" s="144"/>
      <c r="J704" s="145" t="s">
        <v>39</v>
      </c>
      <c r="K704" s="836" t="s">
        <v>360</v>
      </c>
      <c r="L704" s="836"/>
      <c r="M704" s="836"/>
      <c r="N704" s="836"/>
      <c r="O704" s="836"/>
    </row>
    <row r="705" spans="1:15" ht="15" customHeight="1">
      <c r="A705" s="38"/>
      <c r="B705" s="39" t="s">
        <v>44</v>
      </c>
      <c r="C705" s="860" t="s">
        <v>424</v>
      </c>
      <c r="D705" s="860"/>
      <c r="E705" s="860"/>
      <c r="F705" s="860"/>
      <c r="G705" s="860"/>
      <c r="I705" s="38"/>
      <c r="J705" s="39" t="s">
        <v>44</v>
      </c>
      <c r="K705" s="860" t="s">
        <v>424</v>
      </c>
      <c r="L705" s="860"/>
      <c r="M705" s="860"/>
      <c r="N705" s="860"/>
      <c r="O705" s="860"/>
    </row>
    <row r="706" spans="1:15" ht="150" customHeight="1">
      <c r="A706" s="40"/>
      <c r="B706" s="556" t="s">
        <v>455</v>
      </c>
      <c r="C706" s="852" t="s">
        <v>456</v>
      </c>
      <c r="D706" s="852"/>
      <c r="E706" s="852"/>
      <c r="F706" s="852"/>
      <c r="G706" s="852"/>
      <c r="I706" s="40"/>
      <c r="J706" s="41" t="s">
        <v>455</v>
      </c>
      <c r="K706" s="869" t="s">
        <v>457</v>
      </c>
      <c r="L706" s="869"/>
      <c r="M706" s="869"/>
      <c r="N706" s="869"/>
      <c r="O706" s="869"/>
    </row>
    <row r="707" spans="1:15" ht="15" customHeight="1" thickBot="1"/>
    <row r="708" spans="1:15" ht="30" customHeight="1" thickTop="1" thickBot="1">
      <c r="A708" s="10"/>
      <c r="B708" s="835" t="str">
        <f>'Obrazac kalkulacije'!$B$6:$C$6</f>
        <v>Opis</v>
      </c>
      <c r="C708" s="835"/>
      <c r="D708" s="10" t="str">
        <f>'Obrazac kalkulacije'!$D$6</f>
        <v>Jed.
mjere</v>
      </c>
      <c r="E708" s="10" t="str">
        <f>'Obrazac kalkulacije'!$E$6</f>
        <v>Normativ</v>
      </c>
      <c r="F708" s="10" t="str">
        <f>'Obrazac kalkulacije'!$F$6</f>
        <v>Jed.
cijena</v>
      </c>
      <c r="G708" s="10" t="str">
        <f>'Obrazac kalkulacije'!$G$6</f>
        <v>Iznos</v>
      </c>
      <c r="I708" s="10"/>
      <c r="J708" s="835" t="e">
        <f>'Obrazac kalkulacije'!$B$6:$C$6</f>
        <v>#VALUE!</v>
      </c>
      <c r="K708" s="835"/>
      <c r="L708" s="10" t="str">
        <f>'Obrazac kalkulacije'!$D$6</f>
        <v>Jed.
mjere</v>
      </c>
      <c r="M708" s="10" t="str">
        <f>'Obrazac kalkulacije'!$E$6</f>
        <v>Normativ</v>
      </c>
      <c r="N708" s="10" t="str">
        <f>'Obrazac kalkulacije'!$F$6</f>
        <v>Jed.
cijena</v>
      </c>
      <c r="O708" s="10" t="str">
        <f>'Obrazac kalkulacije'!$G$6</f>
        <v>Iznos</v>
      </c>
    </row>
    <row r="709" spans="1:15" ht="4.5" customHeight="1" thickTop="1">
      <c r="B709" s="42"/>
      <c r="C709" s="1"/>
      <c r="D709" s="11"/>
      <c r="E709" s="13"/>
      <c r="F709" s="258"/>
      <c r="G709" s="630"/>
      <c r="J709" s="42"/>
      <c r="K709" s="1"/>
      <c r="L709" s="11"/>
      <c r="M709" s="13"/>
      <c r="N709" s="258"/>
      <c r="O709" s="630"/>
    </row>
    <row r="710" spans="1:15" ht="25.15" customHeight="1">
      <c r="A710" s="16"/>
      <c r="B710" s="837" t="str">
        <f>'Obrazac kalkulacije'!$B$8</f>
        <v>Radna snaga:</v>
      </c>
      <c r="C710" s="837"/>
      <c r="D710" s="16"/>
      <c r="E710" s="16"/>
      <c r="F710" s="44"/>
      <c r="G710" s="18">
        <f>SUM(G711:G711)</f>
        <v>10.503</v>
      </c>
      <c r="I710" s="16"/>
      <c r="J710" s="837" t="str">
        <f>'Obrazac kalkulacije'!$B$8</f>
        <v>Radna snaga:</v>
      </c>
      <c r="K710" s="837"/>
      <c r="L710" s="16"/>
      <c r="M710" s="16"/>
      <c r="N710" s="44"/>
      <c r="O710" s="18">
        <f>SUM(O711:O711)</f>
        <v>9.6579286199999999</v>
      </c>
    </row>
    <row r="711" spans="1:15" ht="25.15" customHeight="1">
      <c r="A711" s="32"/>
      <c r="B711" s="854" t="s">
        <v>57</v>
      </c>
      <c r="C711" s="854"/>
      <c r="D711" s="33" t="s">
        <v>51</v>
      </c>
      <c r="E711" s="34">
        <v>0.1</v>
      </c>
      <c r="F711" s="238">
        <f>SUMIF('Cjenik RS'!$C$11:$C$26,$B711,'Cjenik RS'!$D$11:$D$90)</f>
        <v>105.03</v>
      </c>
      <c r="G711" s="35">
        <f>+F711*E711</f>
        <v>10.503</v>
      </c>
      <c r="I711" s="32"/>
      <c r="J711" s="854" t="s">
        <v>57</v>
      </c>
      <c r="K711" s="854"/>
      <c r="L711" s="33" t="s">
        <v>51</v>
      </c>
      <c r="M711" s="34">
        <v>9.1953999999999994E-2</v>
      </c>
      <c r="N711" s="44">
        <f>SUMIF('Cjenik RS'!$C$11:$C$26,J711,'Cjenik RS'!$D$11:$D$90)</f>
        <v>105.03</v>
      </c>
      <c r="O711" s="35">
        <f>+N711*M711</f>
        <v>9.6579286199999999</v>
      </c>
    </row>
    <row r="712" spans="1:15" ht="25.15" customHeight="1">
      <c r="A712" s="16"/>
      <c r="B712" s="837" t="str">
        <f>'Obrazac kalkulacije'!$B$11</f>
        <v>Vozila, strojevi i oprema:</v>
      </c>
      <c r="C712" s="837"/>
      <c r="D712" s="16"/>
      <c r="E712" s="16"/>
      <c r="F712" s="238">
        <f>'Obrazac kalkulacije'!$F$11</f>
        <v>0</v>
      </c>
      <c r="G712" s="18">
        <f>SUM(G713:G714)</f>
        <v>64.402000000000001</v>
      </c>
      <c r="I712" s="16"/>
      <c r="J712" s="837" t="str">
        <f>'Obrazac kalkulacije'!$B$11</f>
        <v>Vozila, strojevi i oprema:</v>
      </c>
      <c r="K712" s="837"/>
      <c r="L712" s="16"/>
      <c r="M712" s="16"/>
      <c r="N712" s="238">
        <f>'Obrazac kalkulacije'!$F$11</f>
        <v>0</v>
      </c>
      <c r="O712" s="18">
        <f>SUM(O713:O714)</f>
        <v>62.845857100000003</v>
      </c>
    </row>
    <row r="713" spans="1:15" ht="25.15" customHeight="1">
      <c r="A713" s="51"/>
      <c r="B713" s="863" t="s">
        <v>73</v>
      </c>
      <c r="C713" s="863"/>
      <c r="D713" s="52" t="s">
        <v>51</v>
      </c>
      <c r="E713" s="53">
        <v>0.125</v>
      </c>
      <c r="F713" s="260">
        <f>SUMIF('Cjenik VSO'!$B$9:$B$85,$B713,'Cjenik VSO'!$C$9:$C$85)</f>
        <v>291.72000000000003</v>
      </c>
      <c r="G713" s="55">
        <f>E713*F713</f>
        <v>36.465000000000003</v>
      </c>
      <c r="I713" s="51"/>
      <c r="J713" s="863" t="s">
        <v>73</v>
      </c>
      <c r="K713" s="863"/>
      <c r="L713" s="52" t="s">
        <v>51</v>
      </c>
      <c r="M713" s="53">
        <v>0.12737100000000001</v>
      </c>
      <c r="N713" s="260">
        <f>SUMIF('Cjenik VSO'!$B$9:$B$85,$B713,'Cjenik VSO'!$C$9:$C$85)</f>
        <v>291.72000000000003</v>
      </c>
      <c r="O713" s="55">
        <f>M713*N713</f>
        <v>37.156668120000006</v>
      </c>
    </row>
    <row r="714" spans="1:15" ht="25.15" customHeight="1" thickBot="1">
      <c r="A714" s="66"/>
      <c r="B714" s="859" t="s">
        <v>97</v>
      </c>
      <c r="C714" s="859"/>
      <c r="D714" s="67" t="s">
        <v>51</v>
      </c>
      <c r="E714" s="68">
        <v>0.1</v>
      </c>
      <c r="F714" s="262">
        <f>SUMIF('Cjenik VSO'!$B$9:$B$85,$B714,'Cjenik VSO'!$C$9:$C$85)</f>
        <v>279.37</v>
      </c>
      <c r="G714" s="70">
        <f>E714*F714</f>
        <v>27.937000000000001</v>
      </c>
      <c r="I714" s="66"/>
      <c r="J714" s="859" t="s">
        <v>97</v>
      </c>
      <c r="K714" s="859"/>
      <c r="L714" s="67" t="s">
        <v>51</v>
      </c>
      <c r="M714" s="68">
        <v>9.1953999999999994E-2</v>
      </c>
      <c r="N714" s="262">
        <f>SUMIF('Cjenik VSO'!$B$9:$B$85,$B714,'Cjenik VSO'!$C$9:$C$85)</f>
        <v>279.37</v>
      </c>
      <c r="O714" s="70">
        <f>M714*N714</f>
        <v>25.689188979999997</v>
      </c>
    </row>
    <row r="715" spans="1:15" ht="25.15" customHeight="1" thickTop="1" thickBot="1">
      <c r="B715" s="47"/>
      <c r="C715" s="24"/>
      <c r="D715" s="25"/>
      <c r="E715" s="850" t="str">
        <f>'Obrazac kalkulacije'!$E$18</f>
        <v>Ukupno (kn):</v>
      </c>
      <c r="F715" s="850"/>
      <c r="G715" s="26">
        <f>ROUND(SUM(G710+G712),2)</f>
        <v>74.91</v>
      </c>
      <c r="H715" s="269" t="e">
        <f>SUMIF(#REF!,$B706,#REF!)</f>
        <v>#REF!</v>
      </c>
      <c r="J715" s="47"/>
      <c r="K715" s="24"/>
      <c r="L715" s="25"/>
      <c r="M715" s="850" t="str">
        <f>'Obrazac kalkulacije'!$E$18</f>
        <v>Ukupno (kn):</v>
      </c>
      <c r="N715" s="850"/>
      <c r="O715" s="26">
        <f>ROUND(SUM(O710+O712),2)</f>
        <v>72.5</v>
      </c>
    </row>
    <row r="716" spans="1:15" ht="25.15" customHeight="1" thickTop="1" thickBot="1">
      <c r="E716" s="27" t="str">
        <f>'Obrazac kalkulacije'!$E$19</f>
        <v>PDV:</v>
      </c>
      <c r="F716" s="259">
        <f>'Obrazac kalkulacije'!$F$19</f>
        <v>0.25</v>
      </c>
      <c r="G716" s="29">
        <f>G715*F716</f>
        <v>18.727499999999999</v>
      </c>
      <c r="H716" s="270" t="e">
        <f>H715-G715</f>
        <v>#REF!</v>
      </c>
      <c r="M716" s="27" t="str">
        <f>'Obrazac kalkulacije'!$E$19</f>
        <v>PDV:</v>
      </c>
      <c r="N716" s="259">
        <f>'Obrazac kalkulacije'!$F$19</f>
        <v>0.25</v>
      </c>
      <c r="O716" s="29">
        <f>O715*N716</f>
        <v>18.125</v>
      </c>
    </row>
    <row r="717" spans="1:15" ht="25.15" customHeight="1" thickTop="1" thickBot="1">
      <c r="E717" s="840" t="str">
        <f>'Obrazac kalkulacije'!$E$20</f>
        <v>Sveukupno (kn):</v>
      </c>
      <c r="F717" s="840"/>
      <c r="G717" s="29">
        <f>ROUND(SUM(G715:G716),2)</f>
        <v>93.64</v>
      </c>
      <c r="H717" s="271" t="e">
        <f>G714+H716</f>
        <v>#REF!</v>
      </c>
      <c r="M717" s="840" t="str">
        <f>'Obrazac kalkulacije'!$E$20</f>
        <v>Sveukupno (kn):</v>
      </c>
      <c r="N717" s="840"/>
      <c r="O717" s="29">
        <f>ROUND(SUM(O715:O716),2)</f>
        <v>90.63</v>
      </c>
    </row>
    <row r="718" spans="1:15" ht="15" customHeight="1" thickTop="1"/>
    <row r="719" spans="1:15" ht="15" customHeight="1"/>
    <row r="720" spans="1:15" ht="15" customHeight="1"/>
    <row r="721" spans="1:15" ht="15" customHeight="1">
      <c r="C721" s="3" t="str">
        <f>'Obrazac kalkulacije'!$C$24</f>
        <v>IZVODITELJ:</v>
      </c>
      <c r="F721" s="841" t="str">
        <f>'Obrazac kalkulacije'!$F$24</f>
        <v>NARUČITELJ:</v>
      </c>
      <c r="G721" s="841"/>
      <c r="K721" s="3" t="str">
        <f>'Obrazac kalkulacije'!$C$24</f>
        <v>IZVODITELJ:</v>
      </c>
      <c r="N721" s="841" t="str">
        <f>'Obrazac kalkulacije'!$F$24</f>
        <v>NARUČITELJ:</v>
      </c>
      <c r="O721" s="841"/>
    </row>
    <row r="722" spans="1:15" ht="25.15" customHeight="1">
      <c r="C722" s="3" t="str">
        <f>'Obrazac kalkulacije'!$C$25</f>
        <v>__________________</v>
      </c>
      <c r="F722" s="841" t="str">
        <f>'Obrazac kalkulacije'!$F$25</f>
        <v>___________________</v>
      </c>
      <c r="G722" s="841"/>
      <c r="K722" s="3" t="str">
        <f>'Obrazac kalkulacije'!$C$25</f>
        <v>__________________</v>
      </c>
      <c r="N722" s="841" t="str">
        <f>'Obrazac kalkulacije'!$F$25</f>
        <v>___________________</v>
      </c>
      <c r="O722" s="841"/>
    </row>
    <row r="723" spans="1:15" ht="15" customHeight="1">
      <c r="F723" s="841"/>
      <c r="G723" s="841"/>
      <c r="N723" s="841"/>
      <c r="O723" s="841"/>
    </row>
    <row r="724" spans="1:15" ht="15" customHeight="1"/>
    <row r="725" spans="1:15" ht="15" customHeight="1">
      <c r="A725" s="144"/>
      <c r="B725" s="145" t="s">
        <v>39</v>
      </c>
      <c r="C725" s="836" t="s">
        <v>360</v>
      </c>
      <c r="D725" s="836"/>
      <c r="E725" s="836"/>
      <c r="F725" s="836"/>
      <c r="G725" s="836"/>
      <c r="I725" s="144"/>
      <c r="J725" s="145" t="s">
        <v>39</v>
      </c>
      <c r="K725" s="836" t="s">
        <v>360</v>
      </c>
      <c r="L725" s="836"/>
      <c r="M725" s="836"/>
      <c r="N725" s="836"/>
      <c r="O725" s="836"/>
    </row>
    <row r="726" spans="1:15" ht="15" customHeight="1">
      <c r="A726" s="38"/>
      <c r="B726" s="39" t="s">
        <v>44</v>
      </c>
      <c r="C726" s="860" t="s">
        <v>424</v>
      </c>
      <c r="D726" s="860"/>
      <c r="E726" s="860"/>
      <c r="F726" s="860"/>
      <c r="G726" s="860"/>
      <c r="I726" s="38"/>
      <c r="J726" s="39" t="s">
        <v>44</v>
      </c>
      <c r="K726" s="860" t="s">
        <v>424</v>
      </c>
      <c r="L726" s="860"/>
      <c r="M726" s="860"/>
      <c r="N726" s="860"/>
      <c r="O726" s="860"/>
    </row>
    <row r="727" spans="1:15" ht="150" customHeight="1">
      <c r="A727" s="40"/>
      <c r="B727" s="556" t="s">
        <v>458</v>
      </c>
      <c r="C727" s="852" t="s">
        <v>459</v>
      </c>
      <c r="D727" s="852"/>
      <c r="E727" s="852"/>
      <c r="F727" s="852"/>
      <c r="G727" s="852"/>
      <c r="I727" s="40"/>
      <c r="J727" s="41" t="s">
        <v>458</v>
      </c>
      <c r="K727" s="869" t="s">
        <v>459</v>
      </c>
      <c r="L727" s="869"/>
      <c r="M727" s="869"/>
      <c r="N727" s="869"/>
      <c r="O727" s="869"/>
    </row>
    <row r="728" spans="1:15" ht="15" customHeight="1" thickBot="1"/>
    <row r="729" spans="1:15" ht="30" customHeight="1" thickTop="1" thickBot="1">
      <c r="A729" s="10"/>
      <c r="B729" s="835" t="str">
        <f>'Obrazac kalkulacije'!$B$6:$C$6</f>
        <v>Opis</v>
      </c>
      <c r="C729" s="835"/>
      <c r="D729" s="10" t="str">
        <f>'Obrazac kalkulacije'!$D$6</f>
        <v>Jed.
mjere</v>
      </c>
      <c r="E729" s="10" t="str">
        <f>'Obrazac kalkulacije'!$E$6</f>
        <v>Normativ</v>
      </c>
      <c r="F729" s="10" t="str">
        <f>'Obrazac kalkulacije'!$F$6</f>
        <v>Jed.
cijena</v>
      </c>
      <c r="G729" s="10" t="str">
        <f>'Obrazac kalkulacije'!$G$6</f>
        <v>Iznos</v>
      </c>
      <c r="I729" s="10"/>
      <c r="J729" s="835" t="e">
        <f>'Obrazac kalkulacije'!$B$6:$C$6</f>
        <v>#VALUE!</v>
      </c>
      <c r="K729" s="835"/>
      <c r="L729" s="10" t="str">
        <f>'Obrazac kalkulacije'!$D$6</f>
        <v>Jed.
mjere</v>
      </c>
      <c r="M729" s="10" t="str">
        <f>'Obrazac kalkulacije'!$E$6</f>
        <v>Normativ</v>
      </c>
      <c r="N729" s="10" t="str">
        <f>'Obrazac kalkulacije'!$F$6</f>
        <v>Jed.
cijena</v>
      </c>
      <c r="O729" s="10" t="str">
        <f>'Obrazac kalkulacije'!$G$6</f>
        <v>Iznos</v>
      </c>
    </row>
    <row r="730" spans="1:15" ht="4.5" customHeight="1" thickTop="1">
      <c r="B730" s="42"/>
      <c r="C730" s="1"/>
      <c r="D730" s="11"/>
      <c r="E730" s="13"/>
      <c r="F730" s="258"/>
      <c r="G730" s="630"/>
      <c r="J730" s="42"/>
      <c r="K730" s="1"/>
      <c r="L730" s="11"/>
      <c r="M730" s="13"/>
      <c r="N730" s="258"/>
      <c r="O730" s="630"/>
    </row>
    <row r="731" spans="1:15" ht="25.15" customHeight="1">
      <c r="A731" s="16"/>
      <c r="B731" s="837" t="str">
        <f>'Obrazac kalkulacije'!$B$8</f>
        <v>Radna snaga:</v>
      </c>
      <c r="C731" s="837"/>
      <c r="D731" s="16"/>
      <c r="E731" s="16"/>
      <c r="F731" s="44"/>
      <c r="G731" s="18">
        <f>SUM(G732:G732)</f>
        <v>130.41438561000001</v>
      </c>
      <c r="I731" s="16"/>
      <c r="J731" s="837" t="str">
        <f>'Obrazac kalkulacije'!$B$8</f>
        <v>Radna snaga:</v>
      </c>
      <c r="K731" s="837"/>
      <c r="L731" s="16"/>
      <c r="M731" s="16"/>
      <c r="N731" s="44"/>
      <c r="O731" s="18">
        <f>SUM(O732:O732)</f>
        <v>130.41438561000001</v>
      </c>
    </row>
    <row r="732" spans="1:15" ht="25.15" customHeight="1">
      <c r="A732" s="32"/>
      <c r="B732" s="854" t="s">
        <v>57</v>
      </c>
      <c r="C732" s="854"/>
      <c r="D732" s="33" t="s">
        <v>51</v>
      </c>
      <c r="E732" s="34">
        <v>1.241687</v>
      </c>
      <c r="F732" s="238">
        <f>SUMIF('Cjenik RS'!$C$11:$C$26,$B732,'Cjenik RS'!$D$11:$D$90)</f>
        <v>105.03</v>
      </c>
      <c r="G732" s="35">
        <f>+F732*E732</f>
        <v>130.41438561000001</v>
      </c>
      <c r="I732" s="32"/>
      <c r="J732" s="854" t="s">
        <v>57</v>
      </c>
      <c r="K732" s="854"/>
      <c r="L732" s="33" t="s">
        <v>51</v>
      </c>
      <c r="M732" s="34">
        <v>1.241687</v>
      </c>
      <c r="N732" s="44">
        <f>SUMIF('Cjenik RS'!$C$11:$C$26,J732,'Cjenik RS'!$D$11:$D$90)</f>
        <v>105.03</v>
      </c>
      <c r="O732" s="35">
        <f>+N732*M732</f>
        <v>130.41438561000001</v>
      </c>
    </row>
    <row r="733" spans="1:15" ht="25.15" customHeight="1">
      <c r="A733" s="16"/>
      <c r="B733" s="837" t="str">
        <f>'Obrazac kalkulacije'!$B$11</f>
        <v>Vozila, strojevi i oprema:</v>
      </c>
      <c r="C733" s="837"/>
      <c r="D733" s="16"/>
      <c r="E733" s="16"/>
      <c r="F733" s="238">
        <f>'Obrazac kalkulacije'!$F$11</f>
        <v>0</v>
      </c>
      <c r="G733" s="18">
        <f>SUM(G734:G735)</f>
        <v>32.628299200000001</v>
      </c>
      <c r="I733" s="16"/>
      <c r="J733" s="837" t="str">
        <f>'Obrazac kalkulacije'!$B$11</f>
        <v>Vozila, strojevi i oprema:</v>
      </c>
      <c r="K733" s="837"/>
      <c r="L733" s="16"/>
      <c r="M733" s="16"/>
      <c r="N733" s="238">
        <f>'Obrazac kalkulacije'!$F$11</f>
        <v>0</v>
      </c>
      <c r="O733" s="18">
        <f>SUM(O734:O735)</f>
        <v>32.628299200000001</v>
      </c>
    </row>
    <row r="734" spans="1:15" ht="25.15" customHeight="1">
      <c r="A734" s="51"/>
      <c r="B734" s="863" t="s">
        <v>69</v>
      </c>
      <c r="C734" s="863"/>
      <c r="D734" s="52" t="s">
        <v>51</v>
      </c>
      <c r="E734" s="53">
        <v>0.18015200000000001</v>
      </c>
      <c r="F734" s="260">
        <f>SUMIF('Cjenik VSO'!$B$9:$B$85,$B734,'Cjenik VSO'!$C$9:$C$85)</f>
        <v>179.6</v>
      </c>
      <c r="G734" s="55">
        <f>E734*F734</f>
        <v>32.355299199999997</v>
      </c>
      <c r="I734" s="51"/>
      <c r="J734" s="863" t="s">
        <v>69</v>
      </c>
      <c r="K734" s="863"/>
      <c r="L734" s="52" t="s">
        <v>51</v>
      </c>
      <c r="M734" s="53">
        <v>0.18015200000000001</v>
      </c>
      <c r="N734" s="260">
        <f>SUMIF('Cjenik VSO'!$B$9:$B$85,$B734,'Cjenik VSO'!$C$9:$C$85)</f>
        <v>179.6</v>
      </c>
      <c r="O734" s="55">
        <f>M734*N734</f>
        <v>32.355299199999997</v>
      </c>
    </row>
    <row r="735" spans="1:15" ht="25.15" customHeight="1">
      <c r="A735" s="61"/>
      <c r="B735" s="864" t="s">
        <v>200</v>
      </c>
      <c r="C735" s="864"/>
      <c r="D735" s="62" t="s">
        <v>51</v>
      </c>
      <c r="E735" s="63">
        <v>1.2500000000000001E-2</v>
      </c>
      <c r="F735" s="261">
        <f>SUMIF('Cjenik VSO'!$B$9:$B$85,$B735,'Cjenik VSO'!$C$9:$C$85)</f>
        <v>21.84</v>
      </c>
      <c r="G735" s="65">
        <f>E735*F735</f>
        <v>0.27300000000000002</v>
      </c>
      <c r="I735" s="61"/>
      <c r="J735" s="864" t="s">
        <v>200</v>
      </c>
      <c r="K735" s="864"/>
      <c r="L735" s="62" t="s">
        <v>51</v>
      </c>
      <c r="M735" s="63">
        <v>1.2500000000000001E-2</v>
      </c>
      <c r="N735" s="261">
        <f>SUMIF('Cjenik VSO'!$B$9:$B$85,$B735,'Cjenik VSO'!$C$9:$C$85)</f>
        <v>21.84</v>
      </c>
      <c r="O735" s="65">
        <f>M735*N735</f>
        <v>0.27300000000000002</v>
      </c>
    </row>
    <row r="736" spans="1:15" ht="25.15" customHeight="1">
      <c r="A736" s="88"/>
      <c r="B736" s="837" t="str">
        <f>'Obrazac kalkulacije'!$B$15</f>
        <v>Materijali:</v>
      </c>
      <c r="C736" s="837"/>
      <c r="D736" s="88"/>
      <c r="E736" s="88"/>
      <c r="F736" s="264"/>
      <c r="G736" s="94">
        <f>SUM(G737:G738)</f>
        <v>0</v>
      </c>
      <c r="I736" s="88"/>
      <c r="J736" s="837" t="str">
        <f>'Obrazac kalkulacije'!$B$15</f>
        <v>Materijali:</v>
      </c>
      <c r="K736" s="837"/>
      <c r="L736" s="88"/>
      <c r="M736" s="88"/>
      <c r="N736" s="264"/>
      <c r="O736" s="94">
        <f>SUM(O737:O738)</f>
        <v>0</v>
      </c>
    </row>
    <row r="737" spans="1:15" ht="25.15" customHeight="1">
      <c r="A737" s="51"/>
      <c r="B737" s="863">
        <f>'Cjenik M'!$B$105</f>
        <v>0</v>
      </c>
      <c r="C737" s="863"/>
      <c r="D737" s="52">
        <f>'Cjenik M'!$C$105</f>
        <v>0</v>
      </c>
      <c r="E737" s="53">
        <v>3.2500000000000001E-2</v>
      </c>
      <c r="F737" s="260">
        <f>'Cjenik M'!$D$105</f>
        <v>0</v>
      </c>
      <c r="G737" s="55">
        <f>E737*F737</f>
        <v>0</v>
      </c>
      <c r="I737" s="51"/>
      <c r="J737" s="863">
        <f>'Cjenik M'!$B$105</f>
        <v>0</v>
      </c>
      <c r="K737" s="863"/>
      <c r="L737" s="52">
        <f>'Cjenik M'!$C$105</f>
        <v>0</v>
      </c>
      <c r="M737" s="53">
        <v>0.05</v>
      </c>
      <c r="N737" s="260">
        <f>'Cjenik M'!$D$105</f>
        <v>0</v>
      </c>
      <c r="O737" s="55">
        <f>M737*N737</f>
        <v>0</v>
      </c>
    </row>
    <row r="738" spans="1:15" ht="25.15" customHeight="1" thickBot="1">
      <c r="A738" s="66"/>
      <c r="B738" s="859">
        <f>'Cjenik M'!$B$31</f>
        <v>0</v>
      </c>
      <c r="C738" s="859"/>
      <c r="D738" s="67">
        <f>'Cjenik M'!$C$31</f>
        <v>0</v>
      </c>
      <c r="E738" s="68">
        <v>4.0000000000000001E-3</v>
      </c>
      <c r="F738" s="262">
        <f>'Cjenik M'!$D$31</f>
        <v>0</v>
      </c>
      <c r="G738" s="70">
        <f>E738*F738</f>
        <v>0</v>
      </c>
      <c r="I738" s="66"/>
      <c r="J738" s="859">
        <f>'Cjenik M'!$B$31</f>
        <v>0</v>
      </c>
      <c r="K738" s="859"/>
      <c r="L738" s="67">
        <f>'Cjenik M'!$C$31</f>
        <v>0</v>
      </c>
      <c r="M738" s="68">
        <v>3.9199999999999999E-3</v>
      </c>
      <c r="N738" s="262">
        <f>'Cjenik M'!$D$31</f>
        <v>0</v>
      </c>
      <c r="O738" s="70">
        <f>M738*N738</f>
        <v>0</v>
      </c>
    </row>
    <row r="739" spans="1:15" ht="25.15" customHeight="1" thickTop="1" thickBot="1">
      <c r="B739" s="47"/>
      <c r="C739" s="24"/>
      <c r="D739" s="25"/>
      <c r="E739" s="850" t="str">
        <f>'Obrazac kalkulacije'!$E$18</f>
        <v>Ukupno (kn):</v>
      </c>
      <c r="F739" s="850"/>
      <c r="G739" s="26">
        <f>ROUND(SUM(G731+G733+G736),2)</f>
        <v>163.04</v>
      </c>
      <c r="H739" s="269" t="e">
        <f>SUMIF(#REF!,$B727,#REF!)</f>
        <v>#REF!</v>
      </c>
      <c r="J739" s="47"/>
      <c r="K739" s="24"/>
      <c r="L739" s="25"/>
      <c r="M739" s="850" t="str">
        <f>'Obrazac kalkulacije'!$E$18</f>
        <v>Ukupno (kn):</v>
      </c>
      <c r="N739" s="850"/>
      <c r="O739" s="26">
        <f>ROUND(SUM(O731+O733+O736),2)</f>
        <v>163.04</v>
      </c>
    </row>
    <row r="740" spans="1:15" ht="25.15" customHeight="1" thickTop="1" thickBot="1">
      <c r="E740" s="27" t="str">
        <f>'Obrazac kalkulacije'!$E$19</f>
        <v>PDV:</v>
      </c>
      <c r="F740" s="259">
        <f>'Obrazac kalkulacije'!$F$19</f>
        <v>0.25</v>
      </c>
      <c r="G740" s="29">
        <f>G739*F740</f>
        <v>40.76</v>
      </c>
      <c r="H740" s="270" t="e">
        <f>H739-G739</f>
        <v>#REF!</v>
      </c>
      <c r="M740" s="27" t="str">
        <f>'Obrazac kalkulacije'!$E$19</f>
        <v>PDV:</v>
      </c>
      <c r="N740" s="259">
        <f>'Obrazac kalkulacije'!$F$19</f>
        <v>0.25</v>
      </c>
      <c r="O740" s="29">
        <f>O739*N740</f>
        <v>40.76</v>
      </c>
    </row>
    <row r="741" spans="1:15" ht="25.15" customHeight="1" thickTop="1" thickBot="1">
      <c r="E741" s="840" t="str">
        <f>'Obrazac kalkulacije'!$E$20</f>
        <v>Sveukupno (kn):</v>
      </c>
      <c r="F741" s="840"/>
      <c r="G741" s="29">
        <f>ROUND(SUM(G739:G740),2)</f>
        <v>203.8</v>
      </c>
      <c r="H741" s="271" t="e">
        <f>G734+H740</f>
        <v>#REF!</v>
      </c>
      <c r="M741" s="840" t="str">
        <f>'Obrazac kalkulacije'!$E$20</f>
        <v>Sveukupno (kn):</v>
      </c>
      <c r="N741" s="840"/>
      <c r="O741" s="29">
        <f>ROUND(SUM(O739:O740),2)</f>
        <v>203.8</v>
      </c>
    </row>
    <row r="742" spans="1:15" ht="15" customHeight="1" thickTop="1"/>
    <row r="743" spans="1:15" ht="15" customHeight="1"/>
    <row r="744" spans="1:15" ht="15" customHeight="1"/>
    <row r="745" spans="1:15" ht="15" customHeight="1">
      <c r="C745" s="3" t="str">
        <f>'Obrazac kalkulacije'!$C$24</f>
        <v>IZVODITELJ:</v>
      </c>
      <c r="F745" s="841" t="str">
        <f>'Obrazac kalkulacije'!$F$24</f>
        <v>NARUČITELJ:</v>
      </c>
      <c r="G745" s="841"/>
      <c r="K745" s="3" t="str">
        <f>'Obrazac kalkulacije'!$C$24</f>
        <v>IZVODITELJ:</v>
      </c>
      <c r="N745" s="841" t="str">
        <f>'Obrazac kalkulacije'!$F$24</f>
        <v>NARUČITELJ:</v>
      </c>
      <c r="O745" s="841"/>
    </row>
    <row r="746" spans="1:15" ht="25.15" customHeight="1">
      <c r="C746" s="3" t="str">
        <f>'Obrazac kalkulacije'!$C$25</f>
        <v>__________________</v>
      </c>
      <c r="F746" s="841" t="str">
        <f>'Obrazac kalkulacije'!$F$25</f>
        <v>___________________</v>
      </c>
      <c r="G746" s="841"/>
      <c r="K746" s="3" t="str">
        <f>'Obrazac kalkulacije'!$C$25</f>
        <v>__________________</v>
      </c>
      <c r="N746" s="841" t="str">
        <f>'Obrazac kalkulacije'!$F$25</f>
        <v>___________________</v>
      </c>
      <c r="O746" s="841"/>
    </row>
    <row r="747" spans="1:15" ht="15" customHeight="1">
      <c r="F747" s="841"/>
      <c r="G747" s="841"/>
      <c r="N747" s="841"/>
      <c r="O747" s="841"/>
    </row>
    <row r="748" spans="1:15" ht="15" customHeight="1"/>
    <row r="749" spans="1:15" ht="15" customHeight="1">
      <c r="A749" s="144"/>
      <c r="B749" s="145" t="s">
        <v>39</v>
      </c>
      <c r="C749" s="836" t="s">
        <v>360</v>
      </c>
      <c r="D749" s="836"/>
      <c r="E749" s="836"/>
      <c r="F749" s="836"/>
      <c r="G749" s="836"/>
      <c r="I749" s="144"/>
      <c r="J749" s="145" t="s">
        <v>39</v>
      </c>
      <c r="K749" s="836" t="s">
        <v>360</v>
      </c>
      <c r="L749" s="836"/>
      <c r="M749" s="836"/>
      <c r="N749" s="836"/>
      <c r="O749" s="836"/>
    </row>
    <row r="750" spans="1:15" ht="15" customHeight="1">
      <c r="A750" s="38"/>
      <c r="B750" s="39" t="s">
        <v>44</v>
      </c>
      <c r="C750" s="860" t="s">
        <v>424</v>
      </c>
      <c r="D750" s="860"/>
      <c r="E750" s="860"/>
      <c r="F750" s="860"/>
      <c r="G750" s="860"/>
      <c r="I750" s="38"/>
      <c r="J750" s="39" t="s">
        <v>44</v>
      </c>
      <c r="K750" s="860" t="s">
        <v>424</v>
      </c>
      <c r="L750" s="860"/>
      <c r="M750" s="860"/>
      <c r="N750" s="860"/>
      <c r="O750" s="860"/>
    </row>
    <row r="751" spans="1:15" ht="150" customHeight="1">
      <c r="A751" s="40"/>
      <c r="B751" s="556" t="s">
        <v>460</v>
      </c>
      <c r="C751" s="852" t="s">
        <v>461</v>
      </c>
      <c r="D751" s="852"/>
      <c r="E751" s="852"/>
      <c r="F751" s="852"/>
      <c r="G751" s="852"/>
      <c r="I751" s="40"/>
      <c r="J751" s="41" t="s">
        <v>460</v>
      </c>
      <c r="K751" s="869" t="s">
        <v>461</v>
      </c>
      <c r="L751" s="869"/>
      <c r="M751" s="869"/>
      <c r="N751" s="869"/>
      <c r="O751" s="869"/>
    </row>
    <row r="752" spans="1:15" ht="15" customHeight="1" thickBot="1"/>
    <row r="753" spans="1:15" ht="30" customHeight="1" thickTop="1" thickBot="1">
      <c r="A753" s="10"/>
      <c r="B753" s="835" t="str">
        <f>'Obrazac kalkulacije'!$B$6:$C$6</f>
        <v>Opis</v>
      </c>
      <c r="C753" s="835"/>
      <c r="D753" s="10" t="str">
        <f>'Obrazac kalkulacije'!$D$6</f>
        <v>Jed.
mjere</v>
      </c>
      <c r="E753" s="10" t="str">
        <f>'Obrazac kalkulacije'!$E$6</f>
        <v>Normativ</v>
      </c>
      <c r="F753" s="10" t="str">
        <f>'Obrazac kalkulacije'!$F$6</f>
        <v>Jed.
cijena</v>
      </c>
      <c r="G753" s="10" t="str">
        <f>'Obrazac kalkulacije'!$G$6</f>
        <v>Iznos</v>
      </c>
      <c r="I753" s="10"/>
      <c r="J753" s="835" t="e">
        <f>'Obrazac kalkulacije'!$B$6:$C$6</f>
        <v>#VALUE!</v>
      </c>
      <c r="K753" s="835"/>
      <c r="L753" s="10" t="str">
        <f>'Obrazac kalkulacije'!$D$6</f>
        <v>Jed.
mjere</v>
      </c>
      <c r="M753" s="10" t="str">
        <f>'Obrazac kalkulacije'!$E$6</f>
        <v>Normativ</v>
      </c>
      <c r="N753" s="10" t="str">
        <f>'Obrazac kalkulacije'!$F$6</f>
        <v>Jed.
cijena</v>
      </c>
      <c r="O753" s="10" t="str">
        <f>'Obrazac kalkulacije'!$G$6</f>
        <v>Iznos</v>
      </c>
    </row>
    <row r="754" spans="1:15" ht="4.5" customHeight="1" thickTop="1">
      <c r="B754" s="42"/>
      <c r="C754" s="1"/>
      <c r="D754" s="11"/>
      <c r="E754" s="13"/>
      <c r="F754" s="258"/>
      <c r="G754" s="630"/>
      <c r="J754" s="42"/>
      <c r="K754" s="1"/>
      <c r="L754" s="11"/>
      <c r="M754" s="13"/>
      <c r="N754" s="258"/>
      <c r="O754" s="630"/>
    </row>
    <row r="755" spans="1:15" ht="25.15" customHeight="1">
      <c r="A755" s="16"/>
      <c r="B755" s="837" t="str">
        <f>'Obrazac kalkulacije'!$B$8</f>
        <v>Radna snaga:</v>
      </c>
      <c r="C755" s="837"/>
      <c r="D755" s="16"/>
      <c r="E755" s="16"/>
      <c r="F755" s="44"/>
      <c r="G755" s="18">
        <f>SUM(G756:G756)</f>
        <v>336.096</v>
      </c>
      <c r="I755" s="16"/>
      <c r="J755" s="837" t="str">
        <f>'Obrazac kalkulacije'!$B$8</f>
        <v>Radna snaga:</v>
      </c>
      <c r="K755" s="837"/>
      <c r="L755" s="16"/>
      <c r="M755" s="16"/>
      <c r="N755" s="44"/>
      <c r="O755" s="18">
        <f>SUM(O756:O756)</f>
        <v>353.59168734000002</v>
      </c>
    </row>
    <row r="756" spans="1:15" ht="25.15" customHeight="1">
      <c r="A756" s="32"/>
      <c r="B756" s="854" t="s">
        <v>57</v>
      </c>
      <c r="C756" s="854"/>
      <c r="D756" s="33" t="s">
        <v>51</v>
      </c>
      <c r="E756" s="34">
        <v>3.2</v>
      </c>
      <c r="F756" s="238">
        <f>SUMIF('Cjenik RS'!$C$11:$C$26,$B756,'Cjenik RS'!$D$11:$D$90)</f>
        <v>105.03</v>
      </c>
      <c r="G756" s="35">
        <f>+F756*E756</f>
        <v>336.096</v>
      </c>
      <c r="I756" s="32"/>
      <c r="J756" s="854" t="s">
        <v>57</v>
      </c>
      <c r="K756" s="854"/>
      <c r="L756" s="33" t="s">
        <v>51</v>
      </c>
      <c r="M756" s="34">
        <v>3.3665780000000001</v>
      </c>
      <c r="N756" s="44">
        <f>SUMIF('Cjenik RS'!$C$11:$C$26,J756,'Cjenik RS'!$D$11:$D$90)</f>
        <v>105.03</v>
      </c>
      <c r="O756" s="35">
        <f>+N756*M756</f>
        <v>353.59168734000002</v>
      </c>
    </row>
    <row r="757" spans="1:15" ht="25.15" customHeight="1">
      <c r="A757" s="16"/>
      <c r="B757" s="837" t="str">
        <f>'Obrazac kalkulacije'!$B$11</f>
        <v>Vozila, strojevi i oprema:</v>
      </c>
      <c r="C757" s="837"/>
      <c r="D757" s="16"/>
      <c r="E757" s="16"/>
      <c r="F757" s="238">
        <f>'Obrazac kalkulacije'!$F$11</f>
        <v>0</v>
      </c>
      <c r="G757" s="18">
        <f>SUM(G758:G759)</f>
        <v>105.66440759999998</v>
      </c>
      <c r="I757" s="16"/>
      <c r="J757" s="837" t="str">
        <f>'Obrazac kalkulacije'!$B$11</f>
        <v>Vozila, strojevi i oprema:</v>
      </c>
      <c r="K757" s="837"/>
      <c r="L757" s="16"/>
      <c r="M757" s="16"/>
      <c r="N757" s="238">
        <f>'Obrazac kalkulacije'!$F$11</f>
        <v>0</v>
      </c>
      <c r="O757" s="18">
        <f>SUM(O758:O759)</f>
        <v>105.66440759999998</v>
      </c>
    </row>
    <row r="758" spans="1:15" ht="25.15" customHeight="1">
      <c r="A758" s="51"/>
      <c r="B758" s="863" t="s">
        <v>69</v>
      </c>
      <c r="C758" s="863"/>
      <c r="D758" s="52" t="s">
        <v>51</v>
      </c>
      <c r="E758" s="53">
        <v>0.55793099999999995</v>
      </c>
      <c r="F758" s="260">
        <f>SUMIF('Cjenik VSO'!$B$9:$B$85,$B758,'Cjenik VSO'!$C$9:$C$85)</f>
        <v>179.6</v>
      </c>
      <c r="G758" s="55">
        <f>E758*F758</f>
        <v>100.20440759999998</v>
      </c>
      <c r="I758" s="51"/>
      <c r="J758" s="863" t="s">
        <v>69</v>
      </c>
      <c r="K758" s="863"/>
      <c r="L758" s="52" t="s">
        <v>51</v>
      </c>
      <c r="M758" s="53">
        <v>0.55793099999999995</v>
      </c>
      <c r="N758" s="260">
        <f>SUMIF('Cjenik VSO'!$B$9:$B$85,$B758,'Cjenik VSO'!$C$9:$C$85)</f>
        <v>179.6</v>
      </c>
      <c r="O758" s="55">
        <f>M758*N758</f>
        <v>100.20440759999998</v>
      </c>
    </row>
    <row r="759" spans="1:15" ht="25.15" customHeight="1">
      <c r="A759" s="61"/>
      <c r="B759" s="864" t="s">
        <v>200</v>
      </c>
      <c r="C759" s="864"/>
      <c r="D759" s="62" t="s">
        <v>51</v>
      </c>
      <c r="E759" s="63">
        <v>0.25</v>
      </c>
      <c r="F759" s="261">
        <f>SUMIF('Cjenik VSO'!$B$9:$B$85,$B759,'Cjenik VSO'!$C$9:$C$85)</f>
        <v>21.84</v>
      </c>
      <c r="G759" s="65">
        <f>E759*F759</f>
        <v>5.46</v>
      </c>
      <c r="I759" s="61"/>
      <c r="J759" s="864" t="s">
        <v>200</v>
      </c>
      <c r="K759" s="864"/>
      <c r="L759" s="62" t="s">
        <v>51</v>
      </c>
      <c r="M759" s="63">
        <v>0.25</v>
      </c>
      <c r="N759" s="261">
        <f>SUMIF('Cjenik VSO'!$B$9:$B$85,$B759,'Cjenik VSO'!$C$9:$C$85)</f>
        <v>21.84</v>
      </c>
      <c r="O759" s="65">
        <f>M759*N759</f>
        <v>5.46</v>
      </c>
    </row>
    <row r="760" spans="1:15" ht="25.15" customHeight="1">
      <c r="A760" s="88"/>
      <c r="B760" s="837" t="str">
        <f>'Obrazac kalkulacije'!$B$15</f>
        <v>Materijali:</v>
      </c>
      <c r="C760" s="837"/>
      <c r="D760" s="88"/>
      <c r="E760" s="88"/>
      <c r="F760" s="264"/>
      <c r="G760" s="94">
        <f>SUM(G761:G762)</f>
        <v>0</v>
      </c>
      <c r="I760" s="88"/>
      <c r="J760" s="837" t="str">
        <f>'Obrazac kalkulacije'!$B$15</f>
        <v>Materijali:</v>
      </c>
      <c r="K760" s="837"/>
      <c r="L760" s="88"/>
      <c r="M760" s="88"/>
      <c r="N760" s="264"/>
      <c r="O760" s="94">
        <f>SUM(O761:O762)</f>
        <v>0</v>
      </c>
    </row>
    <row r="761" spans="1:15" ht="25.15" customHeight="1">
      <c r="A761" s="51"/>
      <c r="B761" s="863">
        <f>'Cjenik M'!$B$105</f>
        <v>0</v>
      </c>
      <c r="C761" s="863"/>
      <c r="D761" s="52">
        <f>'Cjenik M'!$C$105</f>
        <v>0</v>
      </c>
      <c r="E761" s="53">
        <v>1</v>
      </c>
      <c r="F761" s="260">
        <f>'Cjenik M'!$D$105</f>
        <v>0</v>
      </c>
      <c r="G761" s="55">
        <f>E761*F761</f>
        <v>0</v>
      </c>
      <c r="I761" s="51"/>
      <c r="J761" s="863">
        <f>'Cjenik M'!$B$105</f>
        <v>0</v>
      </c>
      <c r="K761" s="863"/>
      <c r="L761" s="52">
        <f>'Cjenik M'!$C$105</f>
        <v>0</v>
      </c>
      <c r="M761" s="53">
        <v>1</v>
      </c>
      <c r="N761" s="260">
        <f>'Cjenik M'!$D$105</f>
        <v>0</v>
      </c>
      <c r="O761" s="55">
        <f>M761*N761</f>
        <v>0</v>
      </c>
    </row>
    <row r="762" spans="1:15" ht="25.15" customHeight="1" thickBot="1">
      <c r="A762" s="66"/>
      <c r="B762" s="859">
        <f>'Cjenik M'!$B$31</f>
        <v>0</v>
      </c>
      <c r="C762" s="859"/>
      <c r="D762" s="67">
        <f>'Cjenik M'!$C$31</f>
        <v>0</v>
      </c>
      <c r="E762" s="68">
        <v>1.2500000000000001E-2</v>
      </c>
      <c r="F762" s="262">
        <f>'Cjenik M'!$D$31</f>
        <v>0</v>
      </c>
      <c r="G762" s="70">
        <f>E762*F762</f>
        <v>0</v>
      </c>
      <c r="I762" s="66"/>
      <c r="J762" s="859">
        <f>'Cjenik M'!$B$31</f>
        <v>0</v>
      </c>
      <c r="K762" s="859"/>
      <c r="L762" s="67">
        <f>'Cjenik M'!$C$31</f>
        <v>0</v>
      </c>
      <c r="M762" s="68">
        <v>2.3333E-2</v>
      </c>
      <c r="N762" s="262">
        <f>'Cjenik M'!$D$31</f>
        <v>0</v>
      </c>
      <c r="O762" s="70">
        <f>M762*N762</f>
        <v>0</v>
      </c>
    </row>
    <row r="763" spans="1:15" ht="25.15" customHeight="1" thickTop="1" thickBot="1">
      <c r="B763" s="47"/>
      <c r="C763" s="24"/>
      <c r="D763" s="25"/>
      <c r="E763" s="850" t="str">
        <f>'Obrazac kalkulacije'!$E$18</f>
        <v>Ukupno (kn):</v>
      </c>
      <c r="F763" s="850"/>
      <c r="G763" s="26">
        <f>ROUND(SUM(G755+G757+G760),2)</f>
        <v>441.76</v>
      </c>
      <c r="H763" s="269" t="e">
        <f>SUMIF(#REF!,$B751,#REF!)</f>
        <v>#REF!</v>
      </c>
      <c r="J763" s="47"/>
      <c r="K763" s="24"/>
      <c r="L763" s="25"/>
      <c r="M763" s="850" t="str">
        <f>'Obrazac kalkulacije'!$E$18</f>
        <v>Ukupno (kn):</v>
      </c>
      <c r="N763" s="850"/>
      <c r="O763" s="26">
        <f>ROUND(SUM(O755+O757+O760),2)</f>
        <v>459.26</v>
      </c>
    </row>
    <row r="764" spans="1:15" ht="25.15" customHeight="1" thickTop="1" thickBot="1">
      <c r="E764" s="27" t="str">
        <f>'Obrazac kalkulacije'!$E$19</f>
        <v>PDV:</v>
      </c>
      <c r="F764" s="259">
        <f>'Obrazac kalkulacije'!$F$19</f>
        <v>0.25</v>
      </c>
      <c r="G764" s="29">
        <f>G763*F764</f>
        <v>110.44</v>
      </c>
      <c r="H764" s="270" t="e">
        <f>H763-G763</f>
        <v>#REF!</v>
      </c>
      <c r="M764" s="27" t="str">
        <f>'Obrazac kalkulacije'!$E$19</f>
        <v>PDV:</v>
      </c>
      <c r="N764" s="259">
        <f>'Obrazac kalkulacije'!$F$19</f>
        <v>0.25</v>
      </c>
      <c r="O764" s="29">
        <f>O763*N764</f>
        <v>114.815</v>
      </c>
    </row>
    <row r="765" spans="1:15" ht="25.15" customHeight="1" thickTop="1" thickBot="1">
      <c r="E765" s="840" t="str">
        <f>'Obrazac kalkulacije'!$E$20</f>
        <v>Sveukupno (kn):</v>
      </c>
      <c r="F765" s="840"/>
      <c r="G765" s="29">
        <f>ROUND(SUM(G763:G764),2)</f>
        <v>552.20000000000005</v>
      </c>
      <c r="H765" s="271" t="e">
        <f>G758+H764</f>
        <v>#REF!</v>
      </c>
      <c r="M765" s="840" t="str">
        <f>'Obrazac kalkulacije'!$E$20</f>
        <v>Sveukupno (kn):</v>
      </c>
      <c r="N765" s="840"/>
      <c r="O765" s="29">
        <f>ROUND(SUM(O763:O764),2)</f>
        <v>574.08000000000004</v>
      </c>
    </row>
    <row r="766" spans="1:15" ht="15" customHeight="1" thickTop="1"/>
    <row r="767" spans="1:15" ht="15" customHeight="1"/>
    <row r="768" spans="1:15" ht="15" customHeight="1"/>
    <row r="769" spans="1:15" ht="15" customHeight="1">
      <c r="C769" s="3" t="str">
        <f>'Obrazac kalkulacije'!$C$24</f>
        <v>IZVODITELJ:</v>
      </c>
      <c r="F769" s="841" t="str">
        <f>'Obrazac kalkulacije'!$F$24</f>
        <v>NARUČITELJ:</v>
      </c>
      <c r="G769" s="841"/>
      <c r="K769" s="3" t="str">
        <f>'Obrazac kalkulacije'!$C$24</f>
        <v>IZVODITELJ:</v>
      </c>
      <c r="N769" s="841" t="str">
        <f>'Obrazac kalkulacije'!$F$24</f>
        <v>NARUČITELJ:</v>
      </c>
      <c r="O769" s="841"/>
    </row>
    <row r="770" spans="1:15" ht="25.15" customHeight="1">
      <c r="C770" s="3" t="str">
        <f>'Obrazac kalkulacije'!$C$25</f>
        <v>__________________</v>
      </c>
      <c r="F770" s="841" t="str">
        <f>'Obrazac kalkulacije'!$F$25</f>
        <v>___________________</v>
      </c>
      <c r="G770" s="841"/>
      <c r="K770" s="3" t="str">
        <f>'Obrazac kalkulacije'!$C$25</f>
        <v>__________________</v>
      </c>
      <c r="N770" s="841" t="str">
        <f>'Obrazac kalkulacije'!$F$25</f>
        <v>___________________</v>
      </c>
      <c r="O770" s="841"/>
    </row>
    <row r="771" spans="1:15" ht="15" customHeight="1">
      <c r="F771" s="841"/>
      <c r="G771" s="841"/>
      <c r="N771" s="841"/>
      <c r="O771" s="841"/>
    </row>
    <row r="772" spans="1:15" ht="15" customHeight="1"/>
    <row r="773" spans="1:15" ht="15" customHeight="1">
      <c r="A773" s="144"/>
      <c r="B773" s="145" t="s">
        <v>39</v>
      </c>
      <c r="C773" s="836" t="s">
        <v>360</v>
      </c>
      <c r="D773" s="836"/>
      <c r="E773" s="836"/>
      <c r="F773" s="836"/>
      <c r="G773" s="836"/>
      <c r="I773" s="144"/>
      <c r="J773" s="145" t="s">
        <v>39</v>
      </c>
      <c r="K773" s="836" t="s">
        <v>360</v>
      </c>
      <c r="L773" s="836"/>
      <c r="M773" s="836"/>
      <c r="N773" s="836"/>
      <c r="O773" s="836"/>
    </row>
    <row r="774" spans="1:15" ht="15" customHeight="1">
      <c r="A774" s="38"/>
      <c r="B774" s="39" t="s">
        <v>44</v>
      </c>
      <c r="C774" s="860" t="s">
        <v>424</v>
      </c>
      <c r="D774" s="860"/>
      <c r="E774" s="860"/>
      <c r="F774" s="860"/>
      <c r="G774" s="860"/>
      <c r="I774" s="38"/>
      <c r="J774" s="39" t="s">
        <v>44</v>
      </c>
      <c r="K774" s="860" t="s">
        <v>424</v>
      </c>
      <c r="L774" s="860"/>
      <c r="M774" s="860"/>
      <c r="N774" s="860"/>
      <c r="O774" s="860"/>
    </row>
    <row r="775" spans="1:15" ht="150" customHeight="1">
      <c r="A775" s="40"/>
      <c r="B775" s="556" t="s">
        <v>462</v>
      </c>
      <c r="C775" s="852" t="s">
        <v>463</v>
      </c>
      <c r="D775" s="852"/>
      <c r="E775" s="852"/>
      <c r="F775" s="852"/>
      <c r="G775" s="852"/>
      <c r="I775" s="40"/>
      <c r="J775" s="41" t="s">
        <v>462</v>
      </c>
      <c r="K775" s="869" t="s">
        <v>463</v>
      </c>
      <c r="L775" s="869"/>
      <c r="M775" s="869"/>
      <c r="N775" s="869"/>
      <c r="O775" s="869"/>
    </row>
    <row r="776" spans="1:15" ht="15" customHeight="1" thickBot="1"/>
    <row r="777" spans="1:15" ht="30" customHeight="1" thickTop="1" thickBot="1">
      <c r="A777" s="10"/>
      <c r="B777" s="835" t="str">
        <f>'Obrazac kalkulacije'!$B$6:$C$6</f>
        <v>Opis</v>
      </c>
      <c r="C777" s="835"/>
      <c r="D777" s="10" t="str">
        <f>'Obrazac kalkulacije'!$D$6</f>
        <v>Jed.
mjere</v>
      </c>
      <c r="E777" s="10" t="str">
        <f>'Obrazac kalkulacije'!$E$6</f>
        <v>Normativ</v>
      </c>
      <c r="F777" s="10" t="str">
        <f>'Obrazac kalkulacije'!$F$6</f>
        <v>Jed.
cijena</v>
      </c>
      <c r="G777" s="10" t="str">
        <f>'Obrazac kalkulacije'!$G$6</f>
        <v>Iznos</v>
      </c>
      <c r="I777" s="10"/>
      <c r="J777" s="835" t="e">
        <f>'Obrazac kalkulacije'!$B$6:$C$6</f>
        <v>#VALUE!</v>
      </c>
      <c r="K777" s="835"/>
      <c r="L777" s="10" t="str">
        <f>'Obrazac kalkulacije'!$D$6</f>
        <v>Jed.
mjere</v>
      </c>
      <c r="M777" s="10" t="str">
        <f>'Obrazac kalkulacije'!$E$6</f>
        <v>Normativ</v>
      </c>
      <c r="N777" s="10" t="str">
        <f>'Obrazac kalkulacije'!$F$6</f>
        <v>Jed.
cijena</v>
      </c>
      <c r="O777" s="10" t="str">
        <f>'Obrazac kalkulacije'!$G$6</f>
        <v>Iznos</v>
      </c>
    </row>
    <row r="778" spans="1:15" ht="4.5" customHeight="1" thickTop="1">
      <c r="B778" s="42"/>
      <c r="C778" s="1"/>
      <c r="D778" s="11"/>
      <c r="E778" s="13"/>
      <c r="F778" s="258"/>
      <c r="G778" s="630"/>
      <c r="J778" s="42"/>
      <c r="K778" s="1"/>
      <c r="L778" s="11"/>
      <c r="M778" s="13"/>
      <c r="N778" s="258"/>
      <c r="O778" s="630"/>
    </row>
    <row r="779" spans="1:15" ht="25.15" customHeight="1">
      <c r="A779" s="16"/>
      <c r="B779" s="837" t="str">
        <f>'Obrazac kalkulacije'!$B$8</f>
        <v>Radna snaga:</v>
      </c>
      <c r="C779" s="837"/>
      <c r="D779" s="16"/>
      <c r="E779" s="16"/>
      <c r="F779" s="44"/>
      <c r="G779" s="18">
        <f>SUM(G780:G780)</f>
        <v>36.7605</v>
      </c>
      <c r="I779" s="16"/>
      <c r="J779" s="837" t="str">
        <f>'Obrazac kalkulacije'!$B$8</f>
        <v>Radna snaga:</v>
      </c>
      <c r="K779" s="837"/>
      <c r="L779" s="16"/>
      <c r="M779" s="16"/>
      <c r="N779" s="44"/>
      <c r="O779" s="18">
        <f>SUM(O780:O780)</f>
        <v>56.988332730000003</v>
      </c>
    </row>
    <row r="780" spans="1:15" ht="25.15" customHeight="1">
      <c r="A780" s="32"/>
      <c r="B780" s="854" t="s">
        <v>57</v>
      </c>
      <c r="C780" s="854"/>
      <c r="D780" s="33" t="s">
        <v>51</v>
      </c>
      <c r="E780" s="34">
        <v>0.35</v>
      </c>
      <c r="F780" s="238">
        <f>SUMIF('Cjenik RS'!$C$11:$C$26,$B780,'Cjenik RS'!$D$11:$D$90)</f>
        <v>105.03</v>
      </c>
      <c r="G780" s="35">
        <f>+F780*E780</f>
        <v>36.7605</v>
      </c>
      <c r="I780" s="32"/>
      <c r="J780" s="854" t="s">
        <v>57</v>
      </c>
      <c r="K780" s="854"/>
      <c r="L780" s="33" t="s">
        <v>51</v>
      </c>
      <c r="M780" s="34">
        <v>0.54259100000000005</v>
      </c>
      <c r="N780" s="44">
        <f>SUMIF('Cjenik RS'!$C$11:$C$26,J780,'Cjenik RS'!$D$11:$D$90)</f>
        <v>105.03</v>
      </c>
      <c r="O780" s="35">
        <f>+N780*M780</f>
        <v>56.988332730000003</v>
      </c>
    </row>
    <row r="781" spans="1:15" ht="25.15" customHeight="1">
      <c r="A781" s="16"/>
      <c r="B781" s="837" t="str">
        <f>'Obrazac kalkulacije'!$B$11</f>
        <v>Vozila, strojevi i oprema:</v>
      </c>
      <c r="C781" s="837"/>
      <c r="D781" s="16"/>
      <c r="E781" s="16"/>
      <c r="F781" s="238">
        <f>'Obrazac kalkulacije'!$F$11</f>
        <v>0</v>
      </c>
      <c r="G781" s="18">
        <f>SUM(G782:G782)</f>
        <v>26.939999999999998</v>
      </c>
      <c r="I781" s="16"/>
      <c r="J781" s="837" t="str">
        <f>'Obrazac kalkulacije'!$B$11</f>
        <v>Vozila, strojevi i oprema:</v>
      </c>
      <c r="K781" s="837"/>
      <c r="L781" s="16"/>
      <c r="M781" s="16"/>
      <c r="N781" s="238">
        <f>'Obrazac kalkulacije'!$F$11</f>
        <v>0</v>
      </c>
      <c r="O781" s="18">
        <f>SUM(O782:O782)</f>
        <v>20.4643424</v>
      </c>
    </row>
    <row r="782" spans="1:15" ht="25.15" customHeight="1" thickBot="1">
      <c r="A782" s="43"/>
      <c r="B782" s="865" t="s">
        <v>69</v>
      </c>
      <c r="C782" s="865"/>
      <c r="D782" s="52" t="s">
        <v>51</v>
      </c>
      <c r="E782" s="53">
        <v>0.15</v>
      </c>
      <c r="F782" s="260">
        <f>SUMIF('Cjenik VSO'!$B$9:$B$85,$B782,'Cjenik VSO'!$C$9:$C$85)</f>
        <v>179.6</v>
      </c>
      <c r="G782" s="55">
        <f>E782*F782</f>
        <v>26.939999999999998</v>
      </c>
      <c r="I782" s="43"/>
      <c r="J782" s="865" t="s">
        <v>69</v>
      </c>
      <c r="K782" s="865"/>
      <c r="L782" s="52" t="s">
        <v>51</v>
      </c>
      <c r="M782" s="53">
        <v>0.113944</v>
      </c>
      <c r="N782" s="260">
        <f>SUMIF('Cjenik VSO'!$B$9:$B$85,$B782,'Cjenik VSO'!$C$9:$C$85)</f>
        <v>179.6</v>
      </c>
      <c r="O782" s="55">
        <f>M782*N782</f>
        <v>20.4643424</v>
      </c>
    </row>
    <row r="783" spans="1:15" ht="25.15" customHeight="1" thickTop="1" thickBot="1">
      <c r="B783" s="47"/>
      <c r="C783" s="24"/>
      <c r="D783" s="25"/>
      <c r="E783" s="850" t="str">
        <f>'Obrazac kalkulacije'!$E$18</f>
        <v>Ukupno (kn):</v>
      </c>
      <c r="F783" s="850"/>
      <c r="G783" s="26">
        <f>ROUND(SUM(G779+G781),2)</f>
        <v>63.7</v>
      </c>
      <c r="H783" s="269" t="e">
        <f>SUMIF(#REF!,$B775,#REF!)</f>
        <v>#REF!</v>
      </c>
      <c r="J783" s="47"/>
      <c r="K783" s="24"/>
      <c r="L783" s="25"/>
      <c r="M783" s="850" t="str">
        <f>'Obrazac kalkulacije'!$E$18</f>
        <v>Ukupno (kn):</v>
      </c>
      <c r="N783" s="850"/>
      <c r="O783" s="26">
        <f>ROUND(SUM(O779+O781),2)</f>
        <v>77.45</v>
      </c>
    </row>
    <row r="784" spans="1:15" ht="25.15" customHeight="1" thickTop="1" thickBot="1">
      <c r="E784" s="27" t="str">
        <f>'Obrazac kalkulacije'!$E$19</f>
        <v>PDV:</v>
      </c>
      <c r="F784" s="259">
        <f>'Obrazac kalkulacije'!$F$19</f>
        <v>0.25</v>
      </c>
      <c r="G784" s="29">
        <f>G783*F784</f>
        <v>15.925000000000001</v>
      </c>
      <c r="H784" s="270" t="e">
        <f>H783-G783</f>
        <v>#REF!</v>
      </c>
      <c r="M784" s="27" t="str">
        <f>'Obrazac kalkulacije'!$E$19</f>
        <v>PDV:</v>
      </c>
      <c r="N784" s="259">
        <f>'Obrazac kalkulacije'!$F$19</f>
        <v>0.25</v>
      </c>
      <c r="O784" s="29">
        <f>O783*N784</f>
        <v>19.362500000000001</v>
      </c>
    </row>
    <row r="785" spans="1:15" ht="25.15" customHeight="1" thickTop="1" thickBot="1">
      <c r="E785" s="840" t="str">
        <f>'Obrazac kalkulacije'!$E$20</f>
        <v>Sveukupno (kn):</v>
      </c>
      <c r="F785" s="840"/>
      <c r="G785" s="29">
        <f>ROUND(SUM(G783:G784),2)</f>
        <v>79.63</v>
      </c>
      <c r="H785" s="271" t="e">
        <f>G782+H784</f>
        <v>#REF!</v>
      </c>
      <c r="M785" s="840" t="str">
        <f>'Obrazac kalkulacije'!$E$20</f>
        <v>Sveukupno (kn):</v>
      </c>
      <c r="N785" s="840"/>
      <c r="O785" s="29">
        <f>ROUND(SUM(O783:O784),2)</f>
        <v>96.81</v>
      </c>
    </row>
    <row r="786" spans="1:15" ht="15" customHeight="1" thickTop="1"/>
    <row r="787" spans="1:15" ht="15" customHeight="1"/>
    <row r="788" spans="1:15" ht="15" customHeight="1"/>
    <row r="789" spans="1:15" ht="15" customHeight="1">
      <c r="C789" s="3" t="str">
        <f>'Obrazac kalkulacije'!$C$24</f>
        <v>IZVODITELJ:</v>
      </c>
      <c r="F789" s="841" t="str">
        <f>'Obrazac kalkulacije'!$F$24</f>
        <v>NARUČITELJ:</v>
      </c>
      <c r="G789" s="841"/>
      <c r="K789" s="3" t="str">
        <f>'Obrazac kalkulacije'!$C$24</f>
        <v>IZVODITELJ:</v>
      </c>
      <c r="N789" s="841" t="str">
        <f>'Obrazac kalkulacije'!$F$24</f>
        <v>NARUČITELJ:</v>
      </c>
      <c r="O789" s="841"/>
    </row>
    <row r="790" spans="1:15" ht="25.15" customHeight="1">
      <c r="C790" s="3" t="str">
        <f>'Obrazac kalkulacije'!$C$25</f>
        <v>__________________</v>
      </c>
      <c r="F790" s="841" t="str">
        <f>'Obrazac kalkulacije'!$F$25</f>
        <v>___________________</v>
      </c>
      <c r="G790" s="841"/>
      <c r="K790" s="3" t="str">
        <f>'Obrazac kalkulacije'!$C$25</f>
        <v>__________________</v>
      </c>
      <c r="N790" s="841" t="str">
        <f>'Obrazac kalkulacije'!$F$25</f>
        <v>___________________</v>
      </c>
      <c r="O790" s="841"/>
    </row>
    <row r="791" spans="1:15" ht="15" customHeight="1">
      <c r="F791" s="841"/>
      <c r="G791" s="841"/>
      <c r="N791" s="841"/>
      <c r="O791" s="841"/>
    </row>
    <row r="792" spans="1:15" ht="15" customHeight="1"/>
    <row r="793" spans="1:15" ht="15" customHeight="1">
      <c r="A793" s="144"/>
      <c r="B793" s="145" t="s">
        <v>39</v>
      </c>
      <c r="C793" s="836" t="s">
        <v>360</v>
      </c>
      <c r="D793" s="836"/>
      <c r="E793" s="836"/>
      <c r="F793" s="836"/>
      <c r="G793" s="836"/>
      <c r="I793" s="144"/>
      <c r="J793" s="145" t="s">
        <v>39</v>
      </c>
      <c r="K793" s="836" t="s">
        <v>360</v>
      </c>
      <c r="L793" s="836"/>
      <c r="M793" s="836"/>
      <c r="N793" s="836"/>
      <c r="O793" s="836"/>
    </row>
    <row r="794" spans="1:15" ht="15" customHeight="1">
      <c r="A794" s="38"/>
      <c r="B794" s="39" t="s">
        <v>44</v>
      </c>
      <c r="C794" s="860" t="s">
        <v>424</v>
      </c>
      <c r="D794" s="860"/>
      <c r="E794" s="860"/>
      <c r="F794" s="860"/>
      <c r="G794" s="860"/>
      <c r="I794" s="38"/>
      <c r="J794" s="39" t="s">
        <v>44</v>
      </c>
      <c r="K794" s="860" t="s">
        <v>424</v>
      </c>
      <c r="L794" s="860"/>
      <c r="M794" s="860"/>
      <c r="N794" s="860"/>
      <c r="O794" s="860"/>
    </row>
    <row r="795" spans="1:15" ht="150" customHeight="1">
      <c r="A795" s="40"/>
      <c r="B795" s="556" t="s">
        <v>464</v>
      </c>
      <c r="C795" s="852" t="s">
        <v>465</v>
      </c>
      <c r="D795" s="852"/>
      <c r="E795" s="852"/>
      <c r="F795" s="852"/>
      <c r="G795" s="852"/>
      <c r="I795" s="40"/>
      <c r="J795" s="41" t="s">
        <v>464</v>
      </c>
      <c r="K795" s="869" t="s">
        <v>466</v>
      </c>
      <c r="L795" s="869"/>
      <c r="M795" s="869"/>
      <c r="N795" s="869"/>
      <c r="O795" s="869"/>
    </row>
    <row r="796" spans="1:15" ht="15" customHeight="1" thickBot="1"/>
    <row r="797" spans="1:15" ht="30" customHeight="1" thickTop="1" thickBot="1">
      <c r="A797" s="10"/>
      <c r="B797" s="835" t="str">
        <f>'Obrazac kalkulacije'!$B$6:$C$6</f>
        <v>Opis</v>
      </c>
      <c r="C797" s="835"/>
      <c r="D797" s="10" t="str">
        <f>'Obrazac kalkulacije'!$D$6</f>
        <v>Jed.
mjere</v>
      </c>
      <c r="E797" s="10" t="str">
        <f>'Obrazac kalkulacije'!$E$6</f>
        <v>Normativ</v>
      </c>
      <c r="F797" s="10" t="str">
        <f>'Obrazac kalkulacije'!$F$6</f>
        <v>Jed.
cijena</v>
      </c>
      <c r="G797" s="10" t="str">
        <f>'Obrazac kalkulacije'!$G$6</f>
        <v>Iznos</v>
      </c>
      <c r="I797" s="10"/>
      <c r="J797" s="835" t="e">
        <f>'Obrazac kalkulacije'!$B$6:$C$6</f>
        <v>#VALUE!</v>
      </c>
      <c r="K797" s="835"/>
      <c r="L797" s="10" t="str">
        <f>'Obrazac kalkulacije'!$D$6</f>
        <v>Jed.
mjere</v>
      </c>
      <c r="M797" s="10" t="str">
        <f>'Obrazac kalkulacije'!$E$6</f>
        <v>Normativ</v>
      </c>
      <c r="N797" s="10" t="str">
        <f>'Obrazac kalkulacije'!$F$6</f>
        <v>Jed.
cijena</v>
      </c>
      <c r="O797" s="10" t="str">
        <f>'Obrazac kalkulacije'!$G$6</f>
        <v>Iznos</v>
      </c>
    </row>
    <row r="798" spans="1:15" ht="4.5" customHeight="1" thickTop="1">
      <c r="B798" s="42"/>
      <c r="C798" s="1"/>
      <c r="D798" s="11"/>
      <c r="E798" s="13"/>
      <c r="F798" s="258"/>
      <c r="G798" s="630"/>
      <c r="J798" s="42"/>
      <c r="K798" s="1"/>
      <c r="L798" s="11"/>
      <c r="M798" s="13"/>
      <c r="N798" s="258"/>
      <c r="O798" s="630"/>
    </row>
    <row r="799" spans="1:15" ht="25.15" customHeight="1">
      <c r="A799" s="16"/>
      <c r="B799" s="837" t="str">
        <f>'Obrazac kalkulacije'!$B$8</f>
        <v>Radna snaga:</v>
      </c>
      <c r="C799" s="837"/>
      <c r="D799" s="16"/>
      <c r="E799" s="16"/>
      <c r="F799" s="44"/>
      <c r="G799" s="18">
        <f>SUM(G800:G800)</f>
        <v>5.7766500000000001</v>
      </c>
      <c r="I799" s="16"/>
      <c r="J799" s="837" t="str">
        <f>'Obrazac kalkulacije'!$B$8</f>
        <v>Radna snaga:</v>
      </c>
      <c r="K799" s="837"/>
      <c r="L799" s="16"/>
      <c r="M799" s="16"/>
      <c r="N799" s="44"/>
      <c r="O799" s="18">
        <f>SUM(O800:O800)</f>
        <v>8.0317491299999997</v>
      </c>
    </row>
    <row r="800" spans="1:15" ht="25.15" customHeight="1">
      <c r="A800" s="32"/>
      <c r="B800" s="854" t="s">
        <v>57</v>
      </c>
      <c r="C800" s="854"/>
      <c r="D800" s="637" t="s">
        <v>51</v>
      </c>
      <c r="E800" s="104">
        <v>5.5E-2</v>
      </c>
      <c r="F800" s="238">
        <f>SUMIF('Cjenik RS'!$C$11:$C$26,$B800,'Cjenik RS'!$D$11:$D$90)</f>
        <v>105.03</v>
      </c>
      <c r="G800" s="46">
        <f>+F800*E800</f>
        <v>5.7766500000000001</v>
      </c>
      <c r="I800" s="32"/>
      <c r="J800" s="854" t="s">
        <v>57</v>
      </c>
      <c r="K800" s="854"/>
      <c r="L800" s="33" t="s">
        <v>51</v>
      </c>
      <c r="M800" s="34">
        <v>7.6470999999999997E-2</v>
      </c>
      <c r="N800" s="44">
        <f>SUMIF('Cjenik RS'!$C$11:$C$26,J800,'Cjenik RS'!$D$11:$D$90)</f>
        <v>105.03</v>
      </c>
      <c r="O800" s="35">
        <f>+N800*M800</f>
        <v>8.0317491299999997</v>
      </c>
    </row>
    <row r="801" spans="1:15" ht="25.15" customHeight="1">
      <c r="A801" s="16"/>
      <c r="B801" s="837" t="str">
        <f>'Obrazac kalkulacije'!$B$11</f>
        <v>Vozila, strojevi i oprema:</v>
      </c>
      <c r="C801" s="837"/>
      <c r="D801" s="16"/>
      <c r="E801" s="16"/>
      <c r="F801" s="238">
        <f>'Obrazac kalkulacije'!$F$11</f>
        <v>0</v>
      </c>
      <c r="G801" s="18">
        <f>SUM(G802:G802)</f>
        <v>9.8780000000000001</v>
      </c>
      <c r="I801" s="16"/>
      <c r="J801" s="837" t="str">
        <f>'Obrazac kalkulacije'!$B$11</f>
        <v>Vozila, strojevi i oprema:</v>
      </c>
      <c r="K801" s="837"/>
      <c r="L801" s="16"/>
      <c r="M801" s="16"/>
      <c r="N801" s="238">
        <f>'Obrazac kalkulacije'!$F$11</f>
        <v>0</v>
      </c>
      <c r="O801" s="18">
        <f>SUM(O802:O802)</f>
        <v>10.504983599999999</v>
      </c>
    </row>
    <row r="802" spans="1:15" ht="25.15" customHeight="1" thickBot="1">
      <c r="A802" s="16"/>
      <c r="B802" s="838" t="s">
        <v>69</v>
      </c>
      <c r="C802" s="838"/>
      <c r="D802" s="44" t="s">
        <v>51</v>
      </c>
      <c r="E802" s="45">
        <v>5.5E-2</v>
      </c>
      <c r="F802" s="238">
        <f>SUMIF('Cjenik VSO'!$B$9:$B$85,$B802,'Cjenik VSO'!$C$9:$C$85)</f>
        <v>179.6</v>
      </c>
      <c r="G802" s="46">
        <f>E802*F802</f>
        <v>9.8780000000000001</v>
      </c>
      <c r="I802" s="43"/>
      <c r="J802" s="865" t="s">
        <v>69</v>
      </c>
      <c r="K802" s="865"/>
      <c r="L802" s="52" t="s">
        <v>51</v>
      </c>
      <c r="M802" s="53">
        <v>5.8491000000000001E-2</v>
      </c>
      <c r="N802" s="260">
        <f>SUMIF('Cjenik VSO'!$B$9:$B$85,$B802,'Cjenik VSO'!$C$9:$C$85)</f>
        <v>179.6</v>
      </c>
      <c r="O802" s="55">
        <f>M802*N802</f>
        <v>10.504983599999999</v>
      </c>
    </row>
    <row r="803" spans="1:15" ht="25.15" customHeight="1" thickTop="1">
      <c r="A803" s="16"/>
      <c r="B803" s="837" t="str">
        <f>'Obrazac kalkulacije'!$B$15</f>
        <v>Materijali:</v>
      </c>
      <c r="C803" s="837"/>
      <c r="D803" s="16"/>
      <c r="E803" s="16"/>
      <c r="F803" s="238"/>
      <c r="G803" s="18">
        <f>SUM(G804)</f>
        <v>0</v>
      </c>
      <c r="I803" s="16"/>
      <c r="J803" s="837" t="str">
        <f>'Obrazac kalkulacije'!$B$15</f>
        <v>Materijali:</v>
      </c>
      <c r="K803" s="837"/>
      <c r="L803" s="16"/>
      <c r="M803" s="16"/>
      <c r="N803" s="238"/>
      <c r="O803" s="18"/>
    </row>
    <row r="804" spans="1:15" ht="25.15" customHeight="1" thickBot="1">
      <c r="A804" s="16"/>
      <c r="B804" s="884">
        <f>'Cjenik M'!$B$52</f>
        <v>0</v>
      </c>
      <c r="C804" s="838"/>
      <c r="D804" s="44" t="s">
        <v>441</v>
      </c>
      <c r="E804" s="45">
        <v>1</v>
      </c>
      <c r="F804" s="238">
        <f>'Cjenik M'!$D$52</f>
        <v>0</v>
      </c>
      <c r="G804" s="46">
        <f>E804*F804</f>
        <v>0</v>
      </c>
      <c r="I804" s="51"/>
      <c r="J804" s="863"/>
      <c r="K804" s="863"/>
      <c r="L804" s="52"/>
      <c r="M804" s="53"/>
      <c r="N804" s="260"/>
      <c r="O804" s="55">
        <f>M804*N804</f>
        <v>0</v>
      </c>
    </row>
    <row r="805" spans="1:15" ht="25.15" customHeight="1" thickTop="1" thickBot="1">
      <c r="E805" s="868" t="str">
        <f>'Obrazac kalkulacije'!$E$18</f>
        <v>Ukupno (kn):</v>
      </c>
      <c r="F805" s="868"/>
      <c r="G805" s="71">
        <f>ROUND(SUM(G799+G801+G803),2)</f>
        <v>15.65</v>
      </c>
      <c r="H805" s="269" t="e">
        <f>SUMIF(#REF!,$B795,#REF!)</f>
        <v>#REF!</v>
      </c>
      <c r="J805" s="47"/>
      <c r="K805" s="24"/>
      <c r="L805" s="25"/>
      <c r="M805" s="850" t="str">
        <f>'Obrazac kalkulacije'!$E$18</f>
        <v>Ukupno (kn):</v>
      </c>
      <c r="N805" s="850"/>
      <c r="O805" s="26">
        <f>ROUND(SUM(O799+O801),2)</f>
        <v>18.54</v>
      </c>
    </row>
    <row r="806" spans="1:15" ht="25.15" customHeight="1" thickTop="1" thickBot="1">
      <c r="E806" s="27" t="str">
        <f>'Obrazac kalkulacije'!$E$19</f>
        <v>PDV:</v>
      </c>
      <c r="F806" s="259">
        <f>'Obrazac kalkulacije'!$F$19</f>
        <v>0.25</v>
      </c>
      <c r="G806" s="29">
        <f>G805*F806</f>
        <v>3.9125000000000001</v>
      </c>
      <c r="H806" s="270" t="e">
        <f>H805-G805</f>
        <v>#REF!</v>
      </c>
      <c r="M806" s="27" t="str">
        <f>'Obrazac kalkulacije'!$E$19</f>
        <v>PDV:</v>
      </c>
      <c r="N806" s="259">
        <f>'Obrazac kalkulacije'!$F$19</f>
        <v>0.25</v>
      </c>
      <c r="O806" s="29">
        <f>O805*N806</f>
        <v>4.6349999999999998</v>
      </c>
    </row>
    <row r="807" spans="1:15" ht="25.15" customHeight="1" thickTop="1" thickBot="1">
      <c r="E807" s="840" t="str">
        <f>'Obrazac kalkulacije'!$E$20</f>
        <v>Sveukupno (kn):</v>
      </c>
      <c r="F807" s="840"/>
      <c r="G807" s="29">
        <f>ROUND(SUM(G805:G806),2)</f>
        <v>19.559999999999999</v>
      </c>
      <c r="H807" s="271" t="e">
        <f>G802+H806</f>
        <v>#REF!</v>
      </c>
      <c r="M807" s="840" t="str">
        <f>'Obrazac kalkulacije'!$E$20</f>
        <v>Sveukupno (kn):</v>
      </c>
      <c r="N807" s="840"/>
      <c r="O807" s="29">
        <f>ROUND(SUM(O805:O806),2)</f>
        <v>23.18</v>
      </c>
    </row>
    <row r="808" spans="1:15" ht="15" customHeight="1" thickTop="1"/>
    <row r="809" spans="1:15" ht="15" customHeight="1"/>
    <row r="810" spans="1:15" ht="15" customHeight="1"/>
    <row r="811" spans="1:15" ht="15" customHeight="1">
      <c r="C811" s="3" t="str">
        <f>'Obrazac kalkulacije'!$C$24</f>
        <v>IZVODITELJ:</v>
      </c>
      <c r="F811" s="841" t="str">
        <f>'Obrazac kalkulacije'!$F$24</f>
        <v>NARUČITELJ:</v>
      </c>
      <c r="G811" s="841"/>
      <c r="K811" s="3" t="str">
        <f>'Obrazac kalkulacije'!$C$24</f>
        <v>IZVODITELJ:</v>
      </c>
      <c r="N811" s="841" t="str">
        <f>'Obrazac kalkulacije'!$F$24</f>
        <v>NARUČITELJ:</v>
      </c>
      <c r="O811" s="841"/>
    </row>
    <row r="812" spans="1:15" ht="25.15" customHeight="1">
      <c r="C812" s="3" t="str">
        <f>'Obrazac kalkulacije'!$C$25</f>
        <v>__________________</v>
      </c>
      <c r="F812" s="841" t="str">
        <f>'Obrazac kalkulacije'!$F$25</f>
        <v>___________________</v>
      </c>
      <c r="G812" s="841"/>
      <c r="K812" s="3" t="str">
        <f>'Obrazac kalkulacije'!$C$25</f>
        <v>__________________</v>
      </c>
      <c r="N812" s="841" t="str">
        <f>'Obrazac kalkulacije'!$F$25</f>
        <v>___________________</v>
      </c>
      <c r="O812" s="841"/>
    </row>
    <row r="813" spans="1:15" ht="15" customHeight="1">
      <c r="F813" s="841"/>
      <c r="G813" s="841"/>
      <c r="N813" s="841"/>
      <c r="O813" s="841"/>
    </row>
    <row r="814" spans="1:15" ht="15" customHeight="1"/>
    <row r="815" spans="1:15" ht="15" customHeight="1">
      <c r="A815" s="144"/>
      <c r="B815" s="145" t="s">
        <v>39</v>
      </c>
      <c r="C815" s="836" t="s">
        <v>360</v>
      </c>
      <c r="D815" s="836"/>
      <c r="E815" s="836"/>
      <c r="F815" s="836"/>
      <c r="G815" s="836"/>
      <c r="I815" s="144"/>
      <c r="J815" s="145" t="s">
        <v>39</v>
      </c>
      <c r="K815" s="836" t="s">
        <v>360</v>
      </c>
      <c r="L815" s="836"/>
      <c r="M815" s="836"/>
      <c r="N815" s="836"/>
      <c r="O815" s="836"/>
    </row>
    <row r="816" spans="1:15" ht="15" customHeight="1">
      <c r="A816" s="38"/>
      <c r="B816" s="39" t="s">
        <v>44</v>
      </c>
      <c r="C816" s="860" t="s">
        <v>424</v>
      </c>
      <c r="D816" s="860"/>
      <c r="E816" s="860"/>
      <c r="F816" s="860"/>
      <c r="G816" s="860"/>
      <c r="I816" s="38"/>
      <c r="J816" s="39" t="s">
        <v>44</v>
      </c>
      <c r="K816" s="860" t="s">
        <v>424</v>
      </c>
      <c r="L816" s="860"/>
      <c r="M816" s="860"/>
      <c r="N816" s="860"/>
      <c r="O816" s="860"/>
    </row>
    <row r="817" spans="1:15" ht="150" customHeight="1">
      <c r="A817" s="40"/>
      <c r="B817" s="556" t="s">
        <v>467</v>
      </c>
      <c r="C817" s="852" t="s">
        <v>468</v>
      </c>
      <c r="D817" s="852"/>
      <c r="E817" s="852"/>
      <c r="F817" s="852"/>
      <c r="G817" s="852"/>
      <c r="I817" s="40"/>
      <c r="J817" s="41" t="s">
        <v>467</v>
      </c>
      <c r="K817" s="869" t="s">
        <v>469</v>
      </c>
      <c r="L817" s="869"/>
      <c r="M817" s="869"/>
      <c r="N817" s="869"/>
      <c r="O817" s="869"/>
    </row>
    <row r="818" spans="1:15" ht="15" customHeight="1" thickBot="1"/>
    <row r="819" spans="1:15" ht="30" customHeight="1" thickTop="1" thickBot="1">
      <c r="A819" s="10"/>
      <c r="B819" s="835" t="str">
        <f>'Obrazac kalkulacije'!$B$6:$C$6</f>
        <v>Opis</v>
      </c>
      <c r="C819" s="835"/>
      <c r="D819" s="10" t="str">
        <f>'Obrazac kalkulacije'!$D$6</f>
        <v>Jed.
mjere</v>
      </c>
      <c r="E819" s="10" t="str">
        <f>'Obrazac kalkulacije'!$E$6</f>
        <v>Normativ</v>
      </c>
      <c r="F819" s="10" t="str">
        <f>'Obrazac kalkulacije'!$F$6</f>
        <v>Jed.
cijena</v>
      </c>
      <c r="G819" s="10" t="str">
        <f>'Obrazac kalkulacije'!$G$6</f>
        <v>Iznos</v>
      </c>
      <c r="I819" s="10"/>
      <c r="J819" s="835" t="e">
        <f>'Obrazac kalkulacije'!$B$6:$C$6</f>
        <v>#VALUE!</v>
      </c>
      <c r="K819" s="835"/>
      <c r="L819" s="10" t="str">
        <f>'Obrazac kalkulacije'!$D$6</f>
        <v>Jed.
mjere</v>
      </c>
      <c r="M819" s="10" t="str">
        <f>'Obrazac kalkulacije'!$E$6</f>
        <v>Normativ</v>
      </c>
      <c r="N819" s="10" t="str">
        <f>'Obrazac kalkulacije'!$F$6</f>
        <v>Jed.
cijena</v>
      </c>
      <c r="O819" s="10" t="str">
        <f>'Obrazac kalkulacije'!$G$6</f>
        <v>Iznos</v>
      </c>
    </row>
    <row r="820" spans="1:15" ht="4.5" customHeight="1" thickTop="1">
      <c r="B820" s="42"/>
      <c r="C820" s="1"/>
      <c r="D820" s="11"/>
      <c r="E820" s="13"/>
      <c r="F820" s="258"/>
      <c r="G820" s="630"/>
      <c r="J820" s="42"/>
      <c r="K820" s="1"/>
      <c r="L820" s="11"/>
      <c r="M820" s="13"/>
      <c r="N820" s="258"/>
      <c r="O820" s="630"/>
    </row>
    <row r="821" spans="1:15" ht="25.15" customHeight="1">
      <c r="A821" s="16"/>
      <c r="B821" s="886" t="str">
        <f>'Obrazac kalkulacije'!$B$8</f>
        <v>Radna snaga:</v>
      </c>
      <c r="C821" s="886"/>
      <c r="D821" s="16"/>
      <c r="E821" s="16"/>
      <c r="F821" s="44"/>
      <c r="G821" s="18">
        <f>SUM(G822:G822)</f>
        <v>10.503</v>
      </c>
      <c r="I821" s="16"/>
      <c r="J821" s="886" t="str">
        <f>'Obrazac kalkulacije'!$B$8</f>
        <v>Radna snaga:</v>
      </c>
      <c r="K821" s="886"/>
      <c r="L821" s="16"/>
      <c r="M821" s="16"/>
      <c r="N821" s="44"/>
      <c r="O821" s="18">
        <f>SUM(O822:O822)</f>
        <v>10.061874</v>
      </c>
    </row>
    <row r="822" spans="1:15" ht="25.15" customHeight="1">
      <c r="A822" s="32"/>
      <c r="B822" s="854" t="s">
        <v>57</v>
      </c>
      <c r="C822" s="854"/>
      <c r="D822" s="637" t="s">
        <v>51</v>
      </c>
      <c r="E822" s="104">
        <v>0.1</v>
      </c>
      <c r="F822" s="238">
        <f>SUMIF('Cjenik RS'!$C$11:$C$26,$B822,'Cjenik RS'!$D$11:$D$90)</f>
        <v>105.03</v>
      </c>
      <c r="G822" s="46">
        <f>+F822*E822</f>
        <v>10.503</v>
      </c>
      <c r="I822" s="32"/>
      <c r="J822" s="854" t="s">
        <v>57</v>
      </c>
      <c r="K822" s="854"/>
      <c r="L822" s="33" t="s">
        <v>51</v>
      </c>
      <c r="M822" s="34">
        <v>9.5799999999999996E-2</v>
      </c>
      <c r="N822" s="44">
        <f>SUMIF('Cjenik RS'!$C$11:$C$26,J822,'Cjenik RS'!$D$11:$D$90)</f>
        <v>105.03</v>
      </c>
      <c r="O822" s="35">
        <f>+N822*M822</f>
        <v>10.061874</v>
      </c>
    </row>
    <row r="823" spans="1:15" ht="25.15" customHeight="1">
      <c r="A823" s="16"/>
      <c r="B823" s="837" t="str">
        <f>'Obrazac kalkulacije'!$B$11</f>
        <v>Vozila, strojevi i oprema:</v>
      </c>
      <c r="C823" s="837"/>
      <c r="D823" s="16"/>
      <c r="E823" s="16"/>
      <c r="F823" s="238">
        <f>'Obrazac kalkulacije'!$F$11</f>
        <v>0</v>
      </c>
      <c r="G823" s="18">
        <f>SUM(G824:G824)</f>
        <v>8.98</v>
      </c>
      <c r="I823" s="16"/>
      <c r="J823" s="837" t="str">
        <f>'Obrazac kalkulacije'!$B$11</f>
        <v>Vozila, strojevi i oprema:</v>
      </c>
      <c r="K823" s="837"/>
      <c r="L823" s="16"/>
      <c r="M823" s="16"/>
      <c r="N823" s="238">
        <f>'Obrazac kalkulacije'!$F$11</f>
        <v>0</v>
      </c>
      <c r="O823" s="18">
        <f>SUM(O824:O824)</f>
        <v>10.747263999999999</v>
      </c>
    </row>
    <row r="824" spans="1:15" ht="25.15" customHeight="1" thickBot="1">
      <c r="A824" s="16"/>
      <c r="B824" s="838" t="s">
        <v>69</v>
      </c>
      <c r="C824" s="838"/>
      <c r="D824" s="44" t="s">
        <v>51</v>
      </c>
      <c r="E824" s="45">
        <v>0.05</v>
      </c>
      <c r="F824" s="238">
        <f>SUMIF('Cjenik VSO'!$B$9:$B$85,$B824,'Cjenik VSO'!$C$9:$C$85)</f>
        <v>179.6</v>
      </c>
      <c r="G824" s="46">
        <f>E824*F824</f>
        <v>8.98</v>
      </c>
      <c r="I824" s="43"/>
      <c r="J824" s="865" t="s">
        <v>69</v>
      </c>
      <c r="K824" s="865"/>
      <c r="L824" s="52" t="s">
        <v>51</v>
      </c>
      <c r="M824" s="53">
        <v>5.9839999999999997E-2</v>
      </c>
      <c r="N824" s="260">
        <f>SUMIF('Cjenik VSO'!$B$9:$B$85,$B824,'Cjenik VSO'!$C$9:$C$85)</f>
        <v>179.6</v>
      </c>
      <c r="O824" s="55">
        <f>M824*N824</f>
        <v>10.747263999999999</v>
      </c>
    </row>
    <row r="825" spans="1:15" ht="25.15" customHeight="1" thickTop="1">
      <c r="A825" s="16"/>
      <c r="B825" s="837" t="str">
        <f>'Obrazac kalkulacije'!$B$15</f>
        <v>Materijali:</v>
      </c>
      <c r="C825" s="837"/>
      <c r="D825" s="16"/>
      <c r="E825" s="16"/>
      <c r="F825" s="238"/>
      <c r="G825" s="18">
        <f>SUM(G826)</f>
        <v>0</v>
      </c>
      <c r="I825" s="16"/>
      <c r="J825" s="837" t="str">
        <f>'Obrazac kalkulacije'!$B$15</f>
        <v>Materijali:</v>
      </c>
      <c r="K825" s="837"/>
      <c r="L825" s="16"/>
      <c r="M825" s="16"/>
      <c r="N825" s="238"/>
      <c r="O825" s="18"/>
    </row>
    <row r="826" spans="1:15" ht="25.15" customHeight="1" thickBot="1">
      <c r="A826" s="16"/>
      <c r="B826" s="884">
        <f>'Cjenik M'!B112</f>
        <v>0</v>
      </c>
      <c r="C826" s="838"/>
      <c r="D826" s="44" t="s">
        <v>441</v>
      </c>
      <c r="E826" s="45">
        <v>1</v>
      </c>
      <c r="F826" s="238">
        <f>'Cjenik M'!D112</f>
        <v>0</v>
      </c>
      <c r="G826" s="46">
        <f>E826*F826</f>
        <v>0</v>
      </c>
      <c r="I826" s="51"/>
      <c r="J826" s="863"/>
      <c r="K826" s="863"/>
      <c r="L826" s="52"/>
      <c r="M826" s="53"/>
      <c r="N826" s="260"/>
      <c r="O826" s="55">
        <f>M826*N826</f>
        <v>0</v>
      </c>
    </row>
    <row r="827" spans="1:15" ht="25.15" customHeight="1" thickTop="1" thickBot="1">
      <c r="E827" s="868" t="str">
        <f>'Obrazac kalkulacije'!$E$18</f>
        <v>Ukupno (kn):</v>
      </c>
      <c r="F827" s="868"/>
      <c r="G827" s="71">
        <f>ROUND(SUM(G821+G823+G825),2)</f>
        <v>19.48</v>
      </c>
      <c r="H827" s="269" t="e">
        <f>SUMIF(#REF!,$B817,#REF!)</f>
        <v>#REF!</v>
      </c>
      <c r="J827" s="47"/>
      <c r="K827" s="24"/>
      <c r="L827" s="25"/>
      <c r="M827" s="850" t="str">
        <f>'Obrazac kalkulacije'!$E$18</f>
        <v>Ukupno (kn):</v>
      </c>
      <c r="N827" s="850"/>
      <c r="O827" s="26">
        <f>ROUND(SUM(O821+O823),2)</f>
        <v>20.81</v>
      </c>
    </row>
    <row r="828" spans="1:15" ht="25.15" customHeight="1" thickTop="1" thickBot="1">
      <c r="E828" s="27" t="str">
        <f>'Obrazac kalkulacije'!$E$19</f>
        <v>PDV:</v>
      </c>
      <c r="F828" s="259">
        <f>'Obrazac kalkulacije'!$F$19</f>
        <v>0.25</v>
      </c>
      <c r="G828" s="29">
        <f>G827*F828</f>
        <v>4.87</v>
      </c>
      <c r="H828" s="270" t="e">
        <f>H827-G827</f>
        <v>#REF!</v>
      </c>
      <c r="M828" s="27" t="str">
        <f>'Obrazac kalkulacije'!$E$19</f>
        <v>PDV:</v>
      </c>
      <c r="N828" s="259">
        <f>'Obrazac kalkulacije'!$F$19</f>
        <v>0.25</v>
      </c>
      <c r="O828" s="29">
        <f>O827*N828</f>
        <v>5.2024999999999997</v>
      </c>
    </row>
    <row r="829" spans="1:15" ht="25.15" customHeight="1" thickTop="1" thickBot="1">
      <c r="E829" s="840" t="str">
        <f>'Obrazac kalkulacije'!$E$20</f>
        <v>Sveukupno (kn):</v>
      </c>
      <c r="F829" s="840"/>
      <c r="G829" s="29">
        <f>ROUND(SUM(G827:G828),2)</f>
        <v>24.35</v>
      </c>
      <c r="H829" s="271" t="e">
        <f>G824+H828</f>
        <v>#REF!</v>
      </c>
      <c r="M829" s="840" t="str">
        <f>'Obrazac kalkulacije'!$E$20</f>
        <v>Sveukupno (kn):</v>
      </c>
      <c r="N829" s="840"/>
      <c r="O829" s="29">
        <f>ROUND(SUM(O827:O828),2)</f>
        <v>26.01</v>
      </c>
    </row>
    <row r="830" spans="1:15" ht="15" customHeight="1" thickTop="1"/>
    <row r="831" spans="1:15" ht="15" customHeight="1"/>
    <row r="832" spans="1:15" ht="15" customHeight="1"/>
    <row r="833" spans="1:15" ht="15" customHeight="1">
      <c r="C833" s="3" t="str">
        <f>'Obrazac kalkulacije'!$C$24</f>
        <v>IZVODITELJ:</v>
      </c>
      <c r="F833" s="841" t="str">
        <f>'Obrazac kalkulacije'!$F$24</f>
        <v>NARUČITELJ:</v>
      </c>
      <c r="G833" s="841"/>
      <c r="K833" s="3" t="str">
        <f>'Obrazac kalkulacije'!$C$24</f>
        <v>IZVODITELJ:</v>
      </c>
      <c r="N833" s="841" t="str">
        <f>'Obrazac kalkulacije'!$F$24</f>
        <v>NARUČITELJ:</v>
      </c>
      <c r="O833" s="841"/>
    </row>
    <row r="834" spans="1:15" ht="25.15" customHeight="1">
      <c r="C834" s="3" t="str">
        <f>'Obrazac kalkulacije'!$C$25</f>
        <v>__________________</v>
      </c>
      <c r="F834" s="841" t="str">
        <f>'Obrazac kalkulacije'!$F$25</f>
        <v>___________________</v>
      </c>
      <c r="G834" s="841"/>
      <c r="K834" s="3" t="str">
        <f>'Obrazac kalkulacije'!$C$25</f>
        <v>__________________</v>
      </c>
      <c r="N834" s="841" t="str">
        <f>'Obrazac kalkulacije'!$F$25</f>
        <v>___________________</v>
      </c>
      <c r="O834" s="841"/>
    </row>
    <row r="835" spans="1:15" ht="15" customHeight="1">
      <c r="F835" s="841"/>
      <c r="G835" s="841"/>
      <c r="N835" s="841"/>
      <c r="O835" s="841"/>
    </row>
    <row r="836" spans="1:15" ht="15" customHeight="1"/>
    <row r="837" spans="1:15" ht="15" customHeight="1">
      <c r="A837" s="144"/>
      <c r="B837" s="145" t="s">
        <v>39</v>
      </c>
      <c r="C837" s="836" t="s">
        <v>360</v>
      </c>
      <c r="D837" s="836"/>
      <c r="E837" s="836"/>
      <c r="F837" s="836"/>
      <c r="G837" s="836"/>
      <c r="I837" s="144"/>
      <c r="J837" s="145" t="s">
        <v>39</v>
      </c>
      <c r="K837" s="836" t="s">
        <v>360</v>
      </c>
      <c r="L837" s="836"/>
      <c r="M837" s="836"/>
      <c r="N837" s="836"/>
      <c r="O837" s="836"/>
    </row>
    <row r="838" spans="1:15" ht="15" customHeight="1">
      <c r="A838" s="38"/>
      <c r="B838" s="39" t="s">
        <v>46</v>
      </c>
      <c r="C838" s="860" t="s">
        <v>470</v>
      </c>
      <c r="D838" s="860"/>
      <c r="E838" s="860"/>
      <c r="F838" s="860"/>
      <c r="G838" s="860"/>
      <c r="I838" s="38"/>
      <c r="J838" s="39" t="s">
        <v>46</v>
      </c>
      <c r="K838" s="860" t="s">
        <v>470</v>
      </c>
      <c r="L838" s="860"/>
      <c r="M838" s="860"/>
      <c r="N838" s="860"/>
      <c r="O838" s="860"/>
    </row>
    <row r="839" spans="1:15" ht="15" customHeight="1">
      <c r="A839" s="48"/>
      <c r="B839" s="49" t="s">
        <v>47</v>
      </c>
      <c r="C839" s="883" t="s">
        <v>471</v>
      </c>
      <c r="D839" s="883"/>
      <c r="E839" s="883"/>
      <c r="F839" s="883"/>
      <c r="G839" s="883"/>
      <c r="I839" s="48"/>
      <c r="J839" s="49" t="s">
        <v>47</v>
      </c>
      <c r="K839" s="883" t="s">
        <v>471</v>
      </c>
      <c r="L839" s="883"/>
      <c r="M839" s="883"/>
      <c r="N839" s="883"/>
      <c r="O839" s="883"/>
    </row>
    <row r="840" spans="1:15" ht="15" customHeight="1">
      <c r="A840" s="95"/>
      <c r="B840" s="96" t="s">
        <v>472</v>
      </c>
      <c r="C840" s="882" t="s">
        <v>473</v>
      </c>
      <c r="D840" s="882"/>
      <c r="E840" s="882"/>
      <c r="F840" s="882"/>
      <c r="G840" s="882"/>
      <c r="I840" s="95"/>
      <c r="J840" s="96" t="s">
        <v>472</v>
      </c>
      <c r="K840" s="882" t="s">
        <v>473</v>
      </c>
      <c r="L840" s="882"/>
      <c r="M840" s="882"/>
      <c r="N840" s="882"/>
      <c r="O840" s="882"/>
    </row>
    <row r="841" spans="1:15" ht="150" customHeight="1">
      <c r="A841" s="40"/>
      <c r="B841" s="556" t="s">
        <v>474</v>
      </c>
      <c r="C841" s="852" t="s">
        <v>475</v>
      </c>
      <c r="D841" s="852"/>
      <c r="E841" s="852"/>
      <c r="F841" s="852"/>
      <c r="G841" s="852"/>
      <c r="I841" s="40"/>
      <c r="J841" s="41" t="s">
        <v>476</v>
      </c>
      <c r="K841" s="869" t="s">
        <v>475</v>
      </c>
      <c r="L841" s="869"/>
      <c r="M841" s="869"/>
      <c r="N841" s="869"/>
      <c r="O841" s="869"/>
    </row>
    <row r="842" spans="1:15" ht="15" customHeight="1" thickBot="1"/>
    <row r="843" spans="1:15" ht="30" customHeight="1" thickTop="1" thickBot="1">
      <c r="A843" s="10"/>
      <c r="B843" s="835" t="str">
        <f>'Obrazac kalkulacije'!$B$6:$C$6</f>
        <v>Opis</v>
      </c>
      <c r="C843" s="835"/>
      <c r="D843" s="10" t="str">
        <f>'Obrazac kalkulacije'!$D$6</f>
        <v>Jed.
mjere</v>
      </c>
      <c r="E843" s="10" t="str">
        <f>'Obrazac kalkulacije'!$E$6</f>
        <v>Normativ</v>
      </c>
      <c r="F843" s="10" t="str">
        <f>'Obrazac kalkulacije'!$F$6</f>
        <v>Jed.
cijena</v>
      </c>
      <c r="G843" s="10" t="str">
        <f>'Obrazac kalkulacije'!$G$6</f>
        <v>Iznos</v>
      </c>
      <c r="H843" s="622">
        <v>13000</v>
      </c>
      <c r="I843" s="10"/>
      <c r="J843" s="835" t="e">
        <f>'Obrazac kalkulacije'!$B$6:$C$6</f>
        <v>#VALUE!</v>
      </c>
      <c r="K843" s="835"/>
      <c r="L843" s="10" t="str">
        <f>'Obrazac kalkulacije'!$D$6</f>
        <v>Jed.
mjere</v>
      </c>
      <c r="M843" s="10" t="str">
        <f>'Obrazac kalkulacije'!$E$6</f>
        <v>Normativ</v>
      </c>
      <c r="N843" s="10" t="str">
        <f>'Obrazac kalkulacije'!$F$6</f>
        <v>Jed.
cijena</v>
      </c>
      <c r="O843" s="10" t="str">
        <f>'Obrazac kalkulacije'!$G$6</f>
        <v>Iznos</v>
      </c>
    </row>
    <row r="844" spans="1:15" ht="4.5" customHeight="1" thickTop="1">
      <c r="B844" s="42"/>
      <c r="C844" s="1"/>
      <c r="D844" s="11"/>
      <c r="E844" s="13"/>
      <c r="F844" s="258"/>
      <c r="G844" s="630"/>
      <c r="H844" s="3"/>
      <c r="J844" s="42"/>
      <c r="K844" s="1"/>
      <c r="L844" s="11"/>
      <c r="M844" s="13"/>
      <c r="N844" s="258"/>
      <c r="O844" s="630"/>
    </row>
    <row r="845" spans="1:15" ht="25.15" customHeight="1">
      <c r="A845" s="16"/>
      <c r="B845" s="837" t="str">
        <f>'Obrazac kalkulacije'!$B$8</f>
        <v>Radna snaga:</v>
      </c>
      <c r="C845" s="837"/>
      <c r="D845" s="16"/>
      <c r="E845" s="16"/>
      <c r="F845" s="44"/>
      <c r="G845" s="18">
        <f>SUM(G846:G846)</f>
        <v>0.25853538461538461</v>
      </c>
      <c r="H845" s="3"/>
      <c r="I845" s="16"/>
      <c r="J845" s="837" t="str">
        <f>'Obrazac kalkulacije'!$B$8</f>
        <v>Radna snaga:</v>
      </c>
      <c r="K845" s="837"/>
      <c r="L845" s="16"/>
      <c r="M845" s="16"/>
      <c r="N845" s="44"/>
      <c r="O845" s="18">
        <f>SUM(O846:O846)</f>
        <v>0.14000499</v>
      </c>
    </row>
    <row r="846" spans="1:15" ht="25.15" customHeight="1">
      <c r="A846" s="32"/>
      <c r="B846" s="854" t="s">
        <v>57</v>
      </c>
      <c r="C846" s="854"/>
      <c r="D846" s="637" t="s">
        <v>51</v>
      </c>
      <c r="E846" s="104">
        <f>H846/H843</f>
        <v>2.4615384615384616E-3</v>
      </c>
      <c r="F846" s="238">
        <f>SUMIF('Cjenik RS'!$C$11:$C$26,$B846,'Cjenik RS'!$D$11:$D$90)</f>
        <v>105.03</v>
      </c>
      <c r="G846" s="46">
        <f>+F846*E846</f>
        <v>0.25853538461538461</v>
      </c>
      <c r="H846" s="560">
        <v>32</v>
      </c>
      <c r="I846" s="32"/>
      <c r="J846" s="854" t="s">
        <v>57</v>
      </c>
      <c r="K846" s="854"/>
      <c r="L846" s="33" t="s">
        <v>51</v>
      </c>
      <c r="M846" s="34">
        <v>1.333E-3</v>
      </c>
      <c r="N846" s="44">
        <f>SUMIF('Cjenik RS'!$C$11:$C$26,J846,'Cjenik RS'!$D$11:$D$90)</f>
        <v>105.03</v>
      </c>
      <c r="O846" s="35">
        <f>+N846*M846</f>
        <v>0.14000499</v>
      </c>
    </row>
    <row r="847" spans="1:15" ht="25.15" customHeight="1">
      <c r="A847" s="16"/>
      <c r="B847" s="837" t="str">
        <f>'Obrazac kalkulacije'!$B$11</f>
        <v>Vozila, strojevi i oprema:</v>
      </c>
      <c r="C847" s="837"/>
      <c r="D847" s="16"/>
      <c r="E847" s="16"/>
      <c r="F847" s="238">
        <f>'Obrazac kalkulacije'!$F$11</f>
        <v>0</v>
      </c>
      <c r="G847" s="18">
        <f>SUM(G848:G851)</f>
        <v>0.25732384615384618</v>
      </c>
      <c r="I847" s="16"/>
      <c r="J847" s="837" t="str">
        <f>'Obrazac kalkulacije'!$B$11</f>
        <v>Vozila, strojevi i oprema:</v>
      </c>
      <c r="K847" s="837"/>
      <c r="L847" s="16"/>
      <c r="M847" s="16"/>
      <c r="N847" s="238">
        <f>'Obrazac kalkulacije'!$F$11</f>
        <v>0</v>
      </c>
      <c r="O847" s="18">
        <f>SUM(O848:O851)</f>
        <v>0.22481730000000003</v>
      </c>
    </row>
    <row r="848" spans="1:15" ht="25.15" customHeight="1">
      <c r="A848" s="16"/>
      <c r="B848" s="838" t="s">
        <v>477</v>
      </c>
      <c r="C848" s="838"/>
      <c r="D848" s="44" t="s">
        <v>51</v>
      </c>
      <c r="E848" s="104">
        <f>H848/H843</f>
        <v>3.8461538461538462E-4</v>
      </c>
      <c r="F848" s="238">
        <f>SUMIF('Cjenik VSO'!$B$9:$B$85,$B848,'Cjenik VSO'!$C$9:$C$85)</f>
        <v>290.85000000000002</v>
      </c>
      <c r="G848" s="46">
        <f>E848*F848</f>
        <v>0.11186538461538463</v>
      </c>
      <c r="H848" s="560">
        <v>5</v>
      </c>
      <c r="I848" s="51"/>
      <c r="J848" s="863" t="s">
        <v>477</v>
      </c>
      <c r="K848" s="863"/>
      <c r="L848" s="52" t="s">
        <v>51</v>
      </c>
      <c r="M848" s="53">
        <v>4.44E-4</v>
      </c>
      <c r="N848" s="260">
        <f>SUMIF('Cjenik VSO'!$B$9:$B$85,$B848,'Cjenik VSO'!$C$9:$C$85)</f>
        <v>290.85000000000002</v>
      </c>
      <c r="O848" s="55">
        <f>M848*N848</f>
        <v>0.12913740000000001</v>
      </c>
    </row>
    <row r="849" spans="1:15" ht="25.15" customHeight="1">
      <c r="A849" s="16"/>
      <c r="B849" s="838" t="s">
        <v>478</v>
      </c>
      <c r="C849" s="838"/>
      <c r="D849" s="44" t="s">
        <v>51</v>
      </c>
      <c r="E849" s="104">
        <f>H849/H843</f>
        <v>2.3076923076923076E-4</v>
      </c>
      <c r="F849" s="238">
        <f>SUMIF('Cjenik VSO'!$B$9:$B$85,$B849,'Cjenik VSO'!$C$9:$C$85)</f>
        <v>123.97</v>
      </c>
      <c r="G849" s="46">
        <f>E849*F849</f>
        <v>2.8608461538461537E-2</v>
      </c>
      <c r="H849" s="560">
        <v>3</v>
      </c>
      <c r="I849" s="51"/>
      <c r="J849" s="863"/>
      <c r="K849" s="863"/>
      <c r="L849" s="52"/>
      <c r="M849" s="53"/>
      <c r="N849" s="260"/>
      <c r="O849" s="55">
        <f>M849*N849</f>
        <v>0</v>
      </c>
    </row>
    <row r="850" spans="1:15" ht="25.15" customHeight="1">
      <c r="A850" s="16"/>
      <c r="B850" s="838" t="s">
        <v>183</v>
      </c>
      <c r="C850" s="838"/>
      <c r="D850" s="44" t="s">
        <v>51</v>
      </c>
      <c r="E850" s="104">
        <f>H850/H843</f>
        <v>1.9230769230769231E-4</v>
      </c>
      <c r="F850" s="238">
        <f>SUMIF('Cjenik VSO'!$B$9:$B$85,$B850,'Cjenik VSO'!$C$9:$C$85)</f>
        <v>32.9</v>
      </c>
      <c r="G850" s="46">
        <f>E850*F850</f>
        <v>6.3269230769230763E-3</v>
      </c>
      <c r="H850" s="560">
        <v>2.5</v>
      </c>
      <c r="I850" s="56"/>
      <c r="J850" s="834" t="s">
        <v>183</v>
      </c>
      <c r="K850" s="834"/>
      <c r="L850" s="57" t="s">
        <v>51</v>
      </c>
      <c r="M850" s="58">
        <v>7.4999999999999993E-5</v>
      </c>
      <c r="N850" s="263">
        <f>SUMIF('Cjenik VSO'!$B$9:$B$85,$B850,'Cjenik VSO'!$C$9:$C$85)</f>
        <v>32.9</v>
      </c>
      <c r="O850" s="60">
        <f>M850*N850</f>
        <v>2.4674999999999996E-3</v>
      </c>
    </row>
    <row r="851" spans="1:15" ht="25.15" customHeight="1">
      <c r="A851" s="16"/>
      <c r="B851" s="838" t="s">
        <v>69</v>
      </c>
      <c r="C851" s="838"/>
      <c r="D851" s="44" t="s">
        <v>51</v>
      </c>
      <c r="E851" s="104">
        <f>H851/H843</f>
        <v>6.1538461538461541E-4</v>
      </c>
      <c r="F851" s="238">
        <f>SUMIF('Cjenik VSO'!$B$9:$B$85,$B851,'Cjenik VSO'!$C$9:$C$85)</f>
        <v>179.6</v>
      </c>
      <c r="G851" s="46">
        <f>E851*F851</f>
        <v>0.11052307692307692</v>
      </c>
      <c r="H851" s="560">
        <v>8</v>
      </c>
      <c r="I851" s="61"/>
      <c r="J851" s="864" t="s">
        <v>69</v>
      </c>
      <c r="K851" s="864"/>
      <c r="L851" s="62" t="s">
        <v>51</v>
      </c>
      <c r="M851" s="63">
        <v>5.1900000000000004E-4</v>
      </c>
      <c r="N851" s="261">
        <f>SUMIF('Cjenik VSO'!$B$9:$B$85,$B851,'Cjenik VSO'!$C$9:$C$85)</f>
        <v>179.6</v>
      </c>
      <c r="O851" s="65">
        <f>M851*N851</f>
        <v>9.3212400000000001E-2</v>
      </c>
    </row>
    <row r="852" spans="1:15" ht="25.15" customHeight="1">
      <c r="A852" s="16"/>
      <c r="B852" s="837" t="str">
        <f>'Obrazac kalkulacije'!$B$15</f>
        <v>Materijali:</v>
      </c>
      <c r="C852" s="837"/>
      <c r="D852" s="16"/>
      <c r="E852" s="16"/>
      <c r="F852" s="238"/>
      <c r="G852" s="18">
        <f>SUM(G853:G855)</f>
        <v>0</v>
      </c>
      <c r="I852" s="16"/>
      <c r="J852" s="837" t="str">
        <f>'Obrazac kalkulacije'!$B$15</f>
        <v>Materijali:</v>
      </c>
      <c r="K852" s="837"/>
      <c r="L852" s="16"/>
      <c r="M852" s="16"/>
      <c r="N852" s="238"/>
      <c r="O852" s="18">
        <f>SUM(O853:O855)</f>
        <v>0</v>
      </c>
    </row>
    <row r="853" spans="1:15" ht="25.15" customHeight="1">
      <c r="A853" s="16"/>
      <c r="B853" s="838">
        <f>'Cjenik M'!$B$72</f>
        <v>0</v>
      </c>
      <c r="C853" s="838"/>
      <c r="D853" s="44">
        <f>'Cjenik M'!$C$72</f>
        <v>0</v>
      </c>
      <c r="E853" s="45">
        <v>9.2999999999999999E-2</v>
      </c>
      <c r="F853" s="238">
        <f>'Cjenik M'!$D$72</f>
        <v>0</v>
      </c>
      <c r="G853" s="46">
        <f>E853*F853</f>
        <v>0</v>
      </c>
      <c r="I853" s="51"/>
      <c r="J853" s="863">
        <f>'Cjenik M'!$B$72</f>
        <v>0</v>
      </c>
      <c r="K853" s="863"/>
      <c r="L853" s="52">
        <f>'Cjenik M'!$C$72</f>
        <v>0</v>
      </c>
      <c r="M853" s="53">
        <v>9.2999999999999999E-2</v>
      </c>
      <c r="N853" s="260">
        <f>'Cjenik M'!$D$72</f>
        <v>0</v>
      </c>
      <c r="O853" s="55">
        <f>M853*N853</f>
        <v>0</v>
      </c>
    </row>
    <row r="854" spans="1:15" ht="25.15" customHeight="1">
      <c r="A854" s="16"/>
      <c r="B854" s="838">
        <f>'Cjenik M'!$B$101</f>
        <v>0</v>
      </c>
      <c r="C854" s="838"/>
      <c r="D854" s="44">
        <f>'Cjenik M'!$C$103</f>
        <v>0</v>
      </c>
      <c r="E854" s="45">
        <v>4.8750000000000002E-2</v>
      </c>
      <c r="F854" s="238">
        <f>'Cjenik M'!$D$101</f>
        <v>0</v>
      </c>
      <c r="G854" s="46">
        <f>E854*F854</f>
        <v>0</v>
      </c>
      <c r="I854" s="56"/>
      <c r="J854" s="834">
        <f>'Cjenik M'!$B$102</f>
        <v>0</v>
      </c>
      <c r="K854" s="834"/>
      <c r="L854" s="57">
        <f>'Cjenik M'!$C$102</f>
        <v>0</v>
      </c>
      <c r="M854" s="58">
        <v>4.8750000000000002E-2</v>
      </c>
      <c r="N854" s="263">
        <f>'Cjenik M'!$D$102</f>
        <v>0</v>
      </c>
      <c r="O854" s="60">
        <f>M854*N854</f>
        <v>0</v>
      </c>
    </row>
    <row r="855" spans="1:15" ht="25.15" customHeight="1" thickBot="1">
      <c r="A855" s="16"/>
      <c r="B855" s="838">
        <f>'Cjenik M'!$B$74</f>
        <v>0</v>
      </c>
      <c r="C855" s="838"/>
      <c r="D855" s="44">
        <f>'Cjenik M'!$C$74</f>
        <v>0</v>
      </c>
      <c r="E855" s="45">
        <v>1.0789E-2</v>
      </c>
      <c r="F855" s="238">
        <f>'Cjenik M'!$D$74</f>
        <v>0</v>
      </c>
      <c r="G855" s="46">
        <f>E855*F855</f>
        <v>0</v>
      </c>
      <c r="I855" s="66"/>
      <c r="J855" s="859">
        <f>'Cjenik M'!$B$74</f>
        <v>0</v>
      </c>
      <c r="K855" s="859"/>
      <c r="L855" s="57">
        <f>'Cjenik M'!$C$74</f>
        <v>0</v>
      </c>
      <c r="M855" s="58">
        <v>1.0789E-2</v>
      </c>
      <c r="N855" s="263">
        <f>'Cjenik M'!$D$74</f>
        <v>0</v>
      </c>
      <c r="O855" s="60">
        <f>M855*N855</f>
        <v>0</v>
      </c>
    </row>
    <row r="856" spans="1:15" ht="25.15" customHeight="1" thickTop="1" thickBot="1">
      <c r="E856" s="868" t="str">
        <f>'Obrazac kalkulacije'!$E$18</f>
        <v>Ukupno (kn):</v>
      </c>
      <c r="F856" s="868"/>
      <c r="G856" s="71">
        <f>ROUND(SUM(G845+G847+G852),2)</f>
        <v>0.52</v>
      </c>
      <c r="H856" s="269" t="e">
        <f>SUMIF(#REF!,$B841,#REF!)</f>
        <v>#REF!</v>
      </c>
      <c r="J856" s="47"/>
      <c r="K856" s="24"/>
      <c r="L856" s="25"/>
      <c r="M856" s="850" t="str">
        <f>'Obrazac kalkulacije'!$E$18</f>
        <v>Ukupno (kn):</v>
      </c>
      <c r="N856" s="850"/>
      <c r="O856" s="26">
        <f>ROUND(SUM(O845+O847+O852),2)</f>
        <v>0.36</v>
      </c>
    </row>
    <row r="857" spans="1:15" ht="25.15" customHeight="1" thickTop="1" thickBot="1">
      <c r="E857" s="27" t="str">
        <f>'Obrazac kalkulacije'!$E$19</f>
        <v>PDV:</v>
      </c>
      <c r="F857" s="259">
        <f>'Obrazac kalkulacije'!$F$19</f>
        <v>0.25</v>
      </c>
      <c r="G857" s="29">
        <f>G856*F857</f>
        <v>0.13</v>
      </c>
      <c r="H857" s="270" t="e">
        <f>H856-G856</f>
        <v>#REF!</v>
      </c>
      <c r="M857" s="27" t="str">
        <f>'Obrazac kalkulacije'!$E$19</f>
        <v>PDV:</v>
      </c>
      <c r="N857" s="259">
        <f>'Obrazac kalkulacije'!$F$19</f>
        <v>0.25</v>
      </c>
      <c r="O857" s="29">
        <f>O856*N857</f>
        <v>0.09</v>
      </c>
    </row>
    <row r="858" spans="1:15" ht="25.15" customHeight="1" thickTop="1" thickBot="1">
      <c r="E858" s="840" t="str">
        <f>'Obrazac kalkulacije'!$E$20</f>
        <v>Sveukupno (kn):</v>
      </c>
      <c r="F858" s="840"/>
      <c r="G858" s="29">
        <f>ROUND(SUM(G856:G857),2)</f>
        <v>0.65</v>
      </c>
      <c r="H858" s="271" t="e">
        <f>G848+H857</f>
        <v>#REF!</v>
      </c>
      <c r="M858" s="840" t="str">
        <f>'Obrazac kalkulacije'!$E$20</f>
        <v>Sveukupno (kn):</v>
      </c>
      <c r="N858" s="840"/>
      <c r="O858" s="29">
        <f>ROUND(SUM(O856:O857),2)</f>
        <v>0.45</v>
      </c>
    </row>
    <row r="859" spans="1:15" ht="15" customHeight="1" thickTop="1"/>
    <row r="860" spans="1:15" ht="15" customHeight="1"/>
    <row r="861" spans="1:15" ht="15" customHeight="1"/>
    <row r="862" spans="1:15" ht="15" customHeight="1">
      <c r="C862" s="3" t="str">
        <f>'Obrazac kalkulacije'!$C$24</f>
        <v>IZVODITELJ:</v>
      </c>
      <c r="F862" s="841" t="str">
        <f>'Obrazac kalkulacije'!$F$24</f>
        <v>NARUČITELJ:</v>
      </c>
      <c r="G862" s="841"/>
      <c r="K862" s="3" t="str">
        <f>'Obrazac kalkulacije'!$C$24</f>
        <v>IZVODITELJ:</v>
      </c>
      <c r="N862" s="841" t="str">
        <f>'Obrazac kalkulacije'!$F$24</f>
        <v>NARUČITELJ:</v>
      </c>
      <c r="O862" s="841"/>
    </row>
    <row r="863" spans="1:15" ht="25.15" customHeight="1">
      <c r="C863" s="3" t="str">
        <f>'Obrazac kalkulacije'!$C$25</f>
        <v>__________________</v>
      </c>
      <c r="F863" s="841" t="str">
        <f>'Obrazac kalkulacije'!$F$25</f>
        <v>___________________</v>
      </c>
      <c r="G863" s="841"/>
      <c r="K863" s="3" t="str">
        <f>'Obrazac kalkulacije'!$C$25</f>
        <v>__________________</v>
      </c>
      <c r="N863" s="841" t="str">
        <f>'Obrazac kalkulacije'!$F$25</f>
        <v>___________________</v>
      </c>
      <c r="O863" s="841"/>
    </row>
    <row r="864" spans="1:15" ht="15" customHeight="1">
      <c r="F864" s="841"/>
      <c r="G864" s="841"/>
      <c r="N864" s="841"/>
      <c r="O864" s="841"/>
    </row>
    <row r="865" spans="1:15" ht="15" customHeight="1"/>
    <row r="866" spans="1:15" ht="15" customHeight="1">
      <c r="A866" s="144"/>
      <c r="B866" s="145" t="s">
        <v>39</v>
      </c>
      <c r="C866" s="836" t="s">
        <v>360</v>
      </c>
      <c r="D866" s="836"/>
      <c r="E866" s="836"/>
      <c r="F866" s="836"/>
      <c r="G866" s="836"/>
      <c r="I866" s="144"/>
      <c r="J866" s="145" t="s">
        <v>39</v>
      </c>
      <c r="K866" s="836" t="s">
        <v>360</v>
      </c>
      <c r="L866" s="836"/>
      <c r="M866" s="836"/>
      <c r="N866" s="836"/>
      <c r="O866" s="836"/>
    </row>
    <row r="867" spans="1:15" ht="15" customHeight="1">
      <c r="A867" s="38"/>
      <c r="B867" s="39" t="s">
        <v>46</v>
      </c>
      <c r="C867" s="860" t="s">
        <v>470</v>
      </c>
      <c r="D867" s="860"/>
      <c r="E867" s="860"/>
      <c r="F867" s="860"/>
      <c r="G867" s="860"/>
      <c r="I867" s="38"/>
      <c r="J867" s="39" t="s">
        <v>46</v>
      </c>
      <c r="K867" s="860" t="s">
        <v>470</v>
      </c>
      <c r="L867" s="860"/>
      <c r="M867" s="860"/>
      <c r="N867" s="860"/>
      <c r="O867" s="860"/>
    </row>
    <row r="868" spans="1:15" ht="15" customHeight="1">
      <c r="A868" s="48"/>
      <c r="B868" s="49" t="s">
        <v>47</v>
      </c>
      <c r="C868" s="883" t="s">
        <v>471</v>
      </c>
      <c r="D868" s="883"/>
      <c r="E868" s="883"/>
      <c r="F868" s="883"/>
      <c r="G868" s="883"/>
      <c r="I868" s="48"/>
      <c r="J868" s="49" t="s">
        <v>47</v>
      </c>
      <c r="K868" s="883" t="s">
        <v>471</v>
      </c>
      <c r="L868" s="883"/>
      <c r="M868" s="883"/>
      <c r="N868" s="883"/>
      <c r="O868" s="883"/>
    </row>
    <row r="869" spans="1:15" ht="15" customHeight="1">
      <c r="A869" s="95"/>
      <c r="B869" s="96" t="s">
        <v>472</v>
      </c>
      <c r="C869" s="882" t="s">
        <v>473</v>
      </c>
      <c r="D869" s="882"/>
      <c r="E869" s="882"/>
      <c r="F869" s="882"/>
      <c r="G869" s="882"/>
      <c r="I869" s="95"/>
      <c r="J869" s="96" t="s">
        <v>472</v>
      </c>
      <c r="K869" s="882" t="s">
        <v>473</v>
      </c>
      <c r="L869" s="882"/>
      <c r="M869" s="882"/>
      <c r="N869" s="882"/>
      <c r="O869" s="882"/>
    </row>
    <row r="870" spans="1:15" ht="150" customHeight="1">
      <c r="A870" s="40"/>
      <c r="B870" s="556" t="s">
        <v>479</v>
      </c>
      <c r="C870" s="852" t="s">
        <v>480</v>
      </c>
      <c r="D870" s="852"/>
      <c r="E870" s="852"/>
      <c r="F870" s="852"/>
      <c r="G870" s="852"/>
      <c r="I870" s="40"/>
      <c r="J870" s="41" t="s">
        <v>481</v>
      </c>
      <c r="K870" s="869" t="s">
        <v>480</v>
      </c>
      <c r="L870" s="869"/>
      <c r="M870" s="869"/>
      <c r="N870" s="869"/>
      <c r="O870" s="869"/>
    </row>
    <row r="871" spans="1:15" ht="15" customHeight="1" thickBot="1"/>
    <row r="872" spans="1:15" ht="30" customHeight="1" thickTop="1" thickBot="1">
      <c r="A872" s="10"/>
      <c r="B872" s="835" t="str">
        <f>'Obrazac kalkulacije'!$B$6:$C$6</f>
        <v>Opis</v>
      </c>
      <c r="C872" s="835"/>
      <c r="D872" s="10" t="str">
        <f>'Obrazac kalkulacije'!$D$6</f>
        <v>Jed.
mjere</v>
      </c>
      <c r="E872" s="10" t="str">
        <f>'Obrazac kalkulacije'!$E$6</f>
        <v>Normativ</v>
      </c>
      <c r="F872" s="10" t="str">
        <f>'Obrazac kalkulacije'!$F$6</f>
        <v>Jed.
cijena</v>
      </c>
      <c r="G872" s="10" t="str">
        <f>'Obrazac kalkulacije'!$G$6</f>
        <v>Iznos</v>
      </c>
      <c r="H872" s="622">
        <v>13000</v>
      </c>
      <c r="I872" s="10"/>
      <c r="J872" s="835" t="e">
        <f>'Obrazac kalkulacije'!$B$6:$C$6</f>
        <v>#VALUE!</v>
      </c>
      <c r="K872" s="835"/>
      <c r="L872" s="10" t="str">
        <f>'Obrazac kalkulacije'!$D$6</f>
        <v>Jed.
mjere</v>
      </c>
      <c r="M872" s="10" t="str">
        <f>'Obrazac kalkulacije'!$E$6</f>
        <v>Normativ</v>
      </c>
      <c r="N872" s="10" t="str">
        <f>'Obrazac kalkulacije'!$F$6</f>
        <v>Jed.
cijena</v>
      </c>
      <c r="O872" s="10" t="str">
        <f>'Obrazac kalkulacije'!$G$6</f>
        <v>Iznos</v>
      </c>
    </row>
    <row r="873" spans="1:15" ht="4.5" customHeight="1" thickTop="1">
      <c r="B873" s="42"/>
      <c r="C873" s="1"/>
      <c r="D873" s="11"/>
      <c r="E873" s="13"/>
      <c r="F873" s="258"/>
      <c r="G873" s="630"/>
      <c r="H873" s="3"/>
      <c r="J873" s="42"/>
      <c r="K873" s="1"/>
      <c r="L873" s="11"/>
      <c r="M873" s="13"/>
      <c r="N873" s="258"/>
      <c r="O873" s="630"/>
    </row>
    <row r="874" spans="1:15" ht="25.15" customHeight="1">
      <c r="A874" s="16"/>
      <c r="B874" s="837" t="str">
        <f>'Obrazac kalkulacije'!$B$8</f>
        <v>Radna snaga:</v>
      </c>
      <c r="C874" s="837"/>
      <c r="D874" s="16"/>
      <c r="E874" s="16"/>
      <c r="F874" s="44"/>
      <c r="G874" s="18">
        <f>SUM(G875:G875)</f>
        <v>0.29085230769230769</v>
      </c>
      <c r="H874" s="3"/>
      <c r="I874" s="16"/>
      <c r="J874" s="837" t="str">
        <f>'Obrazac kalkulacije'!$B$8</f>
        <v>Radna snaga:</v>
      </c>
      <c r="K874" s="837"/>
      <c r="L874" s="16"/>
      <c r="M874" s="16"/>
      <c r="N874" s="44"/>
      <c r="O874" s="18">
        <f>SUM(O875:O875)</f>
        <v>0.14000499</v>
      </c>
    </row>
    <row r="875" spans="1:15" ht="25.15" customHeight="1">
      <c r="A875" s="32"/>
      <c r="B875" s="854" t="s">
        <v>57</v>
      </c>
      <c r="C875" s="854"/>
      <c r="D875" s="637" t="s">
        <v>51</v>
      </c>
      <c r="E875" s="104">
        <f>H875/H872</f>
        <v>2.7692307692307691E-3</v>
      </c>
      <c r="F875" s="238">
        <f>SUMIF('Cjenik RS'!$C$11:$C$26,$B875,'Cjenik RS'!$D$11:$D$90)</f>
        <v>105.03</v>
      </c>
      <c r="G875" s="46">
        <f>+F875*E875</f>
        <v>0.29085230769230769</v>
      </c>
      <c r="H875" s="560">
        <v>36</v>
      </c>
      <c r="I875" s="32"/>
      <c r="J875" s="854" t="s">
        <v>57</v>
      </c>
      <c r="K875" s="854"/>
      <c r="L875" s="33" t="s">
        <v>51</v>
      </c>
      <c r="M875" s="34">
        <v>1.333E-3</v>
      </c>
      <c r="N875" s="44">
        <f>SUMIF('Cjenik RS'!$C$11:$C$26,J875,'Cjenik RS'!$D$11:$D$90)</f>
        <v>105.03</v>
      </c>
      <c r="O875" s="35">
        <f>+N875*M875</f>
        <v>0.14000499</v>
      </c>
    </row>
    <row r="876" spans="1:15" ht="25.15" customHeight="1">
      <c r="A876" s="16"/>
      <c r="B876" s="837" t="str">
        <f>'Obrazac kalkulacije'!$B$11</f>
        <v>Vozila, strojevi i oprema:</v>
      </c>
      <c r="C876" s="837"/>
      <c r="D876" s="16"/>
      <c r="E876" s="16"/>
      <c r="F876" s="238">
        <f>'Obrazac kalkulacije'!$F$11</f>
        <v>0</v>
      </c>
      <c r="G876" s="18">
        <f>SUM(G877:G880)</f>
        <v>0.25697029999999998</v>
      </c>
      <c r="I876" s="16"/>
      <c r="J876" s="837" t="str">
        <f>'Obrazac kalkulacije'!$B$11</f>
        <v>Vozila, strojevi i oprema:</v>
      </c>
      <c r="K876" s="837"/>
      <c r="L876" s="16"/>
      <c r="M876" s="16"/>
      <c r="N876" s="238">
        <f>'Obrazac kalkulacije'!$F$11</f>
        <v>0</v>
      </c>
      <c r="O876" s="18">
        <f>SUM(O877:O880)</f>
        <v>0.22481730000000003</v>
      </c>
    </row>
    <row r="877" spans="1:15" ht="25.15" customHeight="1">
      <c r="A877" s="16"/>
      <c r="B877" s="838" t="s">
        <v>477</v>
      </c>
      <c r="C877" s="838"/>
      <c r="D877" s="44" t="s">
        <v>51</v>
      </c>
      <c r="E877" s="104">
        <f>H877/H872</f>
        <v>3.8400000000000001E-4</v>
      </c>
      <c r="F877" s="238">
        <f>SUMIF('Cjenik VSO'!$B$9:$B$85,$B877,'Cjenik VSO'!$C$9:$C$85)</f>
        <v>290.85000000000002</v>
      </c>
      <c r="G877" s="46">
        <f>E877*F877</f>
        <v>0.11168640000000001</v>
      </c>
      <c r="H877" s="560">
        <v>4.992</v>
      </c>
      <c r="I877" s="51"/>
      <c r="J877" s="863" t="s">
        <v>477</v>
      </c>
      <c r="K877" s="863"/>
      <c r="L877" s="52" t="s">
        <v>51</v>
      </c>
      <c r="M877" s="53">
        <v>4.44E-4</v>
      </c>
      <c r="N877" s="260">
        <f>SUMIF('Cjenik VSO'!$B$9:$B$85,$B877,'Cjenik VSO'!$C$9:$C$85)</f>
        <v>290.85000000000002</v>
      </c>
      <c r="O877" s="55">
        <f>M877*N877</f>
        <v>0.12913740000000001</v>
      </c>
    </row>
    <row r="878" spans="1:15" ht="25.15" customHeight="1">
      <c r="A878" s="16"/>
      <c r="B878" s="838" t="s">
        <v>478</v>
      </c>
      <c r="C878" s="838"/>
      <c r="D878" s="44" t="s">
        <v>51</v>
      </c>
      <c r="E878" s="104">
        <f>H878/H872</f>
        <v>2.3000000000000001E-4</v>
      </c>
      <c r="F878" s="238">
        <f>SUMIF('Cjenik VSO'!$B$9:$B$85,$B878,'Cjenik VSO'!$C$9:$C$85)</f>
        <v>123.97</v>
      </c>
      <c r="G878" s="46">
        <f>E878*F878</f>
        <v>2.85131E-2</v>
      </c>
      <c r="H878" s="560">
        <v>2.99</v>
      </c>
      <c r="I878" s="51"/>
      <c r="J878" s="863"/>
      <c r="K878" s="863"/>
      <c r="L878" s="52"/>
      <c r="M878" s="53"/>
      <c r="N878" s="260"/>
      <c r="O878" s="55">
        <f>M878*N878</f>
        <v>0</v>
      </c>
    </row>
    <row r="879" spans="1:15" ht="25.15" customHeight="1">
      <c r="A879" s="16"/>
      <c r="B879" s="838" t="s">
        <v>183</v>
      </c>
      <c r="C879" s="838"/>
      <c r="D879" s="44" t="s">
        <v>51</v>
      </c>
      <c r="E879" s="104">
        <f>H879/H872</f>
        <v>1.92E-4</v>
      </c>
      <c r="F879" s="238">
        <f>SUMIF('Cjenik VSO'!$B$9:$B$85,$B879,'Cjenik VSO'!$C$9:$C$85)</f>
        <v>32.9</v>
      </c>
      <c r="G879" s="46">
        <f>E879*F879</f>
        <v>6.3168E-3</v>
      </c>
      <c r="H879" s="560">
        <v>2.496</v>
      </c>
      <c r="I879" s="56"/>
      <c r="J879" s="834" t="s">
        <v>183</v>
      </c>
      <c r="K879" s="834"/>
      <c r="L879" s="57" t="s">
        <v>51</v>
      </c>
      <c r="M879" s="58">
        <v>7.4999999999999993E-5</v>
      </c>
      <c r="N879" s="263">
        <f>SUMIF('Cjenik VSO'!$B$9:$B$85,$B879,'Cjenik VSO'!$C$9:$C$85)</f>
        <v>32.9</v>
      </c>
      <c r="O879" s="60">
        <f>M879*N879</f>
        <v>2.4674999999999996E-3</v>
      </c>
    </row>
    <row r="880" spans="1:15" ht="25.15" customHeight="1">
      <c r="A880" s="16"/>
      <c r="B880" s="838" t="s">
        <v>69</v>
      </c>
      <c r="C880" s="838"/>
      <c r="D880" s="44" t="s">
        <v>51</v>
      </c>
      <c r="E880" s="104">
        <f>H880/H872</f>
        <v>6.1499999999999999E-4</v>
      </c>
      <c r="F880" s="238">
        <f>SUMIF('Cjenik VSO'!$B$9:$B$85,$B880,'Cjenik VSO'!$C$9:$C$85)</f>
        <v>179.6</v>
      </c>
      <c r="G880" s="46">
        <f>E880*F880</f>
        <v>0.110454</v>
      </c>
      <c r="H880" s="560">
        <v>7.9950000000000001</v>
      </c>
      <c r="I880" s="61"/>
      <c r="J880" s="864" t="s">
        <v>69</v>
      </c>
      <c r="K880" s="864"/>
      <c r="L880" s="62" t="s">
        <v>51</v>
      </c>
      <c r="M880" s="63">
        <v>5.1900000000000004E-4</v>
      </c>
      <c r="N880" s="261">
        <f>SUMIF('Cjenik VSO'!$B$9:$B$85,$B880,'Cjenik VSO'!$C$9:$C$85)</f>
        <v>179.6</v>
      </c>
      <c r="O880" s="65">
        <f>M880*N880</f>
        <v>9.3212400000000001E-2</v>
      </c>
    </row>
    <row r="881" spans="1:15" ht="25.15" customHeight="1">
      <c r="A881" s="16"/>
      <c r="B881" s="837" t="str">
        <f>'Obrazac kalkulacije'!$B$15</f>
        <v>Materijali:</v>
      </c>
      <c r="C881" s="837"/>
      <c r="D881" s="16"/>
      <c r="E881" s="16"/>
      <c r="F881" s="238"/>
      <c r="G881" s="18">
        <f>SUM(G882:G884)</f>
        <v>0</v>
      </c>
      <c r="I881" s="16"/>
      <c r="J881" s="837" t="str">
        <f>'Obrazac kalkulacije'!$B$15</f>
        <v>Materijali:</v>
      </c>
      <c r="K881" s="837"/>
      <c r="L881" s="16"/>
      <c r="M881" s="16"/>
      <c r="N881" s="238"/>
      <c r="O881" s="18">
        <f>SUM(O882:O884)</f>
        <v>0</v>
      </c>
    </row>
    <row r="882" spans="1:15" ht="25.15" customHeight="1">
      <c r="A882" s="16"/>
      <c r="B882" s="838">
        <f>'Cjenik M'!$B$72</f>
        <v>0</v>
      </c>
      <c r="C882" s="838"/>
      <c r="D882" s="44">
        <f>'Cjenik M'!$C$72</f>
        <v>0</v>
      </c>
      <c r="E882" s="45">
        <v>0.13950000000000001</v>
      </c>
      <c r="F882" s="238">
        <f>'Cjenik M'!$D$72</f>
        <v>0</v>
      </c>
      <c r="G882" s="46">
        <f>E882*F882</f>
        <v>0</v>
      </c>
      <c r="I882" s="51"/>
      <c r="J882" s="863">
        <f>'Cjenik M'!$B$72</f>
        <v>0</v>
      </c>
      <c r="K882" s="863"/>
      <c r="L882" s="52">
        <f>'Cjenik M'!$C$72</f>
        <v>0</v>
      </c>
      <c r="M882" s="53">
        <v>0.13950000000000001</v>
      </c>
      <c r="N882" s="260">
        <f>'Cjenik M'!$D$72</f>
        <v>0</v>
      </c>
      <c r="O882" s="55">
        <f>M882*N882</f>
        <v>0</v>
      </c>
    </row>
    <row r="883" spans="1:15" ht="25.15" customHeight="1">
      <c r="A883" s="16"/>
      <c r="B883" s="838">
        <f>'Cjenik M'!$B$103</f>
        <v>0</v>
      </c>
      <c r="C883" s="838"/>
      <c r="D883" s="44">
        <f>'Cjenik M'!$C$103</f>
        <v>0</v>
      </c>
      <c r="E883" s="45">
        <v>0.09</v>
      </c>
      <c r="F883" s="238">
        <f>'Cjenik M'!$D$103</f>
        <v>0</v>
      </c>
      <c r="G883" s="46">
        <f>E883*F883</f>
        <v>0</v>
      </c>
      <c r="I883" s="56"/>
      <c r="J883" s="834">
        <f>'Cjenik M'!$B$103</f>
        <v>0</v>
      </c>
      <c r="K883" s="834"/>
      <c r="L883" s="57">
        <f>'Cjenik M'!$C$103</f>
        <v>0</v>
      </c>
      <c r="M883" s="58">
        <v>0.09</v>
      </c>
      <c r="N883" s="263">
        <f>'Cjenik M'!$D$103</f>
        <v>0</v>
      </c>
      <c r="O883" s="60">
        <f>M883*N883</f>
        <v>0</v>
      </c>
    </row>
    <row r="884" spans="1:15" ht="25.15" customHeight="1" thickBot="1">
      <c r="A884" s="16"/>
      <c r="B884" s="838">
        <f>'Cjenik M'!$B$74</f>
        <v>0</v>
      </c>
      <c r="C884" s="838"/>
      <c r="D884" s="44">
        <f>'Cjenik M'!$C$74</f>
        <v>0</v>
      </c>
      <c r="E884" s="45">
        <v>1.6182999999999999E-2</v>
      </c>
      <c r="F884" s="238">
        <f>'Cjenik M'!$D$74</f>
        <v>0</v>
      </c>
      <c r="G884" s="46">
        <f>E884*F884</f>
        <v>0</v>
      </c>
      <c r="I884" s="66"/>
      <c r="J884" s="859">
        <f>'Cjenik M'!$B$74</f>
        <v>0</v>
      </c>
      <c r="K884" s="859"/>
      <c r="L884" s="57">
        <f>'Cjenik M'!$C$74</f>
        <v>0</v>
      </c>
      <c r="M884" s="58">
        <v>1.6182999999999999E-2</v>
      </c>
      <c r="N884" s="263">
        <f>'Cjenik M'!$D$74</f>
        <v>0</v>
      </c>
      <c r="O884" s="60">
        <f>M884*N884</f>
        <v>0</v>
      </c>
    </row>
    <row r="885" spans="1:15" ht="25.15" customHeight="1" thickTop="1" thickBot="1">
      <c r="E885" s="868" t="str">
        <f>'Obrazac kalkulacije'!$E$18</f>
        <v>Ukupno (kn):</v>
      </c>
      <c r="F885" s="868"/>
      <c r="G885" s="71">
        <f>ROUND(SUM(G874+G876+G881),2)</f>
        <v>0.55000000000000004</v>
      </c>
      <c r="H885" s="269" t="e">
        <f>SUMIF(#REF!,$B870,#REF!)</f>
        <v>#REF!</v>
      </c>
      <c r="J885" s="47"/>
      <c r="K885" s="24"/>
      <c r="L885" s="25"/>
      <c r="M885" s="850" t="str">
        <f>'Obrazac kalkulacije'!$E$18</f>
        <v>Ukupno (kn):</v>
      </c>
      <c r="N885" s="850"/>
      <c r="O885" s="26">
        <f>ROUND(SUM(O874+O876+O881),2)</f>
        <v>0.36</v>
      </c>
    </row>
    <row r="886" spans="1:15" ht="25.15" customHeight="1" thickTop="1" thickBot="1">
      <c r="E886" s="27" t="str">
        <f>'Obrazac kalkulacije'!$E$19</f>
        <v>PDV:</v>
      </c>
      <c r="F886" s="259">
        <f>'Obrazac kalkulacije'!$F$19</f>
        <v>0.25</v>
      </c>
      <c r="G886" s="29">
        <f>G885*F886</f>
        <v>0.13750000000000001</v>
      </c>
      <c r="H886" s="270" t="e">
        <f>H885-G885</f>
        <v>#REF!</v>
      </c>
      <c r="M886" s="27" t="str">
        <f>'Obrazac kalkulacije'!$E$19</f>
        <v>PDV:</v>
      </c>
      <c r="N886" s="259">
        <f>'Obrazac kalkulacije'!$F$19</f>
        <v>0.25</v>
      </c>
      <c r="O886" s="29">
        <f>O885*N886</f>
        <v>0.09</v>
      </c>
    </row>
    <row r="887" spans="1:15" ht="25.15" customHeight="1" thickTop="1" thickBot="1">
      <c r="E887" s="840" t="str">
        <f>'Obrazac kalkulacije'!$E$20</f>
        <v>Sveukupno (kn):</v>
      </c>
      <c r="F887" s="840"/>
      <c r="G887" s="29">
        <f>ROUND(SUM(G885:G886),2)</f>
        <v>0.69</v>
      </c>
      <c r="H887" s="271" t="e">
        <f>G878+H886</f>
        <v>#REF!</v>
      </c>
      <c r="M887" s="840" t="str">
        <f>'Obrazac kalkulacije'!$E$20</f>
        <v>Sveukupno (kn):</v>
      </c>
      <c r="N887" s="840"/>
      <c r="O887" s="29">
        <f>ROUND(SUM(O885:O886),2)</f>
        <v>0.45</v>
      </c>
    </row>
    <row r="888" spans="1:15" ht="15" customHeight="1" thickTop="1"/>
    <row r="889" spans="1:15" ht="15" customHeight="1"/>
    <row r="890" spans="1:15" ht="15" customHeight="1"/>
    <row r="891" spans="1:15" ht="15" customHeight="1">
      <c r="C891" s="3" t="str">
        <f>'Obrazac kalkulacije'!$C$24</f>
        <v>IZVODITELJ:</v>
      </c>
      <c r="F891" s="841" t="str">
        <f>'Obrazac kalkulacije'!$F$24</f>
        <v>NARUČITELJ:</v>
      </c>
      <c r="G891" s="841"/>
      <c r="K891" s="3" t="str">
        <f>'Obrazac kalkulacije'!$C$24</f>
        <v>IZVODITELJ:</v>
      </c>
      <c r="N891" s="841" t="str">
        <f>'Obrazac kalkulacije'!$F$24</f>
        <v>NARUČITELJ:</v>
      </c>
      <c r="O891" s="841"/>
    </row>
    <row r="892" spans="1:15" ht="25.15" customHeight="1">
      <c r="C892" s="3" t="str">
        <f>'Obrazac kalkulacije'!$C$25</f>
        <v>__________________</v>
      </c>
      <c r="F892" s="841" t="str">
        <f>'Obrazac kalkulacije'!$F$25</f>
        <v>___________________</v>
      </c>
      <c r="G892" s="841"/>
      <c r="K892" s="3" t="str">
        <f>'Obrazac kalkulacije'!$C$25</f>
        <v>__________________</v>
      </c>
      <c r="N892" s="841" t="str">
        <f>'Obrazac kalkulacije'!$F$25</f>
        <v>___________________</v>
      </c>
      <c r="O892" s="841"/>
    </row>
    <row r="893" spans="1:15" ht="15" customHeight="1">
      <c r="F893" s="841"/>
      <c r="G893" s="841"/>
      <c r="N893" s="841"/>
      <c r="O893" s="841"/>
    </row>
    <row r="894" spans="1:15" ht="15" customHeight="1"/>
    <row r="895" spans="1:15" ht="15" customHeight="1">
      <c r="A895" s="144"/>
      <c r="B895" s="145" t="s">
        <v>39</v>
      </c>
      <c r="C895" s="836" t="s">
        <v>360</v>
      </c>
      <c r="D895" s="836"/>
      <c r="E895" s="836"/>
      <c r="F895" s="836"/>
      <c r="G895" s="836"/>
      <c r="I895" s="144"/>
      <c r="J895" s="145" t="s">
        <v>39</v>
      </c>
      <c r="K895" s="836" t="s">
        <v>360</v>
      </c>
      <c r="L895" s="836"/>
      <c r="M895" s="836"/>
      <c r="N895" s="836"/>
      <c r="O895" s="836"/>
    </row>
    <row r="896" spans="1:15" ht="15" customHeight="1">
      <c r="A896" s="38"/>
      <c r="B896" s="39" t="s">
        <v>46</v>
      </c>
      <c r="C896" s="860" t="s">
        <v>470</v>
      </c>
      <c r="D896" s="860"/>
      <c r="E896" s="860"/>
      <c r="F896" s="860"/>
      <c r="G896" s="860"/>
      <c r="I896" s="38"/>
      <c r="J896" s="39" t="s">
        <v>46</v>
      </c>
      <c r="K896" s="860" t="s">
        <v>470</v>
      </c>
      <c r="L896" s="860"/>
      <c r="M896" s="860"/>
      <c r="N896" s="860"/>
      <c r="O896" s="860"/>
    </row>
    <row r="897" spans="1:15" ht="15" customHeight="1">
      <c r="A897" s="48"/>
      <c r="B897" s="49" t="s">
        <v>47</v>
      </c>
      <c r="C897" s="883" t="s">
        <v>471</v>
      </c>
      <c r="D897" s="883"/>
      <c r="E897" s="883"/>
      <c r="F897" s="883"/>
      <c r="G897" s="883"/>
      <c r="I897" s="48"/>
      <c r="J897" s="49" t="s">
        <v>47</v>
      </c>
      <c r="K897" s="883" t="s">
        <v>471</v>
      </c>
      <c r="L897" s="883"/>
      <c r="M897" s="883"/>
      <c r="N897" s="883"/>
      <c r="O897" s="883"/>
    </row>
    <row r="898" spans="1:15" ht="15" customHeight="1">
      <c r="A898" s="95"/>
      <c r="B898" s="96" t="s">
        <v>472</v>
      </c>
      <c r="C898" s="882" t="s">
        <v>473</v>
      </c>
      <c r="D898" s="882"/>
      <c r="E898" s="882"/>
      <c r="F898" s="882"/>
      <c r="G898" s="882"/>
      <c r="I898" s="95"/>
      <c r="J898" s="96" t="s">
        <v>472</v>
      </c>
      <c r="K898" s="882" t="s">
        <v>473</v>
      </c>
      <c r="L898" s="882"/>
      <c r="M898" s="882"/>
      <c r="N898" s="882"/>
      <c r="O898" s="882"/>
    </row>
    <row r="899" spans="1:15" ht="150" customHeight="1">
      <c r="A899" s="40"/>
      <c r="B899" s="556" t="s">
        <v>482</v>
      </c>
      <c r="C899" s="852" t="s">
        <v>483</v>
      </c>
      <c r="D899" s="852"/>
      <c r="E899" s="852"/>
      <c r="F899" s="852"/>
      <c r="G899" s="852"/>
      <c r="I899" s="40"/>
      <c r="J899" s="41" t="s">
        <v>484</v>
      </c>
      <c r="K899" s="869" t="s">
        <v>483</v>
      </c>
      <c r="L899" s="869"/>
      <c r="M899" s="869"/>
      <c r="N899" s="869"/>
      <c r="O899" s="869"/>
    </row>
    <row r="900" spans="1:15" ht="15" customHeight="1" thickBot="1"/>
    <row r="901" spans="1:15" ht="30" customHeight="1" thickTop="1" thickBot="1">
      <c r="A901" s="10"/>
      <c r="B901" s="835" t="str">
        <f>'Obrazac kalkulacije'!$B$6:$C$6</f>
        <v>Opis</v>
      </c>
      <c r="C901" s="835"/>
      <c r="D901" s="10" t="str">
        <f>'Obrazac kalkulacije'!$D$6</f>
        <v>Jed.
mjere</v>
      </c>
      <c r="E901" s="10" t="str">
        <f>'Obrazac kalkulacije'!$E$6</f>
        <v>Normativ</v>
      </c>
      <c r="F901" s="10" t="str">
        <f>'Obrazac kalkulacije'!$F$6</f>
        <v>Jed.
cijena</v>
      </c>
      <c r="G901" s="10" t="str">
        <f>'Obrazac kalkulacije'!$G$6</f>
        <v>Iznos</v>
      </c>
      <c r="H901" s="622">
        <v>13000</v>
      </c>
      <c r="I901" s="10"/>
      <c r="J901" s="835" t="e">
        <f>'Obrazac kalkulacije'!$B$6:$C$6</f>
        <v>#VALUE!</v>
      </c>
      <c r="K901" s="835"/>
      <c r="L901" s="10" t="str">
        <f>'Obrazac kalkulacije'!$D$6</f>
        <v>Jed.
mjere</v>
      </c>
      <c r="M901" s="10" t="str">
        <f>'Obrazac kalkulacije'!$E$6</f>
        <v>Normativ</v>
      </c>
      <c r="N901" s="10" t="str">
        <f>'Obrazac kalkulacije'!$F$6</f>
        <v>Jed.
cijena</v>
      </c>
      <c r="O901" s="10" t="str">
        <f>'Obrazac kalkulacije'!$G$6</f>
        <v>Iznos</v>
      </c>
    </row>
    <row r="902" spans="1:15" ht="4.5" customHeight="1" thickTop="1">
      <c r="B902" s="42"/>
      <c r="C902" s="1"/>
      <c r="D902" s="11"/>
      <c r="E902" s="13"/>
      <c r="F902" s="258"/>
      <c r="G902" s="630"/>
      <c r="H902" s="3"/>
      <c r="J902" s="42"/>
      <c r="K902" s="1"/>
      <c r="L902" s="11"/>
      <c r="M902" s="13"/>
      <c r="N902" s="258"/>
      <c r="O902" s="630"/>
    </row>
    <row r="903" spans="1:15" ht="25.15" customHeight="1">
      <c r="A903" s="16"/>
      <c r="B903" s="837" t="str">
        <f>'Obrazac kalkulacije'!$B$8</f>
        <v>Radna snaga:</v>
      </c>
      <c r="C903" s="837"/>
      <c r="D903" s="16"/>
      <c r="E903" s="16"/>
      <c r="F903" s="44"/>
      <c r="G903" s="18">
        <f>SUM(G904:G904)</f>
        <v>0.29085230769230769</v>
      </c>
      <c r="H903" s="3"/>
      <c r="I903" s="16"/>
      <c r="J903" s="837" t="str">
        <f>'Obrazac kalkulacije'!$B$8</f>
        <v>Radna snaga:</v>
      </c>
      <c r="K903" s="837"/>
      <c r="L903" s="16"/>
      <c r="M903" s="16"/>
      <c r="N903" s="44"/>
      <c r="O903" s="18">
        <f>SUM(O904:O904)</f>
        <v>0.14000499</v>
      </c>
    </row>
    <row r="904" spans="1:15" ht="25.15" customHeight="1">
      <c r="A904" s="32"/>
      <c r="B904" s="854" t="s">
        <v>57</v>
      </c>
      <c r="C904" s="854"/>
      <c r="D904" s="637" t="s">
        <v>51</v>
      </c>
      <c r="E904" s="104">
        <f>H904/H$901</f>
        <v>2.7692307692307691E-3</v>
      </c>
      <c r="F904" s="238">
        <f>SUMIF('Cjenik RS'!$C$11:$C$26,$B904,'Cjenik RS'!$D$11:$D$90)</f>
        <v>105.03</v>
      </c>
      <c r="G904" s="46">
        <f>+F904*E904</f>
        <v>0.29085230769230769</v>
      </c>
      <c r="H904" s="560">
        <v>36</v>
      </c>
      <c r="I904" s="32"/>
      <c r="J904" s="854" t="s">
        <v>57</v>
      </c>
      <c r="K904" s="854"/>
      <c r="L904" s="33" t="s">
        <v>51</v>
      </c>
      <c r="M904" s="34">
        <v>1.333E-3</v>
      </c>
      <c r="N904" s="44">
        <f>SUMIF('Cjenik RS'!$C$11:$C$26,J904,'Cjenik RS'!$D$11:$D$90)</f>
        <v>105.03</v>
      </c>
      <c r="O904" s="35">
        <f>+N904*M904</f>
        <v>0.14000499</v>
      </c>
    </row>
    <row r="905" spans="1:15" ht="25.15" customHeight="1">
      <c r="A905" s="16"/>
      <c r="B905" s="837" t="str">
        <f>'Obrazac kalkulacije'!$B$11</f>
        <v>Vozila, strojevi i oprema:</v>
      </c>
      <c r="C905" s="837"/>
      <c r="D905" s="16"/>
      <c r="E905" s="16"/>
      <c r="F905" s="238">
        <f>'Obrazac kalkulacije'!$F$11</f>
        <v>0</v>
      </c>
      <c r="G905" s="18">
        <f>SUM(G906:G909)</f>
        <v>0.25697029999999998</v>
      </c>
      <c r="I905" s="16"/>
      <c r="J905" s="837" t="str">
        <f>'Obrazac kalkulacije'!$B$11</f>
        <v>Vozila, strojevi i oprema:</v>
      </c>
      <c r="K905" s="837"/>
      <c r="L905" s="16"/>
      <c r="M905" s="16"/>
      <c r="N905" s="238">
        <f>'Obrazac kalkulacije'!$F$11</f>
        <v>0</v>
      </c>
      <c r="O905" s="18">
        <f>SUM(O906:O909)</f>
        <v>0.22481730000000003</v>
      </c>
    </row>
    <row r="906" spans="1:15" ht="25.15" customHeight="1">
      <c r="A906" s="16"/>
      <c r="B906" s="838" t="s">
        <v>477</v>
      </c>
      <c r="C906" s="838"/>
      <c r="D906" s="44" t="s">
        <v>51</v>
      </c>
      <c r="E906" s="104">
        <f>H906/H$901</f>
        <v>3.8400000000000001E-4</v>
      </c>
      <c r="F906" s="238">
        <f>SUMIF('Cjenik VSO'!$B$9:$B$85,$B906,'Cjenik VSO'!$C$9:$C$85)</f>
        <v>290.85000000000002</v>
      </c>
      <c r="G906" s="46">
        <f>E906*F906</f>
        <v>0.11168640000000001</v>
      </c>
      <c r="H906" s="560">
        <v>4.992</v>
      </c>
      <c r="I906" s="51"/>
      <c r="J906" s="863" t="s">
        <v>477</v>
      </c>
      <c r="K906" s="863"/>
      <c r="L906" s="52" t="s">
        <v>51</v>
      </c>
      <c r="M906" s="53">
        <v>4.44E-4</v>
      </c>
      <c r="N906" s="260">
        <f>SUMIF('Cjenik VSO'!$B$9:$B$85,$B906,'Cjenik VSO'!$C$9:$C$85)</f>
        <v>290.85000000000002</v>
      </c>
      <c r="O906" s="55">
        <f>M906*N906</f>
        <v>0.12913740000000001</v>
      </c>
    </row>
    <row r="907" spans="1:15" ht="25.15" customHeight="1">
      <c r="A907" s="16"/>
      <c r="B907" s="838" t="s">
        <v>478</v>
      </c>
      <c r="C907" s="838"/>
      <c r="D907" s="44" t="s">
        <v>51</v>
      </c>
      <c r="E907" s="104">
        <f>H907/H$901</f>
        <v>2.3000000000000001E-4</v>
      </c>
      <c r="F907" s="238">
        <f>SUMIF('Cjenik VSO'!$B$9:$B$85,$B907,'Cjenik VSO'!$C$9:$C$85)</f>
        <v>123.97</v>
      </c>
      <c r="G907" s="46">
        <f>E907*F907</f>
        <v>2.85131E-2</v>
      </c>
      <c r="H907" s="560">
        <v>2.99</v>
      </c>
      <c r="I907" s="51"/>
      <c r="J907" s="863"/>
      <c r="K907" s="863"/>
      <c r="L907" s="52"/>
      <c r="M907" s="53"/>
      <c r="N907" s="260"/>
      <c r="O907" s="55">
        <f>M907*N907</f>
        <v>0</v>
      </c>
    </row>
    <row r="908" spans="1:15" ht="25.15" customHeight="1">
      <c r="A908" s="16"/>
      <c r="B908" s="838" t="s">
        <v>183</v>
      </c>
      <c r="C908" s="838"/>
      <c r="D908" s="44" t="s">
        <v>51</v>
      </c>
      <c r="E908" s="104">
        <f>H908/H$901</f>
        <v>1.92E-4</v>
      </c>
      <c r="F908" s="238">
        <f>SUMIF('Cjenik VSO'!$B$9:$B$85,$B908,'Cjenik VSO'!$C$9:$C$85)</f>
        <v>32.9</v>
      </c>
      <c r="G908" s="46">
        <f>E908*F908</f>
        <v>6.3168E-3</v>
      </c>
      <c r="H908" s="560">
        <v>2.496</v>
      </c>
      <c r="I908" s="56"/>
      <c r="J908" s="834" t="s">
        <v>183</v>
      </c>
      <c r="K908" s="834"/>
      <c r="L908" s="57" t="s">
        <v>51</v>
      </c>
      <c r="M908" s="58">
        <v>7.4999999999999993E-5</v>
      </c>
      <c r="N908" s="263">
        <f>SUMIF('Cjenik VSO'!$B$9:$B$85,$B908,'Cjenik VSO'!$C$9:$C$85)</f>
        <v>32.9</v>
      </c>
      <c r="O908" s="60">
        <f>M908*N908</f>
        <v>2.4674999999999996E-3</v>
      </c>
    </row>
    <row r="909" spans="1:15" ht="25.15" customHeight="1">
      <c r="A909" s="16"/>
      <c r="B909" s="838" t="s">
        <v>69</v>
      </c>
      <c r="C909" s="838"/>
      <c r="D909" s="44" t="s">
        <v>51</v>
      </c>
      <c r="E909" s="104">
        <f>H909/H$901</f>
        <v>6.1499999999999999E-4</v>
      </c>
      <c r="F909" s="238">
        <f>SUMIF('Cjenik VSO'!$B$9:$B$85,$B909,'Cjenik VSO'!$C$9:$C$85)</f>
        <v>179.6</v>
      </c>
      <c r="G909" s="46">
        <f>E909*F909</f>
        <v>0.110454</v>
      </c>
      <c r="H909" s="560">
        <v>7.9950000000000001</v>
      </c>
      <c r="I909" s="61"/>
      <c r="J909" s="864" t="s">
        <v>69</v>
      </c>
      <c r="K909" s="864"/>
      <c r="L909" s="62" t="s">
        <v>51</v>
      </c>
      <c r="M909" s="63">
        <v>5.1900000000000004E-4</v>
      </c>
      <c r="N909" s="261">
        <f>SUMIF('Cjenik VSO'!$B$9:$B$85,$B909,'Cjenik VSO'!$C$9:$C$85)</f>
        <v>179.6</v>
      </c>
      <c r="O909" s="65">
        <f>M909*N909</f>
        <v>9.3212400000000001E-2</v>
      </c>
    </row>
    <row r="910" spans="1:15" ht="25.15" customHeight="1">
      <c r="A910" s="16"/>
      <c r="B910" s="837" t="str">
        <f>'Obrazac kalkulacije'!$B$15</f>
        <v>Materijali:</v>
      </c>
      <c r="C910" s="837"/>
      <c r="D910" s="16"/>
      <c r="E910" s="16"/>
      <c r="F910" s="238"/>
      <c r="G910" s="18">
        <f>SUM(G911:G913)</f>
        <v>0</v>
      </c>
      <c r="I910" s="16"/>
      <c r="J910" s="837" t="str">
        <f>'Obrazac kalkulacije'!$B$15</f>
        <v>Materijali:</v>
      </c>
      <c r="K910" s="837"/>
      <c r="L910" s="16"/>
      <c r="M910" s="16"/>
      <c r="N910" s="238"/>
      <c r="O910" s="18">
        <f>SUM(O911:O913)</f>
        <v>0</v>
      </c>
    </row>
    <row r="911" spans="1:15" ht="25.15" customHeight="1">
      <c r="A911" s="16"/>
      <c r="B911" s="838">
        <f>'Cjenik M'!$B$72</f>
        <v>0</v>
      </c>
      <c r="C911" s="838"/>
      <c r="D911" s="44">
        <f>'Cjenik M'!$C$72</f>
        <v>0</v>
      </c>
      <c r="E911" s="45">
        <v>0.124</v>
      </c>
      <c r="F911" s="238">
        <f>'Cjenik M'!$D$72</f>
        <v>0</v>
      </c>
      <c r="G911" s="46">
        <f>E911*F911</f>
        <v>0</v>
      </c>
      <c r="I911" s="51"/>
      <c r="J911" s="863">
        <f>'Cjenik M'!$B$72</f>
        <v>0</v>
      </c>
      <c r="K911" s="863"/>
      <c r="L911" s="52">
        <f>'Cjenik M'!$C$72</f>
        <v>0</v>
      </c>
      <c r="M911" s="53">
        <v>0.124</v>
      </c>
      <c r="N911" s="260">
        <f>'Cjenik M'!$D$72</f>
        <v>0</v>
      </c>
      <c r="O911" s="55">
        <f>M911*N911</f>
        <v>0</v>
      </c>
    </row>
    <row r="912" spans="1:15" ht="25.15" customHeight="1">
      <c r="A912" s="16"/>
      <c r="B912" s="838">
        <f>'Cjenik M'!$B$102</f>
        <v>0</v>
      </c>
      <c r="C912" s="838"/>
      <c r="D912" s="44">
        <f>'Cjenik M'!$C$102</f>
        <v>0</v>
      </c>
      <c r="E912" s="45">
        <v>6.5000000000000002E-2</v>
      </c>
      <c r="F912" s="238">
        <f>'Cjenik M'!$D$102</f>
        <v>0</v>
      </c>
      <c r="G912" s="46">
        <f>E912*F912</f>
        <v>0</v>
      </c>
      <c r="I912" s="56"/>
      <c r="J912" s="834">
        <f>'Cjenik M'!$B$102</f>
        <v>0</v>
      </c>
      <c r="K912" s="834"/>
      <c r="L912" s="57">
        <f>'Cjenik M'!$C$102</f>
        <v>0</v>
      </c>
      <c r="M912" s="58">
        <v>6.5000000000000002E-2</v>
      </c>
      <c r="N912" s="263">
        <f>'Cjenik M'!$D$102</f>
        <v>0</v>
      </c>
      <c r="O912" s="60">
        <f>M912*N912</f>
        <v>0</v>
      </c>
    </row>
    <row r="913" spans="1:15" ht="25.15" customHeight="1" thickBot="1">
      <c r="A913" s="16"/>
      <c r="B913" s="838">
        <f>'Cjenik M'!$B$74</f>
        <v>0</v>
      </c>
      <c r="C913" s="838"/>
      <c r="D913" s="44">
        <f>'Cjenik M'!$C$74</f>
        <v>0</v>
      </c>
      <c r="E913" s="45">
        <v>1.4385E-2</v>
      </c>
      <c r="F913" s="238">
        <f>'Cjenik M'!$D$74</f>
        <v>0</v>
      </c>
      <c r="G913" s="46">
        <f>E913*F913</f>
        <v>0</v>
      </c>
      <c r="I913" s="66"/>
      <c r="J913" s="859">
        <f>'Cjenik M'!$B$74</f>
        <v>0</v>
      </c>
      <c r="K913" s="859"/>
      <c r="L913" s="57">
        <f>'Cjenik M'!$C$74</f>
        <v>0</v>
      </c>
      <c r="M913" s="58">
        <v>1.4385E-2</v>
      </c>
      <c r="N913" s="263">
        <f>'Cjenik M'!$D$74</f>
        <v>0</v>
      </c>
      <c r="O913" s="60">
        <f>M913*N913</f>
        <v>0</v>
      </c>
    </row>
    <row r="914" spans="1:15" ht="25.15" customHeight="1" thickTop="1" thickBot="1">
      <c r="E914" s="868" t="str">
        <f>'Obrazac kalkulacije'!$E$18</f>
        <v>Ukupno (kn):</v>
      </c>
      <c r="F914" s="868"/>
      <c r="G914" s="71">
        <f>ROUND(SUM(G903+G905+G910),2)</f>
        <v>0.55000000000000004</v>
      </c>
      <c r="H914" s="269" t="e">
        <f>SUMIF(#REF!,$B899,#REF!)</f>
        <v>#REF!</v>
      </c>
      <c r="J914" s="47"/>
      <c r="K914" s="24"/>
      <c r="L914" s="25"/>
      <c r="M914" s="850" t="str">
        <f>'Obrazac kalkulacije'!$E$18</f>
        <v>Ukupno (kn):</v>
      </c>
      <c r="N914" s="850"/>
      <c r="O914" s="26">
        <f>ROUND(SUM(O903+O905+O910),2)</f>
        <v>0.36</v>
      </c>
    </row>
    <row r="915" spans="1:15" ht="25.15" customHeight="1" thickTop="1" thickBot="1">
      <c r="E915" s="27" t="str">
        <f>'Obrazac kalkulacije'!$E$19</f>
        <v>PDV:</v>
      </c>
      <c r="F915" s="259">
        <f>'Obrazac kalkulacije'!$F$19</f>
        <v>0.25</v>
      </c>
      <c r="G915" s="29">
        <f>G914*F915</f>
        <v>0.13750000000000001</v>
      </c>
      <c r="H915" s="270" t="e">
        <f>H914-G914</f>
        <v>#REF!</v>
      </c>
      <c r="M915" s="27" t="str">
        <f>'Obrazac kalkulacije'!$E$19</f>
        <v>PDV:</v>
      </c>
      <c r="N915" s="259">
        <f>'Obrazac kalkulacije'!$F$19</f>
        <v>0.25</v>
      </c>
      <c r="O915" s="29">
        <f>O914*N915</f>
        <v>0.09</v>
      </c>
    </row>
    <row r="916" spans="1:15" ht="25.15" customHeight="1" thickTop="1" thickBot="1">
      <c r="E916" s="840" t="str">
        <f>'Obrazac kalkulacije'!$E$20</f>
        <v>Sveukupno (kn):</v>
      </c>
      <c r="F916" s="840"/>
      <c r="G916" s="29">
        <f>ROUND(SUM(G914:G915),2)</f>
        <v>0.69</v>
      </c>
      <c r="H916" s="271" t="e">
        <f>G906+H915</f>
        <v>#REF!</v>
      </c>
      <c r="M916" s="840" t="str">
        <f>'Obrazac kalkulacije'!$E$20</f>
        <v>Sveukupno (kn):</v>
      </c>
      <c r="N916" s="840"/>
      <c r="O916" s="29">
        <f>ROUND(SUM(O914:O915),2)</f>
        <v>0.45</v>
      </c>
    </row>
    <row r="917" spans="1:15" ht="15" customHeight="1" thickTop="1"/>
    <row r="918" spans="1:15" ht="15" customHeight="1"/>
    <row r="919" spans="1:15" ht="15" customHeight="1"/>
    <row r="920" spans="1:15" ht="15" customHeight="1">
      <c r="C920" s="3" t="str">
        <f>'Obrazac kalkulacije'!$C$24</f>
        <v>IZVODITELJ:</v>
      </c>
      <c r="F920" s="841" t="str">
        <f>'Obrazac kalkulacije'!$F$24</f>
        <v>NARUČITELJ:</v>
      </c>
      <c r="G920" s="841"/>
      <c r="K920" s="3" t="str">
        <f>'Obrazac kalkulacije'!$C$24</f>
        <v>IZVODITELJ:</v>
      </c>
      <c r="N920" s="841" t="str">
        <f>'Obrazac kalkulacije'!$F$24</f>
        <v>NARUČITELJ:</v>
      </c>
      <c r="O920" s="841"/>
    </row>
    <row r="921" spans="1:15" ht="25.15" customHeight="1">
      <c r="C921" s="3" t="str">
        <f>'Obrazac kalkulacije'!$C$25</f>
        <v>__________________</v>
      </c>
      <c r="F921" s="841" t="str">
        <f>'Obrazac kalkulacije'!$F$25</f>
        <v>___________________</v>
      </c>
      <c r="G921" s="841"/>
      <c r="K921" s="3" t="str">
        <f>'Obrazac kalkulacije'!$C$25</f>
        <v>__________________</v>
      </c>
      <c r="N921" s="841" t="str">
        <f>'Obrazac kalkulacije'!$F$25</f>
        <v>___________________</v>
      </c>
      <c r="O921" s="841"/>
    </row>
    <row r="922" spans="1:15" ht="15" customHeight="1">
      <c r="F922" s="841"/>
      <c r="G922" s="841"/>
      <c r="N922" s="841"/>
      <c r="O922" s="841"/>
    </row>
    <row r="923" spans="1:15" ht="15" customHeight="1"/>
    <row r="924" spans="1:15" ht="15" customHeight="1">
      <c r="A924" s="144"/>
      <c r="B924" s="145" t="s">
        <v>39</v>
      </c>
      <c r="C924" s="836" t="s">
        <v>360</v>
      </c>
      <c r="D924" s="836"/>
      <c r="E924" s="836"/>
      <c r="F924" s="836"/>
      <c r="G924" s="836"/>
      <c r="I924" s="144"/>
      <c r="J924" s="145" t="s">
        <v>39</v>
      </c>
      <c r="K924" s="836" t="s">
        <v>360</v>
      </c>
      <c r="L924" s="836"/>
      <c r="M924" s="836"/>
      <c r="N924" s="836"/>
      <c r="O924" s="836"/>
    </row>
    <row r="925" spans="1:15" ht="15" customHeight="1">
      <c r="A925" s="38"/>
      <c r="B925" s="39" t="s">
        <v>46</v>
      </c>
      <c r="C925" s="860" t="s">
        <v>470</v>
      </c>
      <c r="D925" s="860"/>
      <c r="E925" s="860"/>
      <c r="F925" s="860"/>
      <c r="G925" s="860"/>
      <c r="I925" s="38"/>
      <c r="J925" s="39" t="s">
        <v>46</v>
      </c>
      <c r="K925" s="860" t="s">
        <v>470</v>
      </c>
      <c r="L925" s="860"/>
      <c r="M925" s="860"/>
      <c r="N925" s="860"/>
      <c r="O925" s="860"/>
    </row>
    <row r="926" spans="1:15" ht="15" customHeight="1">
      <c r="A926" s="48"/>
      <c r="B926" s="49" t="s">
        <v>47</v>
      </c>
      <c r="C926" s="883" t="s">
        <v>471</v>
      </c>
      <c r="D926" s="883"/>
      <c r="E926" s="883"/>
      <c r="F926" s="883"/>
      <c r="G926" s="883"/>
      <c r="I926" s="48"/>
      <c r="J926" s="49" t="s">
        <v>47</v>
      </c>
      <c r="K926" s="883" t="s">
        <v>471</v>
      </c>
      <c r="L926" s="883"/>
      <c r="M926" s="883"/>
      <c r="N926" s="883"/>
      <c r="O926" s="883"/>
    </row>
    <row r="927" spans="1:15" ht="15" customHeight="1">
      <c r="A927" s="95"/>
      <c r="B927" s="96" t="s">
        <v>472</v>
      </c>
      <c r="C927" s="882" t="s">
        <v>473</v>
      </c>
      <c r="D927" s="882"/>
      <c r="E927" s="882"/>
      <c r="F927" s="882"/>
      <c r="G927" s="882"/>
      <c r="I927" s="95"/>
      <c r="J927" s="96" t="s">
        <v>472</v>
      </c>
      <c r="K927" s="882" t="s">
        <v>473</v>
      </c>
      <c r="L927" s="882"/>
      <c r="M927" s="882"/>
      <c r="N927" s="882"/>
      <c r="O927" s="882"/>
    </row>
    <row r="928" spans="1:15" ht="150" customHeight="1">
      <c r="A928" s="40"/>
      <c r="B928" s="556" t="s">
        <v>476</v>
      </c>
      <c r="C928" s="852" t="s">
        <v>485</v>
      </c>
      <c r="D928" s="852"/>
      <c r="E928" s="852"/>
      <c r="F928" s="852"/>
      <c r="G928" s="852"/>
      <c r="I928" s="40"/>
      <c r="J928" s="41" t="s">
        <v>486</v>
      </c>
      <c r="K928" s="869" t="s">
        <v>485</v>
      </c>
      <c r="L928" s="869"/>
      <c r="M928" s="869"/>
      <c r="N928" s="869"/>
      <c r="O928" s="869"/>
    </row>
    <row r="929" spans="1:15" ht="15" customHeight="1" thickBot="1"/>
    <row r="930" spans="1:15" ht="30" customHeight="1" thickTop="1" thickBot="1">
      <c r="A930" s="10"/>
      <c r="B930" s="835" t="str">
        <f>'Obrazac kalkulacije'!$B$6:$C$6</f>
        <v>Opis</v>
      </c>
      <c r="C930" s="835"/>
      <c r="D930" s="10" t="str">
        <f>'Obrazac kalkulacije'!$D$6</f>
        <v>Jed.
mjere</v>
      </c>
      <c r="E930" s="10" t="str">
        <f>'Obrazac kalkulacije'!$E$6</f>
        <v>Normativ</v>
      </c>
      <c r="F930" s="10" t="str">
        <f>'Obrazac kalkulacije'!$F$6</f>
        <v>Jed.
cijena</v>
      </c>
      <c r="G930" s="10" t="str">
        <f>'Obrazac kalkulacije'!$G$6</f>
        <v>Iznos</v>
      </c>
      <c r="H930" s="622">
        <v>13000</v>
      </c>
      <c r="I930" s="10"/>
      <c r="J930" s="835" t="e">
        <f>'Obrazac kalkulacije'!$B$6:$C$6</f>
        <v>#VALUE!</v>
      </c>
      <c r="K930" s="835"/>
      <c r="L930" s="10" t="str">
        <f>'Obrazac kalkulacije'!$D$6</f>
        <v>Jed.
mjere</v>
      </c>
      <c r="M930" s="10" t="str">
        <f>'Obrazac kalkulacije'!$E$6</f>
        <v>Normativ</v>
      </c>
      <c r="N930" s="10" t="str">
        <f>'Obrazac kalkulacije'!$F$6</f>
        <v>Jed.
cijena</v>
      </c>
      <c r="O930" s="10" t="str">
        <f>'Obrazac kalkulacije'!$G$6</f>
        <v>Iznos</v>
      </c>
    </row>
    <row r="931" spans="1:15" ht="4.5" customHeight="1" thickTop="1">
      <c r="B931" s="42"/>
      <c r="C931" s="1"/>
      <c r="D931" s="11"/>
      <c r="E931" s="13"/>
      <c r="F931" s="258"/>
      <c r="G931" s="630"/>
      <c r="H931" s="3"/>
      <c r="J931" s="42"/>
      <c r="K931" s="1"/>
      <c r="L931" s="11"/>
      <c r="M931" s="13"/>
      <c r="N931" s="258"/>
      <c r="O931" s="630"/>
    </row>
    <row r="932" spans="1:15" ht="25.15" customHeight="1">
      <c r="A932" s="16"/>
      <c r="B932" s="837" t="str">
        <f>'Obrazac kalkulacije'!$B$8</f>
        <v>Radna snaga:</v>
      </c>
      <c r="C932" s="837"/>
      <c r="D932" s="16"/>
      <c r="E932" s="16"/>
      <c r="F932" s="44"/>
      <c r="G932" s="18">
        <f>SUM(G933:G933)</f>
        <v>0.32316923076923076</v>
      </c>
      <c r="H932" s="3"/>
      <c r="I932" s="16"/>
      <c r="J932" s="837" t="str">
        <f>'Obrazac kalkulacije'!$B$8</f>
        <v>Radna snaga:</v>
      </c>
      <c r="K932" s="837"/>
      <c r="L932" s="16"/>
      <c r="M932" s="16"/>
      <c r="N932" s="44"/>
      <c r="O932" s="18">
        <f>SUM(O933:O933)</f>
        <v>0.14000499</v>
      </c>
    </row>
    <row r="933" spans="1:15" ht="25.15" customHeight="1">
      <c r="A933" s="32"/>
      <c r="B933" s="854" t="s">
        <v>57</v>
      </c>
      <c r="C933" s="854"/>
      <c r="D933" s="637" t="s">
        <v>51</v>
      </c>
      <c r="E933" s="104">
        <f>H933/H$930</f>
        <v>3.0769230769230769E-3</v>
      </c>
      <c r="F933" s="238">
        <f>SUMIF('Cjenik RS'!$C$11:$C$26,$B933,'Cjenik RS'!$D$11:$D$90)</f>
        <v>105.03</v>
      </c>
      <c r="G933" s="46">
        <f>+F933*E933</f>
        <v>0.32316923076923076</v>
      </c>
      <c r="H933" s="560">
        <v>40</v>
      </c>
      <c r="I933" s="32"/>
      <c r="J933" s="854" t="s">
        <v>57</v>
      </c>
      <c r="K933" s="854"/>
      <c r="L933" s="33" t="s">
        <v>51</v>
      </c>
      <c r="M933" s="34">
        <v>1.333E-3</v>
      </c>
      <c r="N933" s="44">
        <f>SUMIF('Cjenik RS'!$C$11:$C$26,J933,'Cjenik RS'!$D$11:$D$90)</f>
        <v>105.03</v>
      </c>
      <c r="O933" s="35">
        <f>+N933*M933</f>
        <v>0.14000499</v>
      </c>
    </row>
    <row r="934" spans="1:15" ht="25.15" customHeight="1">
      <c r="A934" s="16"/>
      <c r="B934" s="837" t="str">
        <f>'Obrazac kalkulacije'!$B$11</f>
        <v>Vozila, strojevi i oprema:</v>
      </c>
      <c r="C934" s="837"/>
      <c r="D934" s="16"/>
      <c r="E934" s="16"/>
      <c r="F934" s="238">
        <f>'Obrazac kalkulacije'!$F$11</f>
        <v>0</v>
      </c>
      <c r="G934" s="18">
        <f>SUM(G935:G938)</f>
        <v>0.25697029999999998</v>
      </c>
      <c r="I934" s="16"/>
      <c r="J934" s="837" t="str">
        <f>'Obrazac kalkulacije'!$B$11</f>
        <v>Vozila, strojevi i oprema:</v>
      </c>
      <c r="K934" s="837"/>
      <c r="L934" s="16"/>
      <c r="M934" s="16"/>
      <c r="N934" s="238">
        <f>'Obrazac kalkulacije'!$F$11</f>
        <v>0</v>
      </c>
      <c r="O934" s="18">
        <f>SUM(O935:O938)</f>
        <v>0.22481730000000003</v>
      </c>
    </row>
    <row r="935" spans="1:15" ht="25.15" customHeight="1">
      <c r="A935" s="16"/>
      <c r="B935" s="838" t="s">
        <v>477</v>
      </c>
      <c r="C935" s="838"/>
      <c r="D935" s="44" t="s">
        <v>51</v>
      </c>
      <c r="E935" s="104">
        <f>H935/H$930</f>
        <v>3.8400000000000001E-4</v>
      </c>
      <c r="F935" s="238">
        <f>SUMIF('Cjenik VSO'!$B$9:$B$85,$B935,'Cjenik VSO'!$C$9:$C$85)</f>
        <v>290.85000000000002</v>
      </c>
      <c r="G935" s="46">
        <f>E935*F935</f>
        <v>0.11168640000000001</v>
      </c>
      <c r="H935" s="560">
        <v>4.992</v>
      </c>
      <c r="I935" s="51"/>
      <c r="J935" s="863" t="s">
        <v>477</v>
      </c>
      <c r="K935" s="863"/>
      <c r="L935" s="52" t="s">
        <v>51</v>
      </c>
      <c r="M935" s="53">
        <v>4.44E-4</v>
      </c>
      <c r="N935" s="260">
        <f>SUMIF('Cjenik VSO'!$B$9:$B$85,$B935,'Cjenik VSO'!$C$9:$C$85)</f>
        <v>290.85000000000002</v>
      </c>
      <c r="O935" s="55">
        <f>M935*N935</f>
        <v>0.12913740000000001</v>
      </c>
    </row>
    <row r="936" spans="1:15" ht="25.15" customHeight="1">
      <c r="A936" s="16"/>
      <c r="B936" s="838" t="s">
        <v>478</v>
      </c>
      <c r="C936" s="838"/>
      <c r="D936" s="44" t="s">
        <v>51</v>
      </c>
      <c r="E936" s="104">
        <f>H936/H$930</f>
        <v>2.3000000000000001E-4</v>
      </c>
      <c r="F936" s="238">
        <f>SUMIF('Cjenik VSO'!$B$9:$B$85,$B936,'Cjenik VSO'!$C$9:$C$85)</f>
        <v>123.97</v>
      </c>
      <c r="G936" s="46">
        <f>E936*F936</f>
        <v>2.85131E-2</v>
      </c>
      <c r="H936" s="560">
        <v>2.99</v>
      </c>
      <c r="I936" s="51"/>
      <c r="J936" s="863"/>
      <c r="K936" s="863"/>
      <c r="L936" s="52"/>
      <c r="M936" s="53"/>
      <c r="N936" s="260"/>
      <c r="O936" s="55">
        <f>M936*N936</f>
        <v>0</v>
      </c>
    </row>
    <row r="937" spans="1:15" ht="25.15" customHeight="1">
      <c r="A937" s="16"/>
      <c r="B937" s="838" t="s">
        <v>183</v>
      </c>
      <c r="C937" s="838"/>
      <c r="D937" s="44" t="s">
        <v>51</v>
      </c>
      <c r="E937" s="104">
        <f>H937/H$930</f>
        <v>1.92E-4</v>
      </c>
      <c r="F937" s="238">
        <f>SUMIF('Cjenik VSO'!$B$9:$B$85,$B937,'Cjenik VSO'!$C$9:$C$85)</f>
        <v>32.9</v>
      </c>
      <c r="G937" s="46">
        <f>E937*F937</f>
        <v>6.3168E-3</v>
      </c>
      <c r="H937" s="560">
        <v>2.496</v>
      </c>
      <c r="I937" s="56"/>
      <c r="J937" s="834" t="s">
        <v>183</v>
      </c>
      <c r="K937" s="834"/>
      <c r="L937" s="57" t="s">
        <v>51</v>
      </c>
      <c r="M937" s="58">
        <v>7.4999999999999993E-5</v>
      </c>
      <c r="N937" s="263">
        <f>SUMIF('Cjenik VSO'!$B$9:$B$85,$B937,'Cjenik VSO'!$C$9:$C$85)</f>
        <v>32.9</v>
      </c>
      <c r="O937" s="60">
        <f>M937*N937</f>
        <v>2.4674999999999996E-3</v>
      </c>
    </row>
    <row r="938" spans="1:15" ht="25.15" customHeight="1">
      <c r="A938" s="16"/>
      <c r="B938" s="838" t="s">
        <v>69</v>
      </c>
      <c r="C938" s="838"/>
      <c r="D938" s="44" t="s">
        <v>51</v>
      </c>
      <c r="E938" s="104">
        <f>H938/H$930</f>
        <v>6.1499999999999999E-4</v>
      </c>
      <c r="F938" s="238">
        <f>SUMIF('Cjenik VSO'!$B$9:$B$85,$B938,'Cjenik VSO'!$C$9:$C$85)</f>
        <v>179.6</v>
      </c>
      <c r="G938" s="46">
        <f>E938*F938</f>
        <v>0.110454</v>
      </c>
      <c r="H938" s="560">
        <v>7.9950000000000001</v>
      </c>
      <c r="I938" s="61"/>
      <c r="J938" s="864" t="s">
        <v>69</v>
      </c>
      <c r="K938" s="864"/>
      <c r="L938" s="62" t="s">
        <v>51</v>
      </c>
      <c r="M938" s="63">
        <v>5.1900000000000004E-4</v>
      </c>
      <c r="N938" s="261">
        <f>SUMIF('Cjenik VSO'!$B$9:$B$85,$B938,'Cjenik VSO'!$C$9:$C$85)</f>
        <v>179.6</v>
      </c>
      <c r="O938" s="65">
        <f>M938*N938</f>
        <v>9.3212400000000001E-2</v>
      </c>
    </row>
    <row r="939" spans="1:15" ht="25.15" customHeight="1">
      <c r="A939" s="16"/>
      <c r="B939" s="837" t="str">
        <f>'Obrazac kalkulacije'!$B$15</f>
        <v>Materijali:</v>
      </c>
      <c r="C939" s="837"/>
      <c r="D939" s="16"/>
      <c r="E939" s="16"/>
      <c r="F939" s="238"/>
      <c r="G939" s="18">
        <f>SUM(G940:G942)</f>
        <v>0</v>
      </c>
      <c r="I939" s="16"/>
      <c r="J939" s="837" t="str">
        <f>'Obrazac kalkulacije'!$B$15</f>
        <v>Materijali:</v>
      </c>
      <c r="K939" s="837"/>
      <c r="L939" s="16"/>
      <c r="M939" s="16"/>
      <c r="N939" s="238"/>
      <c r="O939" s="18">
        <f>SUM(O940:O942)</f>
        <v>0</v>
      </c>
    </row>
    <row r="940" spans="1:15" ht="25.15" customHeight="1">
      <c r="A940" s="16"/>
      <c r="B940" s="838">
        <f>'Cjenik M'!$B$72</f>
        <v>0</v>
      </c>
      <c r="C940" s="838"/>
      <c r="D940" s="44">
        <f>'Cjenik M'!$C$72</f>
        <v>0</v>
      </c>
      <c r="E940" s="45">
        <v>0.186</v>
      </c>
      <c r="F940" s="238">
        <f>'Cjenik M'!$D$72</f>
        <v>0</v>
      </c>
      <c r="G940" s="46">
        <f>E940*F940</f>
        <v>0</v>
      </c>
      <c r="I940" s="51"/>
      <c r="J940" s="863">
        <f>'Cjenik M'!$B$72</f>
        <v>0</v>
      </c>
      <c r="K940" s="863"/>
      <c r="L940" s="52">
        <f>'Cjenik M'!$C$72</f>
        <v>0</v>
      </c>
      <c r="M940" s="53">
        <v>0.186</v>
      </c>
      <c r="N940" s="260">
        <f>'Cjenik M'!$D$72</f>
        <v>0</v>
      </c>
      <c r="O940" s="55">
        <f>M940*N940</f>
        <v>0</v>
      </c>
    </row>
    <row r="941" spans="1:15" ht="25.15" customHeight="1">
      <c r="A941" s="16"/>
      <c r="B941" s="838">
        <f>'Cjenik M'!$B$103</f>
        <v>0</v>
      </c>
      <c r="C941" s="838"/>
      <c r="D941" s="44">
        <f>'Cjenik M'!$C$103</f>
        <v>0</v>
      </c>
      <c r="E941" s="45">
        <v>0.1</v>
      </c>
      <c r="F941" s="238">
        <f>'Cjenik M'!$D$103</f>
        <v>0</v>
      </c>
      <c r="G941" s="46">
        <f>E941*F941</f>
        <v>0</v>
      </c>
      <c r="I941" s="56"/>
      <c r="J941" s="834">
        <f>'Cjenik M'!$B$103</f>
        <v>0</v>
      </c>
      <c r="K941" s="834"/>
      <c r="L941" s="57">
        <f>'Cjenik M'!$C$103</f>
        <v>0</v>
      </c>
      <c r="M941" s="58">
        <v>0.1</v>
      </c>
      <c r="N941" s="263">
        <f>'Cjenik M'!$D$103</f>
        <v>0</v>
      </c>
      <c r="O941" s="60">
        <f>M941*N941</f>
        <v>0</v>
      </c>
    </row>
    <row r="942" spans="1:15" ht="25.15" customHeight="1" thickBot="1">
      <c r="A942" s="16"/>
      <c r="B942" s="838">
        <f>'Cjenik M'!$B$74</f>
        <v>0</v>
      </c>
      <c r="C942" s="838"/>
      <c r="D942" s="44">
        <f>'Cjenik M'!$C$74</f>
        <v>0</v>
      </c>
      <c r="E942" s="45">
        <v>2.1578E-2</v>
      </c>
      <c r="F942" s="238">
        <f>'Cjenik M'!$D$74</f>
        <v>0</v>
      </c>
      <c r="G942" s="46">
        <f>E942*F942</f>
        <v>0</v>
      </c>
      <c r="I942" s="66"/>
      <c r="J942" s="859">
        <f>'Cjenik M'!$B$74</f>
        <v>0</v>
      </c>
      <c r="K942" s="859"/>
      <c r="L942" s="57">
        <f>'Cjenik M'!$C$74</f>
        <v>0</v>
      </c>
      <c r="M942" s="58">
        <v>2.1578E-2</v>
      </c>
      <c r="N942" s="263">
        <f>'Cjenik M'!$D$74</f>
        <v>0</v>
      </c>
      <c r="O942" s="60">
        <f>M942*N942</f>
        <v>0</v>
      </c>
    </row>
    <row r="943" spans="1:15" ht="25.15" customHeight="1" thickTop="1" thickBot="1">
      <c r="E943" s="868" t="str">
        <f>'Obrazac kalkulacije'!$E$18</f>
        <v>Ukupno (kn):</v>
      </c>
      <c r="F943" s="868"/>
      <c r="G943" s="71">
        <f>ROUND(SUM(G932+G934+G939),2)</f>
        <v>0.57999999999999996</v>
      </c>
      <c r="H943" s="269" t="e">
        <f>SUMIF(#REF!,$B928,#REF!)</f>
        <v>#REF!</v>
      </c>
      <c r="J943" s="47"/>
      <c r="K943" s="24"/>
      <c r="L943" s="25"/>
      <c r="M943" s="850" t="str">
        <f>'Obrazac kalkulacije'!$E$18</f>
        <v>Ukupno (kn):</v>
      </c>
      <c r="N943" s="850"/>
      <c r="O943" s="26">
        <f>ROUND(SUM(O932+O934+O939),2)</f>
        <v>0.36</v>
      </c>
    </row>
    <row r="944" spans="1:15" ht="25.15" customHeight="1" thickTop="1" thickBot="1">
      <c r="E944" s="27" t="str">
        <f>'Obrazac kalkulacije'!$E$19</f>
        <v>PDV:</v>
      </c>
      <c r="F944" s="259">
        <f>'Obrazac kalkulacije'!$F$19</f>
        <v>0.25</v>
      </c>
      <c r="G944" s="29">
        <f>G943*F944</f>
        <v>0.14499999999999999</v>
      </c>
      <c r="H944" s="270" t="e">
        <f>H943-G943</f>
        <v>#REF!</v>
      </c>
      <c r="M944" s="27" t="str">
        <f>'Obrazac kalkulacije'!$E$19</f>
        <v>PDV:</v>
      </c>
      <c r="N944" s="259">
        <f>'Obrazac kalkulacije'!$F$19</f>
        <v>0.25</v>
      </c>
      <c r="O944" s="29">
        <f>O943*N944</f>
        <v>0.09</v>
      </c>
    </row>
    <row r="945" spans="1:15" ht="25.15" customHeight="1" thickTop="1" thickBot="1">
      <c r="E945" s="840" t="str">
        <f>'Obrazac kalkulacije'!$E$20</f>
        <v>Sveukupno (kn):</v>
      </c>
      <c r="F945" s="840"/>
      <c r="G945" s="29">
        <f>ROUND(SUM(G943:G944),2)</f>
        <v>0.73</v>
      </c>
      <c r="H945" s="271" t="e">
        <f>G935+H944</f>
        <v>#REF!</v>
      </c>
      <c r="M945" s="840" t="str">
        <f>'Obrazac kalkulacije'!$E$20</f>
        <v>Sveukupno (kn):</v>
      </c>
      <c r="N945" s="840"/>
      <c r="O945" s="29">
        <f>ROUND(SUM(O943:O944),2)</f>
        <v>0.45</v>
      </c>
    </row>
    <row r="946" spans="1:15" ht="15" customHeight="1" thickTop="1"/>
    <row r="947" spans="1:15" ht="15" customHeight="1"/>
    <row r="948" spans="1:15" ht="15" customHeight="1"/>
    <row r="949" spans="1:15" ht="15" customHeight="1">
      <c r="C949" s="3" t="str">
        <f>'Obrazac kalkulacije'!$C$24</f>
        <v>IZVODITELJ:</v>
      </c>
      <c r="F949" s="841" t="str">
        <f>'Obrazac kalkulacije'!$F$24</f>
        <v>NARUČITELJ:</v>
      </c>
      <c r="G949" s="841"/>
      <c r="K949" s="3" t="str">
        <f>'Obrazac kalkulacije'!$C$24</f>
        <v>IZVODITELJ:</v>
      </c>
      <c r="N949" s="841" t="str">
        <f>'Obrazac kalkulacije'!$F$24</f>
        <v>NARUČITELJ:</v>
      </c>
      <c r="O949" s="841"/>
    </row>
    <row r="950" spans="1:15" ht="25.15" customHeight="1">
      <c r="C950" s="3" t="str">
        <f>'Obrazac kalkulacije'!$C$25</f>
        <v>__________________</v>
      </c>
      <c r="F950" s="841" t="str">
        <f>'Obrazac kalkulacije'!$F$25</f>
        <v>___________________</v>
      </c>
      <c r="G950" s="841"/>
      <c r="K950" s="3" t="str">
        <f>'Obrazac kalkulacije'!$C$25</f>
        <v>__________________</v>
      </c>
      <c r="N950" s="841" t="str">
        <f>'Obrazac kalkulacije'!$F$25</f>
        <v>___________________</v>
      </c>
      <c r="O950" s="841"/>
    </row>
    <row r="951" spans="1:15" ht="15" customHeight="1">
      <c r="F951" s="841"/>
      <c r="G951" s="841"/>
      <c r="N951" s="841"/>
      <c r="O951" s="841"/>
    </row>
    <row r="952" spans="1:15" ht="15" customHeight="1"/>
    <row r="953" spans="1:15" ht="15" customHeight="1">
      <c r="A953" s="144"/>
      <c r="B953" s="145" t="s">
        <v>39</v>
      </c>
      <c r="C953" s="836" t="s">
        <v>360</v>
      </c>
      <c r="D953" s="836"/>
      <c r="E953" s="836"/>
      <c r="F953" s="836"/>
      <c r="G953" s="836"/>
      <c r="I953" s="144"/>
      <c r="J953" s="145" t="s">
        <v>39</v>
      </c>
      <c r="K953" s="836" t="s">
        <v>360</v>
      </c>
      <c r="L953" s="836"/>
      <c r="M953" s="836"/>
      <c r="N953" s="836"/>
      <c r="O953" s="836"/>
    </row>
    <row r="954" spans="1:15" ht="15" customHeight="1">
      <c r="A954" s="38"/>
      <c r="B954" s="39" t="s">
        <v>46</v>
      </c>
      <c r="C954" s="860" t="s">
        <v>470</v>
      </c>
      <c r="D954" s="860"/>
      <c r="E954" s="860"/>
      <c r="F954" s="860"/>
      <c r="G954" s="860"/>
      <c r="I954" s="38"/>
      <c r="J954" s="39" t="s">
        <v>46</v>
      </c>
      <c r="K954" s="860" t="s">
        <v>470</v>
      </c>
      <c r="L954" s="860"/>
      <c r="M954" s="860"/>
      <c r="N954" s="860"/>
      <c r="O954" s="860"/>
    </row>
    <row r="955" spans="1:15" ht="15" customHeight="1">
      <c r="A955" s="48"/>
      <c r="B955" s="49" t="s">
        <v>47</v>
      </c>
      <c r="C955" s="883" t="s">
        <v>471</v>
      </c>
      <c r="D955" s="883"/>
      <c r="E955" s="883"/>
      <c r="F955" s="883"/>
      <c r="G955" s="883"/>
      <c r="I955" s="48"/>
      <c r="J955" s="49" t="s">
        <v>47</v>
      </c>
      <c r="K955" s="883" t="s">
        <v>471</v>
      </c>
      <c r="L955" s="883"/>
      <c r="M955" s="883"/>
      <c r="N955" s="883"/>
      <c r="O955" s="883"/>
    </row>
    <row r="956" spans="1:15" ht="15" customHeight="1">
      <c r="A956" s="95"/>
      <c r="B956" s="96" t="s">
        <v>472</v>
      </c>
      <c r="C956" s="882" t="s">
        <v>473</v>
      </c>
      <c r="D956" s="882"/>
      <c r="E956" s="882"/>
      <c r="F956" s="882"/>
      <c r="G956" s="882"/>
      <c r="I956" s="95"/>
      <c r="J956" s="96" t="s">
        <v>472</v>
      </c>
      <c r="K956" s="882" t="s">
        <v>473</v>
      </c>
      <c r="L956" s="882"/>
      <c r="M956" s="882"/>
      <c r="N956" s="882"/>
      <c r="O956" s="882"/>
    </row>
    <row r="957" spans="1:15" ht="150" customHeight="1">
      <c r="A957" s="40"/>
      <c r="B957" s="556" t="s">
        <v>481</v>
      </c>
      <c r="C957" s="852" t="s">
        <v>487</v>
      </c>
      <c r="D957" s="852"/>
      <c r="E957" s="852"/>
      <c r="F957" s="852"/>
      <c r="G957" s="852"/>
      <c r="I957" s="40"/>
      <c r="J957" s="41" t="s">
        <v>488</v>
      </c>
      <c r="K957" s="869" t="s">
        <v>487</v>
      </c>
      <c r="L957" s="869"/>
      <c r="M957" s="869"/>
      <c r="N957" s="869"/>
      <c r="O957" s="869"/>
    </row>
    <row r="958" spans="1:15" ht="15" customHeight="1" thickBot="1"/>
    <row r="959" spans="1:15" ht="30" customHeight="1" thickTop="1" thickBot="1">
      <c r="A959" s="10"/>
      <c r="B959" s="835" t="str">
        <f>'Obrazac kalkulacije'!$B$6:$C$6</f>
        <v>Opis</v>
      </c>
      <c r="C959" s="835"/>
      <c r="D959" s="10" t="str">
        <f>'Obrazac kalkulacije'!$D$6</f>
        <v>Jed.
mjere</v>
      </c>
      <c r="E959" s="10" t="str">
        <f>'Obrazac kalkulacije'!$E$6</f>
        <v>Normativ</v>
      </c>
      <c r="F959" s="10" t="str">
        <f>'Obrazac kalkulacije'!$F$6</f>
        <v>Jed.
cijena</v>
      </c>
      <c r="G959" s="10" t="str">
        <f>'Obrazac kalkulacije'!$G$6</f>
        <v>Iznos</v>
      </c>
      <c r="H959" s="622">
        <v>13000</v>
      </c>
      <c r="I959" s="10"/>
      <c r="J959" s="835" t="e">
        <f>'Obrazac kalkulacije'!$B$6:$C$6</f>
        <v>#VALUE!</v>
      </c>
      <c r="K959" s="835"/>
      <c r="L959" s="10" t="str">
        <f>'Obrazac kalkulacije'!$D$6</f>
        <v>Jed.
mjere</v>
      </c>
      <c r="M959" s="10" t="str">
        <f>'Obrazac kalkulacije'!$E$6</f>
        <v>Normativ</v>
      </c>
      <c r="N959" s="10" t="str">
        <f>'Obrazac kalkulacije'!$F$6</f>
        <v>Jed.
cijena</v>
      </c>
      <c r="O959" s="10" t="str">
        <f>'Obrazac kalkulacije'!$G$6</f>
        <v>Iznos</v>
      </c>
    </row>
    <row r="960" spans="1:15" ht="4.5" customHeight="1" thickTop="1">
      <c r="B960" s="42"/>
      <c r="C960" s="1"/>
      <c r="D960" s="11"/>
      <c r="E960" s="13"/>
      <c r="F960" s="258"/>
      <c r="G960" s="15"/>
      <c r="H960" s="3"/>
      <c r="J960" s="42"/>
      <c r="K960" s="1"/>
      <c r="L960" s="11"/>
      <c r="M960" s="13"/>
      <c r="N960" s="258"/>
      <c r="O960" s="15"/>
    </row>
    <row r="961" spans="1:15" ht="25.15" customHeight="1">
      <c r="A961" s="16"/>
      <c r="B961" s="837" t="str">
        <f>'Obrazac kalkulacije'!$B$8</f>
        <v>Radna snaga:</v>
      </c>
      <c r="C961" s="837"/>
      <c r="D961" s="16"/>
      <c r="E961" s="16"/>
      <c r="F961" s="44"/>
      <c r="G961" s="18">
        <f>SUM(G962:G962)</f>
        <v>0.25853538461538461</v>
      </c>
      <c r="H961" s="3"/>
      <c r="I961" s="16"/>
      <c r="J961" s="837" t="str">
        <f>'Obrazac kalkulacije'!$B$8</f>
        <v>Radna snaga:</v>
      </c>
      <c r="K961" s="837"/>
      <c r="L961" s="16"/>
      <c r="M961" s="16"/>
      <c r="N961" s="44"/>
      <c r="O961" s="18">
        <f>SUM(O962:O962)</f>
        <v>0.14000499</v>
      </c>
    </row>
    <row r="962" spans="1:15" ht="25.15" customHeight="1">
      <c r="A962" s="32"/>
      <c r="B962" s="854" t="s">
        <v>57</v>
      </c>
      <c r="C962" s="854"/>
      <c r="D962" s="637" t="s">
        <v>51</v>
      </c>
      <c r="E962" s="104">
        <f>H962/H959</f>
        <v>2.4615384615384616E-3</v>
      </c>
      <c r="F962" s="238">
        <f>SUMIF('Cjenik RS'!$C$11:$C$26,$B962,'Cjenik RS'!$D$11:$D$90)</f>
        <v>105.03</v>
      </c>
      <c r="G962" s="46">
        <f>+F962*E962</f>
        <v>0.25853538461538461</v>
      </c>
      <c r="H962" s="560">
        <v>32</v>
      </c>
      <c r="I962" s="32"/>
      <c r="J962" s="854" t="s">
        <v>57</v>
      </c>
      <c r="K962" s="854"/>
      <c r="L962" s="33" t="s">
        <v>51</v>
      </c>
      <c r="M962" s="34">
        <v>1.333E-3</v>
      </c>
      <c r="N962" s="44">
        <f>SUMIF('Cjenik RS'!$C$11:$C$26,J962,'Cjenik RS'!$D$11:$D$90)</f>
        <v>105.03</v>
      </c>
      <c r="O962" s="35">
        <f>+N962*M962</f>
        <v>0.14000499</v>
      </c>
    </row>
    <row r="963" spans="1:15" ht="25.15" customHeight="1">
      <c r="A963" s="16"/>
      <c r="B963" s="837" t="str">
        <f>'Obrazac kalkulacije'!$B$11</f>
        <v>Vozila, strojevi i oprema:</v>
      </c>
      <c r="C963" s="837"/>
      <c r="D963" s="16"/>
      <c r="E963" s="16"/>
      <c r="F963" s="238">
        <f>'Obrazac kalkulacije'!$F$11</f>
        <v>0</v>
      </c>
      <c r="G963" s="18">
        <f>SUM(G964:G969)</f>
        <v>0.37775461538461541</v>
      </c>
      <c r="I963" s="16"/>
      <c r="J963" s="837" t="str">
        <f>'Obrazac kalkulacije'!$B$11</f>
        <v>Vozila, strojevi i oprema:</v>
      </c>
      <c r="K963" s="837"/>
      <c r="L963" s="16"/>
      <c r="M963" s="16"/>
      <c r="N963" s="238">
        <f>'Obrazac kalkulacije'!$F$11</f>
        <v>0</v>
      </c>
      <c r="O963" s="18">
        <f>SUM(O964:O969)</f>
        <v>0.31328793000000005</v>
      </c>
    </row>
    <row r="964" spans="1:15" ht="25.15" customHeight="1">
      <c r="A964" s="16"/>
      <c r="B964" s="838" t="s">
        <v>477</v>
      </c>
      <c r="C964" s="838"/>
      <c r="D964" s="44" t="s">
        <v>51</v>
      </c>
      <c r="E964" s="104">
        <f>H964/H959</f>
        <v>3.8461538461538462E-4</v>
      </c>
      <c r="F964" s="238">
        <f>SUMIF('Cjenik VSO'!$B$9:$B$85,$B964,'Cjenik VSO'!$C$9:$C$85)</f>
        <v>290.85000000000002</v>
      </c>
      <c r="G964" s="46">
        <f t="shared" ref="G964:G969" si="0">E964*F964</f>
        <v>0.11186538461538463</v>
      </c>
      <c r="H964" s="560">
        <v>5</v>
      </c>
      <c r="I964" s="51"/>
      <c r="J964" s="863" t="s">
        <v>477</v>
      </c>
      <c r="K964" s="863"/>
      <c r="L964" s="52" t="s">
        <v>51</v>
      </c>
      <c r="M964" s="53">
        <v>4.44E-4</v>
      </c>
      <c r="N964" s="260">
        <f>SUMIF('Cjenik VSO'!$B$9:$B$85,$B964,'Cjenik VSO'!$C$9:$C$85)</f>
        <v>290.85000000000002</v>
      </c>
      <c r="O964" s="55">
        <f t="shared" ref="O964:O969" si="1">M964*N964</f>
        <v>0.12913740000000001</v>
      </c>
    </row>
    <row r="965" spans="1:15" ht="25.15" customHeight="1">
      <c r="A965" s="16"/>
      <c r="B965" s="838" t="s">
        <v>183</v>
      </c>
      <c r="C965" s="838"/>
      <c r="D965" s="44" t="s">
        <v>51</v>
      </c>
      <c r="E965" s="104">
        <f>H965/H959</f>
        <v>1.9230769230769231E-4</v>
      </c>
      <c r="F965" s="238">
        <f>SUMIF('Cjenik VSO'!$B$9:$B$85,$B965,'Cjenik VSO'!$C$9:$C$85)</f>
        <v>32.9</v>
      </c>
      <c r="G965" s="46">
        <f t="shared" si="0"/>
        <v>6.3269230769230763E-3</v>
      </c>
      <c r="H965" s="560">
        <v>2.5</v>
      </c>
      <c r="I965" s="56"/>
      <c r="J965" s="834" t="s">
        <v>183</v>
      </c>
      <c r="K965" s="834"/>
      <c r="L965" s="57" t="s">
        <v>51</v>
      </c>
      <c r="M965" s="58">
        <v>7.4999999999999993E-5</v>
      </c>
      <c r="N965" s="263">
        <f>SUMIF('Cjenik VSO'!$B$9:$B$85,$B965,'Cjenik VSO'!$C$9:$C$85)</f>
        <v>32.9</v>
      </c>
      <c r="O965" s="60">
        <f t="shared" si="1"/>
        <v>2.4674999999999996E-3</v>
      </c>
    </row>
    <row r="966" spans="1:15" ht="25.15" customHeight="1">
      <c r="A966" s="16"/>
      <c r="B966" s="838" t="s">
        <v>69</v>
      </c>
      <c r="C966" s="838"/>
      <c r="D966" s="44" t="s">
        <v>51</v>
      </c>
      <c r="E966" s="104">
        <f>H966/H959</f>
        <v>6.1538461538461541E-4</v>
      </c>
      <c r="F966" s="238">
        <f>SUMIF('Cjenik VSO'!$B$9:$B$85,$B966,'Cjenik VSO'!$C$9:$C$85)</f>
        <v>179.6</v>
      </c>
      <c r="G966" s="46">
        <f t="shared" si="0"/>
        <v>0.11052307692307692</v>
      </c>
      <c r="H966" s="560">
        <v>8</v>
      </c>
      <c r="I966" s="56"/>
      <c r="J966" s="834" t="s">
        <v>69</v>
      </c>
      <c r="K966" s="834"/>
      <c r="L966" s="57" t="s">
        <v>51</v>
      </c>
      <c r="M966" s="58">
        <v>5.1900000000000004E-4</v>
      </c>
      <c r="N966" s="263">
        <f>SUMIF('Cjenik VSO'!$B$9:$B$85,$B966,'Cjenik VSO'!$C$9:$C$85)</f>
        <v>179.6</v>
      </c>
      <c r="O966" s="60">
        <f t="shared" si="1"/>
        <v>9.3212400000000001E-2</v>
      </c>
    </row>
    <row r="967" spans="1:15" ht="25.15" customHeight="1">
      <c r="A967" s="16"/>
      <c r="B967" s="838" t="s">
        <v>478</v>
      </c>
      <c r="C967" s="838"/>
      <c r="D967" s="44" t="s">
        <v>51</v>
      </c>
      <c r="E967" s="104">
        <f>H967/H959</f>
        <v>2.3076923076923076E-4</v>
      </c>
      <c r="F967" s="238">
        <f>SUMIF('Cjenik VSO'!$B$9:$B$85,$B967,'Cjenik VSO'!$C$9:$C$85)</f>
        <v>123.97</v>
      </c>
      <c r="G967" s="46">
        <f t="shared" si="0"/>
        <v>2.8608461538461537E-2</v>
      </c>
      <c r="H967" s="560">
        <v>3</v>
      </c>
      <c r="I967" s="51"/>
      <c r="J967" s="863"/>
      <c r="K967" s="863"/>
      <c r="L967" s="52"/>
      <c r="M967" s="53"/>
      <c r="N967" s="260"/>
      <c r="O967" s="55">
        <f t="shared" si="1"/>
        <v>0</v>
      </c>
    </row>
    <row r="968" spans="1:15" ht="25.15" customHeight="1">
      <c r="A968" s="16"/>
      <c r="B968" s="838" t="s">
        <v>60</v>
      </c>
      <c r="C968" s="838"/>
      <c r="D968" s="44" t="s">
        <v>51</v>
      </c>
      <c r="E968" s="104">
        <f>H968/H959</f>
        <v>3.076923076923077E-4</v>
      </c>
      <c r="F968" s="238">
        <f>SUMIF('Cjenik VSO'!$B$9:$B$85,$B968,'Cjenik VSO'!$C$9:$C$85)</f>
        <v>328.73</v>
      </c>
      <c r="G968" s="46">
        <f t="shared" si="0"/>
        <v>0.10114769230769231</v>
      </c>
      <c r="H968" s="560">
        <v>4</v>
      </c>
      <c r="I968" s="56"/>
      <c r="J968" s="834" t="s">
        <v>60</v>
      </c>
      <c r="K968" s="834"/>
      <c r="L968" s="57" t="s">
        <v>51</v>
      </c>
      <c r="M968" s="58">
        <v>2.31E-4</v>
      </c>
      <c r="N968" s="263">
        <f>SUMIF('Cjenik VSO'!$B$9:$B$85,$B968,'Cjenik VSO'!$C$9:$C$85)</f>
        <v>328.73</v>
      </c>
      <c r="O968" s="60">
        <f t="shared" si="1"/>
        <v>7.5936630000000005E-2</v>
      </c>
    </row>
    <row r="969" spans="1:15" ht="25.15" customHeight="1">
      <c r="A969" s="16"/>
      <c r="B969" s="838" t="s">
        <v>61</v>
      </c>
      <c r="C969" s="838"/>
      <c r="D969" s="44" t="s">
        <v>51</v>
      </c>
      <c r="E969" s="104">
        <f>H969/H959</f>
        <v>3.076923076923077E-4</v>
      </c>
      <c r="F969" s="238">
        <f>SUMIF('Cjenik VSO'!$B$9:$B$85,$B969,'Cjenik VSO'!$C$9:$C$85)</f>
        <v>62.67</v>
      </c>
      <c r="G969" s="46">
        <f t="shared" si="0"/>
        <v>1.9283076923076924E-2</v>
      </c>
      <c r="H969" s="560">
        <v>4</v>
      </c>
      <c r="I969" s="61"/>
      <c r="J969" s="864" t="s">
        <v>61</v>
      </c>
      <c r="K969" s="864"/>
      <c r="L969" s="62" t="s">
        <v>51</v>
      </c>
      <c r="M969" s="63">
        <v>2.0000000000000001E-4</v>
      </c>
      <c r="N969" s="261">
        <f>SUMIF('Cjenik VSO'!$B$9:$B$85,$B969,'Cjenik VSO'!$C$9:$C$85)</f>
        <v>62.67</v>
      </c>
      <c r="O969" s="65">
        <f t="shared" si="1"/>
        <v>1.2534000000000002E-2</v>
      </c>
    </row>
    <row r="970" spans="1:15" ht="25.15" customHeight="1">
      <c r="A970" s="16"/>
      <c r="B970" s="837" t="str">
        <f>'Obrazac kalkulacije'!$B$15</f>
        <v>Materijali:</v>
      </c>
      <c r="C970" s="837"/>
      <c r="D970" s="16"/>
      <c r="E970" s="16"/>
      <c r="F970" s="238"/>
      <c r="G970" s="18">
        <f>SUM(G971:G973)</f>
        <v>0</v>
      </c>
      <c r="I970" s="16"/>
      <c r="J970" s="837" t="str">
        <f>'Obrazac kalkulacije'!$B$15</f>
        <v>Materijali:</v>
      </c>
      <c r="K970" s="837"/>
      <c r="L970" s="16"/>
      <c r="M970" s="16"/>
      <c r="N970" s="238"/>
      <c r="O970" s="18">
        <f>SUM(O971:O973)</f>
        <v>0</v>
      </c>
    </row>
    <row r="971" spans="1:15" ht="25.15" customHeight="1">
      <c r="A971" s="16"/>
      <c r="B971" s="838">
        <f>'Cjenik M'!$B$72</f>
        <v>0</v>
      </c>
      <c r="C971" s="838"/>
      <c r="D971" s="44">
        <f>'Cjenik M'!$C$72</f>
        <v>0</v>
      </c>
      <c r="E971" s="45">
        <v>9.2999999999999999E-2</v>
      </c>
      <c r="F971" s="238">
        <f>'Cjenik M'!$D$72</f>
        <v>0</v>
      </c>
      <c r="G971" s="46">
        <f>E971*F971</f>
        <v>0</v>
      </c>
      <c r="I971" s="51"/>
      <c r="J971" s="863">
        <f>'Cjenik M'!$B$72</f>
        <v>0</v>
      </c>
      <c r="K971" s="863"/>
      <c r="L971" s="52">
        <f>'Cjenik M'!$C$72</f>
        <v>0</v>
      </c>
      <c r="M971" s="53">
        <v>9.2999999999999999E-2</v>
      </c>
      <c r="N971" s="260">
        <f>'Cjenik M'!$D$72</f>
        <v>0</v>
      </c>
      <c r="O971" s="55">
        <f>M971*N971</f>
        <v>0</v>
      </c>
    </row>
    <row r="972" spans="1:15" ht="25.15" customHeight="1">
      <c r="A972" s="16"/>
      <c r="B972" s="838">
        <f>'Cjenik M'!$B$102</f>
        <v>0</v>
      </c>
      <c r="C972" s="838"/>
      <c r="D972" s="44">
        <f>'Cjenik M'!$C$102</f>
        <v>0</v>
      </c>
      <c r="E972" s="45">
        <v>4.8750000000000002E-2</v>
      </c>
      <c r="F972" s="238">
        <f>'Cjenik M'!$D$102</f>
        <v>0</v>
      </c>
      <c r="G972" s="46">
        <f>E972*F972</f>
        <v>0</v>
      </c>
      <c r="I972" s="56"/>
      <c r="J972" s="834">
        <f>'Cjenik M'!$B$102</f>
        <v>0</v>
      </c>
      <c r="K972" s="834"/>
      <c r="L972" s="57">
        <f>'Cjenik M'!$C$102</f>
        <v>0</v>
      </c>
      <c r="M972" s="58">
        <v>4.8750000000000002E-2</v>
      </c>
      <c r="N972" s="263">
        <f>'Cjenik M'!$D$102</f>
        <v>0</v>
      </c>
      <c r="O972" s="60">
        <f>M972*N972</f>
        <v>0</v>
      </c>
    </row>
    <row r="973" spans="1:15" ht="25.15" customHeight="1" thickBot="1">
      <c r="A973" s="16"/>
      <c r="B973" s="838">
        <f>'Cjenik M'!$B$74</f>
        <v>0</v>
      </c>
      <c r="C973" s="838"/>
      <c r="D973" s="44">
        <f>'Cjenik M'!$C$74</f>
        <v>0</v>
      </c>
      <c r="E973" s="45">
        <v>1.0789E-2</v>
      </c>
      <c r="F973" s="238">
        <f>'Cjenik M'!$D$74</f>
        <v>0</v>
      </c>
      <c r="G973" s="46">
        <f>E973*F973</f>
        <v>0</v>
      </c>
      <c r="I973" s="66"/>
      <c r="J973" s="834">
        <f>'Cjenik M'!$B$74</f>
        <v>0</v>
      </c>
      <c r="K973" s="834"/>
      <c r="L973" s="57">
        <f>'Cjenik M'!$C$74</f>
        <v>0</v>
      </c>
      <c r="M973" s="58">
        <v>1.0789E-2</v>
      </c>
      <c r="N973" s="263">
        <f>'Cjenik M'!$D$74</f>
        <v>0</v>
      </c>
      <c r="O973" s="60">
        <f>M973*N973</f>
        <v>0</v>
      </c>
    </row>
    <row r="974" spans="1:15" ht="25.15" customHeight="1" thickTop="1" thickBot="1">
      <c r="E974" s="868" t="str">
        <f>'Obrazac kalkulacije'!$E$18</f>
        <v>Ukupno (kn):</v>
      </c>
      <c r="F974" s="868"/>
      <c r="G974" s="71">
        <f>ROUND(SUM(G961+G963+G970),2)</f>
        <v>0.64</v>
      </c>
      <c r="H974" s="269" t="e">
        <f>SUMIF(#REF!,$B957,#REF!)</f>
        <v>#REF!</v>
      </c>
      <c r="J974" s="47"/>
      <c r="K974" s="24"/>
      <c r="L974" s="25"/>
      <c r="M974" s="850" t="str">
        <f>'Obrazac kalkulacije'!$E$18</f>
        <v>Ukupno (kn):</v>
      </c>
      <c r="N974" s="850"/>
      <c r="O974" s="26">
        <f>ROUND(SUM(O961+O963+O970),2)</f>
        <v>0.45</v>
      </c>
    </row>
    <row r="975" spans="1:15" ht="25.15" customHeight="1" thickTop="1" thickBot="1">
      <c r="E975" s="27" t="str">
        <f>'Obrazac kalkulacije'!$E$19</f>
        <v>PDV:</v>
      </c>
      <c r="F975" s="259">
        <f>'Obrazac kalkulacije'!$F$19</f>
        <v>0.25</v>
      </c>
      <c r="G975" s="29">
        <f>G974*F975</f>
        <v>0.16</v>
      </c>
      <c r="H975" s="270" t="e">
        <f>H974-G974</f>
        <v>#REF!</v>
      </c>
      <c r="M975" s="27" t="str">
        <f>'Obrazac kalkulacije'!$E$19</f>
        <v>PDV:</v>
      </c>
      <c r="N975" s="259">
        <f>'Obrazac kalkulacije'!$F$19</f>
        <v>0.25</v>
      </c>
      <c r="O975" s="29">
        <f>O974*N975</f>
        <v>0.1125</v>
      </c>
    </row>
    <row r="976" spans="1:15" ht="25.15" customHeight="1" thickTop="1" thickBot="1">
      <c r="E976" s="840" t="str">
        <f>'Obrazac kalkulacije'!$E$20</f>
        <v>Sveukupno (kn):</v>
      </c>
      <c r="F976" s="840"/>
      <c r="G976" s="29">
        <f>ROUND(SUM(G974:G975),2)</f>
        <v>0.8</v>
      </c>
      <c r="H976" s="271" t="e">
        <f>G964+H975</f>
        <v>#REF!</v>
      </c>
      <c r="M976" s="840" t="str">
        <f>'Obrazac kalkulacije'!$E$20</f>
        <v>Sveukupno (kn):</v>
      </c>
      <c r="N976" s="840"/>
      <c r="O976" s="29">
        <f>ROUND(SUM(O974:O975),2)</f>
        <v>0.56000000000000005</v>
      </c>
    </row>
    <row r="977" spans="1:15" ht="15" customHeight="1" thickTop="1"/>
    <row r="978" spans="1:15" ht="15" customHeight="1"/>
    <row r="979" spans="1:15" ht="15" customHeight="1"/>
    <row r="980" spans="1:15" ht="15" customHeight="1">
      <c r="C980" s="3" t="str">
        <f>'Obrazac kalkulacije'!$C$24</f>
        <v>IZVODITELJ:</v>
      </c>
      <c r="F980" s="841" t="str">
        <f>'Obrazac kalkulacije'!$F$24</f>
        <v>NARUČITELJ:</v>
      </c>
      <c r="G980" s="841"/>
      <c r="K980" s="3" t="str">
        <f>'Obrazac kalkulacije'!$C$24</f>
        <v>IZVODITELJ:</v>
      </c>
      <c r="N980" s="841" t="str">
        <f>'Obrazac kalkulacije'!$F$24</f>
        <v>NARUČITELJ:</v>
      </c>
      <c r="O980" s="841"/>
    </row>
    <row r="981" spans="1:15" ht="25.15" customHeight="1">
      <c r="C981" s="3" t="str">
        <f>'Obrazac kalkulacije'!$C$25</f>
        <v>__________________</v>
      </c>
      <c r="F981" s="841" t="str">
        <f>'Obrazac kalkulacije'!$F$25</f>
        <v>___________________</v>
      </c>
      <c r="G981" s="841"/>
      <c r="K981" s="3" t="str">
        <f>'Obrazac kalkulacije'!$C$25</f>
        <v>__________________</v>
      </c>
      <c r="N981" s="841" t="str">
        <f>'Obrazac kalkulacije'!$F$25</f>
        <v>___________________</v>
      </c>
      <c r="O981" s="841"/>
    </row>
    <row r="982" spans="1:15" ht="15" customHeight="1">
      <c r="F982" s="841"/>
      <c r="G982" s="841"/>
      <c r="N982" s="841"/>
      <c r="O982" s="841"/>
    </row>
    <row r="983" spans="1:15" ht="15" customHeight="1"/>
    <row r="984" spans="1:15" ht="15" customHeight="1">
      <c r="A984" s="144"/>
      <c r="B984" s="145" t="s">
        <v>39</v>
      </c>
      <c r="C984" s="836" t="s">
        <v>360</v>
      </c>
      <c r="D984" s="836"/>
      <c r="E984" s="836"/>
      <c r="F984" s="836"/>
      <c r="G984" s="836"/>
      <c r="I984" s="144"/>
      <c r="J984" s="145" t="s">
        <v>39</v>
      </c>
      <c r="K984" s="836" t="s">
        <v>360</v>
      </c>
      <c r="L984" s="836"/>
      <c r="M984" s="836"/>
      <c r="N984" s="836"/>
      <c r="O984" s="836"/>
    </row>
    <row r="985" spans="1:15" ht="15" customHeight="1">
      <c r="A985" s="38"/>
      <c r="B985" s="39" t="s">
        <v>46</v>
      </c>
      <c r="C985" s="860" t="s">
        <v>470</v>
      </c>
      <c r="D985" s="860"/>
      <c r="E985" s="860"/>
      <c r="F985" s="860"/>
      <c r="G985" s="860"/>
      <c r="I985" s="38"/>
      <c r="J985" s="39" t="s">
        <v>46</v>
      </c>
      <c r="K985" s="860" t="s">
        <v>470</v>
      </c>
      <c r="L985" s="860"/>
      <c r="M985" s="860"/>
      <c r="N985" s="860"/>
      <c r="O985" s="860"/>
    </row>
    <row r="986" spans="1:15" ht="15" customHeight="1">
      <c r="A986" s="48"/>
      <c r="B986" s="49" t="s">
        <v>47</v>
      </c>
      <c r="C986" s="883" t="s">
        <v>471</v>
      </c>
      <c r="D986" s="883"/>
      <c r="E986" s="883"/>
      <c r="F986" s="883"/>
      <c r="G986" s="883"/>
      <c r="I986" s="48"/>
      <c r="J986" s="49" t="s">
        <v>47</v>
      </c>
      <c r="K986" s="883" t="s">
        <v>471</v>
      </c>
      <c r="L986" s="883"/>
      <c r="M986" s="883"/>
      <c r="N986" s="883"/>
      <c r="O986" s="883"/>
    </row>
    <row r="987" spans="1:15" ht="15" customHeight="1">
      <c r="A987" s="95"/>
      <c r="B987" s="96" t="s">
        <v>472</v>
      </c>
      <c r="C987" s="882" t="s">
        <v>473</v>
      </c>
      <c r="D987" s="882"/>
      <c r="E987" s="882"/>
      <c r="F987" s="882"/>
      <c r="G987" s="882"/>
      <c r="I987" s="95"/>
      <c r="J987" s="96" t="s">
        <v>472</v>
      </c>
      <c r="K987" s="882" t="s">
        <v>473</v>
      </c>
      <c r="L987" s="882"/>
      <c r="M987" s="882"/>
      <c r="N987" s="882"/>
      <c r="O987" s="882"/>
    </row>
    <row r="988" spans="1:15" ht="150" customHeight="1">
      <c r="A988" s="40"/>
      <c r="B988" s="556" t="s">
        <v>484</v>
      </c>
      <c r="C988" s="852" t="s">
        <v>489</v>
      </c>
      <c r="D988" s="852"/>
      <c r="E988" s="852"/>
      <c r="F988" s="852"/>
      <c r="G988" s="852"/>
      <c r="I988" s="40"/>
      <c r="J988" s="41" t="s">
        <v>490</v>
      </c>
      <c r="K988" s="869" t="s">
        <v>489</v>
      </c>
      <c r="L988" s="869"/>
      <c r="M988" s="869"/>
      <c r="N988" s="869"/>
      <c r="O988" s="869"/>
    </row>
    <row r="989" spans="1:15" ht="15" customHeight="1" thickBot="1"/>
    <row r="990" spans="1:15" ht="30" customHeight="1" thickTop="1" thickBot="1">
      <c r="A990" s="10"/>
      <c r="B990" s="835" t="str">
        <f>'Obrazac kalkulacije'!$B$6:$C$6</f>
        <v>Opis</v>
      </c>
      <c r="C990" s="835"/>
      <c r="D990" s="10" t="str">
        <f>'Obrazac kalkulacije'!$D$6</f>
        <v>Jed.
mjere</v>
      </c>
      <c r="E990" s="10" t="str">
        <f>'Obrazac kalkulacije'!$E$6</f>
        <v>Normativ</v>
      </c>
      <c r="F990" s="10" t="str">
        <f>'Obrazac kalkulacije'!$F$6</f>
        <v>Jed.
cijena</v>
      </c>
      <c r="G990" s="10" t="str">
        <f>'Obrazac kalkulacije'!$G$6</f>
        <v>Iznos</v>
      </c>
      <c r="H990" s="622">
        <v>13000</v>
      </c>
      <c r="I990" s="10"/>
      <c r="J990" s="835" t="e">
        <f>'Obrazac kalkulacije'!$B$6:$C$6</f>
        <v>#VALUE!</v>
      </c>
      <c r="K990" s="835"/>
      <c r="L990" s="10" t="str">
        <f>'Obrazac kalkulacije'!$D$6</f>
        <v>Jed.
mjere</v>
      </c>
      <c r="M990" s="10" t="str">
        <f>'Obrazac kalkulacije'!$E$6</f>
        <v>Normativ</v>
      </c>
      <c r="N990" s="10" t="str">
        <f>'Obrazac kalkulacije'!$F$6</f>
        <v>Jed.
cijena</v>
      </c>
      <c r="O990" s="10" t="str">
        <f>'Obrazac kalkulacije'!$G$6</f>
        <v>Iznos</v>
      </c>
    </row>
    <row r="991" spans="1:15" ht="4.5" customHeight="1" thickTop="1">
      <c r="B991" s="42"/>
      <c r="C991" s="1"/>
      <c r="D991" s="11"/>
      <c r="E991" s="13"/>
      <c r="F991" s="258"/>
      <c r="G991" s="15"/>
      <c r="H991" s="3"/>
      <c r="J991" s="42"/>
      <c r="K991" s="1"/>
      <c r="L991" s="11"/>
      <c r="M991" s="13"/>
      <c r="N991" s="258"/>
      <c r="O991" s="15"/>
    </row>
    <row r="992" spans="1:15" ht="25.15" customHeight="1">
      <c r="A992" s="16"/>
      <c r="B992" s="837" t="str">
        <f>'Obrazac kalkulacije'!$B$8</f>
        <v>Radna snaga:</v>
      </c>
      <c r="C992" s="837"/>
      <c r="D992" s="16"/>
      <c r="E992" s="16"/>
      <c r="F992" s="44"/>
      <c r="G992" s="18">
        <f>SUM(G993:G993)</f>
        <v>0.29085230769230769</v>
      </c>
      <c r="H992" s="3"/>
      <c r="I992" s="16"/>
      <c r="J992" s="837" t="str">
        <f>'Obrazac kalkulacije'!$B$8</f>
        <v>Radna snaga:</v>
      </c>
      <c r="K992" s="837"/>
      <c r="L992" s="16"/>
      <c r="M992" s="16"/>
      <c r="N992" s="44"/>
      <c r="O992" s="18">
        <f>SUM(O993:O993)</f>
        <v>0.14000499</v>
      </c>
    </row>
    <row r="993" spans="1:15" ht="25.15" customHeight="1">
      <c r="A993" s="32"/>
      <c r="B993" s="854" t="s">
        <v>57</v>
      </c>
      <c r="C993" s="854"/>
      <c r="D993" s="637" t="s">
        <v>51</v>
      </c>
      <c r="E993" s="104">
        <f>H993/H990</f>
        <v>2.7692307692307691E-3</v>
      </c>
      <c r="F993" s="238">
        <f>SUMIF('Cjenik RS'!$C$11:$C$26,$B993,'Cjenik RS'!$D$11:$D$90)</f>
        <v>105.03</v>
      </c>
      <c r="G993" s="46">
        <f>+F993*E993</f>
        <v>0.29085230769230769</v>
      </c>
      <c r="H993" s="560">
        <v>36</v>
      </c>
      <c r="I993" s="32"/>
      <c r="J993" s="854" t="s">
        <v>57</v>
      </c>
      <c r="K993" s="854"/>
      <c r="L993" s="33" t="s">
        <v>51</v>
      </c>
      <c r="M993" s="34">
        <v>1.333E-3</v>
      </c>
      <c r="N993" s="44">
        <f>SUMIF('Cjenik RS'!$C$11:$C$26,J993,'Cjenik RS'!$D$11:$D$90)</f>
        <v>105.03</v>
      </c>
      <c r="O993" s="35">
        <f>+N993*M993</f>
        <v>0.14000499</v>
      </c>
    </row>
    <row r="994" spans="1:15" ht="25.15" customHeight="1">
      <c r="A994" s="16"/>
      <c r="B994" s="837" t="str">
        <f>'Obrazac kalkulacije'!$B$11</f>
        <v>Vozila, strojevi i oprema:</v>
      </c>
      <c r="C994" s="837"/>
      <c r="D994" s="16"/>
      <c r="E994" s="16"/>
      <c r="F994" s="238">
        <f>'Obrazac kalkulacije'!$F$11</f>
        <v>0</v>
      </c>
      <c r="G994" s="18">
        <f>SUM(G995:G1000)</f>
        <v>0.37775461538461541</v>
      </c>
      <c r="I994" s="16"/>
      <c r="J994" s="837" t="str">
        <f>'Obrazac kalkulacije'!$B$11</f>
        <v>Vozila, strojevi i oprema:</v>
      </c>
      <c r="K994" s="837"/>
      <c r="L994" s="16"/>
      <c r="M994" s="16"/>
      <c r="N994" s="238">
        <f>'Obrazac kalkulacije'!$F$11</f>
        <v>0</v>
      </c>
      <c r="O994" s="18">
        <f>SUM(O995:O1000)</f>
        <v>0.31328793000000005</v>
      </c>
    </row>
    <row r="995" spans="1:15" ht="25.15" customHeight="1">
      <c r="A995" s="16"/>
      <c r="B995" s="838" t="s">
        <v>477</v>
      </c>
      <c r="C995" s="838"/>
      <c r="D995" s="44" t="s">
        <v>51</v>
      </c>
      <c r="E995" s="104">
        <f>H995/H990</f>
        <v>3.8461538461538462E-4</v>
      </c>
      <c r="F995" s="238">
        <f>SUMIF('Cjenik VSO'!$B$9:$B$85,$B995,'Cjenik VSO'!$C$9:$C$85)</f>
        <v>290.85000000000002</v>
      </c>
      <c r="G995" s="46">
        <f t="shared" ref="G995:G1000" si="2">E995*F995</f>
        <v>0.11186538461538463</v>
      </c>
      <c r="H995" s="560">
        <v>5</v>
      </c>
      <c r="I995" s="51"/>
      <c r="J995" s="863" t="s">
        <v>477</v>
      </c>
      <c r="K995" s="863"/>
      <c r="L995" s="52" t="s">
        <v>51</v>
      </c>
      <c r="M995" s="53">
        <v>4.44E-4</v>
      </c>
      <c r="N995" s="260">
        <f>SUMIF('Cjenik VSO'!$B$9:$B$85,$B995,'Cjenik VSO'!$C$9:$C$85)</f>
        <v>290.85000000000002</v>
      </c>
      <c r="O995" s="55">
        <f t="shared" ref="O995:O1000" si="3">M995*N995</f>
        <v>0.12913740000000001</v>
      </c>
    </row>
    <row r="996" spans="1:15" ht="25.15" customHeight="1">
      <c r="A996" s="16"/>
      <c r="B996" s="838" t="s">
        <v>183</v>
      </c>
      <c r="C996" s="838"/>
      <c r="D996" s="44" t="s">
        <v>51</v>
      </c>
      <c r="E996" s="104">
        <f>H996/H990</f>
        <v>1.9230769230769231E-4</v>
      </c>
      <c r="F996" s="238">
        <f>SUMIF('Cjenik VSO'!$B$9:$B$85,$B996,'Cjenik VSO'!$C$9:$C$85)</f>
        <v>32.9</v>
      </c>
      <c r="G996" s="46">
        <f t="shared" si="2"/>
        <v>6.3269230769230763E-3</v>
      </c>
      <c r="H996" s="560">
        <v>2.5</v>
      </c>
      <c r="I996" s="56"/>
      <c r="J996" s="834" t="s">
        <v>183</v>
      </c>
      <c r="K996" s="834"/>
      <c r="L996" s="57" t="s">
        <v>51</v>
      </c>
      <c r="M996" s="58">
        <v>7.4999999999999993E-5</v>
      </c>
      <c r="N996" s="263">
        <f>SUMIF('Cjenik VSO'!$B$9:$B$85,$B996,'Cjenik VSO'!$C$9:$C$85)</f>
        <v>32.9</v>
      </c>
      <c r="O996" s="60">
        <f t="shared" si="3"/>
        <v>2.4674999999999996E-3</v>
      </c>
    </row>
    <row r="997" spans="1:15" ht="25.15" customHeight="1">
      <c r="A997" s="16"/>
      <c r="B997" s="838" t="s">
        <v>69</v>
      </c>
      <c r="C997" s="838"/>
      <c r="D997" s="44" t="s">
        <v>51</v>
      </c>
      <c r="E997" s="104">
        <f>H997/H990</f>
        <v>6.1538461538461541E-4</v>
      </c>
      <c r="F997" s="238">
        <f>SUMIF('Cjenik VSO'!$B$9:$B$85,$B997,'Cjenik VSO'!$C$9:$C$85)</f>
        <v>179.6</v>
      </c>
      <c r="G997" s="46">
        <f t="shared" si="2"/>
        <v>0.11052307692307692</v>
      </c>
      <c r="H997" s="560">
        <v>8</v>
      </c>
      <c r="I997" s="56"/>
      <c r="J997" s="834" t="s">
        <v>69</v>
      </c>
      <c r="K997" s="834"/>
      <c r="L997" s="57" t="s">
        <v>51</v>
      </c>
      <c r="M997" s="58">
        <v>5.1900000000000004E-4</v>
      </c>
      <c r="N997" s="263">
        <f>SUMIF('Cjenik VSO'!$B$9:$B$85,$B997,'Cjenik VSO'!$C$9:$C$85)</f>
        <v>179.6</v>
      </c>
      <c r="O997" s="60">
        <f t="shared" si="3"/>
        <v>9.3212400000000001E-2</v>
      </c>
    </row>
    <row r="998" spans="1:15" ht="25.15" customHeight="1">
      <c r="A998" s="16"/>
      <c r="B998" s="838" t="s">
        <v>478</v>
      </c>
      <c r="C998" s="838"/>
      <c r="D998" s="44" t="s">
        <v>51</v>
      </c>
      <c r="E998" s="104">
        <f>H998/H990</f>
        <v>2.3076923076923076E-4</v>
      </c>
      <c r="F998" s="238">
        <f>SUMIF('Cjenik VSO'!$B$9:$B$85,$B998,'Cjenik VSO'!$C$9:$C$85)</f>
        <v>123.97</v>
      </c>
      <c r="G998" s="46">
        <f t="shared" si="2"/>
        <v>2.8608461538461537E-2</v>
      </c>
      <c r="H998" s="560">
        <v>3</v>
      </c>
      <c r="I998" s="51"/>
      <c r="J998" s="863"/>
      <c r="K998" s="863"/>
      <c r="L998" s="52"/>
      <c r="M998" s="53"/>
      <c r="N998" s="260"/>
      <c r="O998" s="55">
        <f t="shared" si="3"/>
        <v>0</v>
      </c>
    </row>
    <row r="999" spans="1:15" ht="25.15" customHeight="1">
      <c r="A999" s="16"/>
      <c r="B999" s="838" t="s">
        <v>60</v>
      </c>
      <c r="C999" s="838"/>
      <c r="D999" s="44" t="s">
        <v>51</v>
      </c>
      <c r="E999" s="104">
        <f>H999/H990</f>
        <v>3.076923076923077E-4</v>
      </c>
      <c r="F999" s="238">
        <f>SUMIF('Cjenik VSO'!$B$9:$B$85,$B999,'Cjenik VSO'!$C$9:$C$85)</f>
        <v>328.73</v>
      </c>
      <c r="G999" s="46">
        <f t="shared" si="2"/>
        <v>0.10114769230769231</v>
      </c>
      <c r="H999" s="560">
        <v>4</v>
      </c>
      <c r="I999" s="56"/>
      <c r="J999" s="834" t="s">
        <v>60</v>
      </c>
      <c r="K999" s="834"/>
      <c r="L999" s="57" t="s">
        <v>51</v>
      </c>
      <c r="M999" s="58">
        <v>2.31E-4</v>
      </c>
      <c r="N999" s="263">
        <f>SUMIF('Cjenik VSO'!$B$9:$B$85,$B999,'Cjenik VSO'!$C$9:$C$85)</f>
        <v>328.73</v>
      </c>
      <c r="O999" s="60">
        <f t="shared" si="3"/>
        <v>7.5936630000000005E-2</v>
      </c>
    </row>
    <row r="1000" spans="1:15" ht="25.15" customHeight="1">
      <c r="A1000" s="16"/>
      <c r="B1000" s="838" t="s">
        <v>61</v>
      </c>
      <c r="C1000" s="838"/>
      <c r="D1000" s="44" t="s">
        <v>51</v>
      </c>
      <c r="E1000" s="104">
        <f>H1000/H990</f>
        <v>3.076923076923077E-4</v>
      </c>
      <c r="F1000" s="238">
        <f>SUMIF('Cjenik VSO'!$B$9:$B$85,$B1000,'Cjenik VSO'!$C$9:$C$85)</f>
        <v>62.67</v>
      </c>
      <c r="G1000" s="46">
        <f t="shared" si="2"/>
        <v>1.9283076923076924E-2</v>
      </c>
      <c r="H1000" s="560">
        <v>4</v>
      </c>
      <c r="I1000" s="61"/>
      <c r="J1000" s="864" t="s">
        <v>61</v>
      </c>
      <c r="K1000" s="864"/>
      <c r="L1000" s="62" t="s">
        <v>51</v>
      </c>
      <c r="M1000" s="63">
        <v>2.0000000000000001E-4</v>
      </c>
      <c r="N1000" s="261">
        <f>SUMIF('Cjenik VSO'!$B$9:$B$85,$B1000,'Cjenik VSO'!$C$9:$C$85)</f>
        <v>62.67</v>
      </c>
      <c r="O1000" s="65">
        <f t="shared" si="3"/>
        <v>1.2534000000000002E-2</v>
      </c>
    </row>
    <row r="1001" spans="1:15" ht="25.15" customHeight="1">
      <c r="A1001" s="16"/>
      <c r="B1001" s="837" t="str">
        <f>'Obrazac kalkulacije'!$B$15</f>
        <v>Materijali:</v>
      </c>
      <c r="C1001" s="837"/>
      <c r="D1001" s="16"/>
      <c r="E1001" s="16"/>
      <c r="F1001" s="238"/>
      <c r="G1001" s="18">
        <f>SUM(G1002:G1004)</f>
        <v>0</v>
      </c>
      <c r="I1001" s="16"/>
      <c r="J1001" s="837" t="str">
        <f>'Obrazac kalkulacije'!$B$15</f>
        <v>Materijali:</v>
      </c>
      <c r="K1001" s="837"/>
      <c r="L1001" s="16"/>
      <c r="M1001" s="16"/>
      <c r="N1001" s="238"/>
      <c r="O1001" s="18">
        <f>SUM(O1002:O1004)</f>
        <v>0</v>
      </c>
    </row>
    <row r="1002" spans="1:15" ht="25.15" customHeight="1">
      <c r="A1002" s="16"/>
      <c r="B1002" s="838">
        <f>'Cjenik M'!$B$72</f>
        <v>0</v>
      </c>
      <c r="C1002" s="838"/>
      <c r="D1002" s="44">
        <f>'Cjenik M'!$C$72</f>
        <v>0</v>
      </c>
      <c r="E1002" s="45">
        <v>0.13950000000000001</v>
      </c>
      <c r="F1002" s="238">
        <f>'Cjenik M'!$D$72</f>
        <v>0</v>
      </c>
      <c r="G1002" s="46">
        <f>E1002*F1002</f>
        <v>0</v>
      </c>
      <c r="I1002" s="51"/>
      <c r="J1002" s="863">
        <f>'Cjenik M'!$B$72</f>
        <v>0</v>
      </c>
      <c r="K1002" s="863"/>
      <c r="L1002" s="52">
        <f>'Cjenik M'!$C$72</f>
        <v>0</v>
      </c>
      <c r="M1002" s="53">
        <v>0.13950000000000001</v>
      </c>
      <c r="N1002" s="260">
        <f>'Cjenik M'!$D$72</f>
        <v>0</v>
      </c>
      <c r="O1002" s="55">
        <f>M1002*N1002</f>
        <v>0</v>
      </c>
    </row>
    <row r="1003" spans="1:15" ht="25.15" customHeight="1">
      <c r="A1003" s="16"/>
      <c r="B1003" s="838">
        <f>'Cjenik M'!$B$103</f>
        <v>0</v>
      </c>
      <c r="C1003" s="838"/>
      <c r="D1003" s="44">
        <f>'Cjenik M'!$C$103</f>
        <v>0</v>
      </c>
      <c r="E1003" s="45">
        <v>0.09</v>
      </c>
      <c r="F1003" s="238">
        <f>'Cjenik M'!$D$103</f>
        <v>0</v>
      </c>
      <c r="G1003" s="46">
        <f>E1003*F1003</f>
        <v>0</v>
      </c>
      <c r="I1003" s="56"/>
      <c r="J1003" s="834">
        <f>'Cjenik M'!$B$103</f>
        <v>0</v>
      </c>
      <c r="K1003" s="834"/>
      <c r="L1003" s="57">
        <f>'Cjenik M'!$C$103</f>
        <v>0</v>
      </c>
      <c r="M1003" s="58">
        <v>0.09</v>
      </c>
      <c r="N1003" s="263">
        <f>'Cjenik M'!$D$103</f>
        <v>0</v>
      </c>
      <c r="O1003" s="60">
        <f>M1003*N1003</f>
        <v>0</v>
      </c>
    </row>
    <row r="1004" spans="1:15" ht="25.15" customHeight="1" thickBot="1">
      <c r="A1004" s="16"/>
      <c r="B1004" s="838">
        <f>'Cjenik M'!$B$74</f>
        <v>0</v>
      </c>
      <c r="C1004" s="838"/>
      <c r="D1004" s="44">
        <f>'Cjenik M'!$C$74</f>
        <v>0</v>
      </c>
      <c r="E1004" s="45">
        <v>1.6182999999999999E-2</v>
      </c>
      <c r="F1004" s="238">
        <f>'Cjenik M'!$D$74</f>
        <v>0</v>
      </c>
      <c r="G1004" s="46">
        <f>E1004*F1004</f>
        <v>0</v>
      </c>
      <c r="I1004" s="66"/>
      <c r="J1004" s="834">
        <f>'Cjenik M'!$B$74</f>
        <v>0</v>
      </c>
      <c r="K1004" s="834"/>
      <c r="L1004" s="57">
        <f>'Cjenik M'!$C$74</f>
        <v>0</v>
      </c>
      <c r="M1004" s="58">
        <v>1.6182999999999999E-2</v>
      </c>
      <c r="N1004" s="263">
        <f>'Cjenik M'!$D$74</f>
        <v>0</v>
      </c>
      <c r="O1004" s="60">
        <f>M1004*N1004</f>
        <v>0</v>
      </c>
    </row>
    <row r="1005" spans="1:15" ht="25.15" customHeight="1" thickTop="1" thickBot="1">
      <c r="E1005" s="868" t="str">
        <f>'Obrazac kalkulacije'!$E$18</f>
        <v>Ukupno (kn):</v>
      </c>
      <c r="F1005" s="868"/>
      <c r="G1005" s="71">
        <f>ROUND(SUM(G992+G994+G1001),2)</f>
        <v>0.67</v>
      </c>
      <c r="H1005" s="269" t="e">
        <f>SUMIF(#REF!,$B988,#REF!)</f>
        <v>#REF!</v>
      </c>
      <c r="J1005" s="47"/>
      <c r="K1005" s="24"/>
      <c r="L1005" s="25"/>
      <c r="M1005" s="850" t="str">
        <f>'Obrazac kalkulacije'!$E$18</f>
        <v>Ukupno (kn):</v>
      </c>
      <c r="N1005" s="850"/>
      <c r="O1005" s="26">
        <f>ROUND(SUM(O992+O994+O1001),2)</f>
        <v>0.45</v>
      </c>
    </row>
    <row r="1006" spans="1:15" ht="25.15" customHeight="1" thickTop="1" thickBot="1">
      <c r="E1006" s="27" t="str">
        <f>'Obrazac kalkulacije'!$E$19</f>
        <v>PDV:</v>
      </c>
      <c r="F1006" s="259">
        <f>'Obrazac kalkulacije'!$F$19</f>
        <v>0.25</v>
      </c>
      <c r="G1006" s="29">
        <f>G1005*F1006</f>
        <v>0.16750000000000001</v>
      </c>
      <c r="H1006" s="270" t="e">
        <f>H1005-G1005</f>
        <v>#REF!</v>
      </c>
      <c r="M1006" s="27" t="str">
        <f>'Obrazac kalkulacije'!$E$19</f>
        <v>PDV:</v>
      </c>
      <c r="N1006" s="259">
        <f>'Obrazac kalkulacije'!$F$19</f>
        <v>0.25</v>
      </c>
      <c r="O1006" s="29">
        <f>O1005*N1006</f>
        <v>0.1125</v>
      </c>
    </row>
    <row r="1007" spans="1:15" ht="25.15" customHeight="1" thickTop="1" thickBot="1">
      <c r="E1007" s="840" t="str">
        <f>'Obrazac kalkulacije'!$E$20</f>
        <v>Sveukupno (kn):</v>
      </c>
      <c r="F1007" s="840"/>
      <c r="G1007" s="29">
        <f>ROUND(SUM(G1005:G1006),2)</f>
        <v>0.84</v>
      </c>
      <c r="H1007" s="271" t="e">
        <f>G995+H1006</f>
        <v>#REF!</v>
      </c>
      <c r="M1007" s="840" t="str">
        <f>'Obrazac kalkulacije'!$E$20</f>
        <v>Sveukupno (kn):</v>
      </c>
      <c r="N1007" s="840"/>
      <c r="O1007" s="29">
        <f>ROUND(SUM(O1005:O1006),2)</f>
        <v>0.56000000000000005</v>
      </c>
    </row>
    <row r="1008" spans="1:15" ht="15" customHeight="1" thickTop="1"/>
    <row r="1009" spans="1:15" ht="15" customHeight="1"/>
    <row r="1010" spans="1:15" ht="15" customHeight="1"/>
    <row r="1011" spans="1:15" ht="15" customHeight="1">
      <c r="C1011" s="3" t="str">
        <f>'Obrazac kalkulacije'!$C$24</f>
        <v>IZVODITELJ:</v>
      </c>
      <c r="F1011" s="841" t="str">
        <f>'Obrazac kalkulacije'!$F$24</f>
        <v>NARUČITELJ:</v>
      </c>
      <c r="G1011" s="841"/>
      <c r="K1011" s="3" t="str">
        <f>'Obrazac kalkulacije'!$C$24</f>
        <v>IZVODITELJ:</v>
      </c>
      <c r="N1011" s="841" t="str">
        <f>'Obrazac kalkulacije'!$F$24</f>
        <v>NARUČITELJ:</v>
      </c>
      <c r="O1011" s="841"/>
    </row>
    <row r="1012" spans="1:15" ht="25.15" customHeight="1">
      <c r="C1012" s="3" t="str">
        <f>'Obrazac kalkulacije'!$C$25</f>
        <v>__________________</v>
      </c>
      <c r="F1012" s="841" t="str">
        <f>'Obrazac kalkulacije'!$F$25</f>
        <v>___________________</v>
      </c>
      <c r="G1012" s="841"/>
      <c r="K1012" s="3" t="str">
        <f>'Obrazac kalkulacije'!$C$25</f>
        <v>__________________</v>
      </c>
      <c r="N1012" s="841" t="str">
        <f>'Obrazac kalkulacije'!$F$25</f>
        <v>___________________</v>
      </c>
      <c r="O1012" s="841"/>
    </row>
    <row r="1013" spans="1:15" ht="15" customHeight="1">
      <c r="F1013" s="841"/>
      <c r="G1013" s="841"/>
      <c r="N1013" s="841"/>
      <c r="O1013" s="841"/>
    </row>
    <row r="1014" spans="1:15" ht="15" customHeight="1"/>
    <row r="1015" spans="1:15" ht="15" customHeight="1">
      <c r="A1015" s="144"/>
      <c r="B1015" s="145" t="s">
        <v>39</v>
      </c>
      <c r="C1015" s="836" t="s">
        <v>360</v>
      </c>
      <c r="D1015" s="836"/>
      <c r="E1015" s="836"/>
      <c r="F1015" s="836"/>
      <c r="G1015" s="836"/>
      <c r="I1015" s="144"/>
      <c r="J1015" s="145" t="s">
        <v>39</v>
      </c>
      <c r="K1015" s="836" t="s">
        <v>360</v>
      </c>
      <c r="L1015" s="836"/>
      <c r="M1015" s="836"/>
      <c r="N1015" s="836"/>
      <c r="O1015" s="836"/>
    </row>
    <row r="1016" spans="1:15" ht="15" customHeight="1">
      <c r="A1016" s="38"/>
      <c r="B1016" s="39" t="s">
        <v>46</v>
      </c>
      <c r="C1016" s="860" t="s">
        <v>470</v>
      </c>
      <c r="D1016" s="860"/>
      <c r="E1016" s="860"/>
      <c r="F1016" s="860"/>
      <c r="G1016" s="860"/>
      <c r="I1016" s="38"/>
      <c r="J1016" s="39" t="s">
        <v>46</v>
      </c>
      <c r="K1016" s="860" t="s">
        <v>470</v>
      </c>
      <c r="L1016" s="860"/>
      <c r="M1016" s="860"/>
      <c r="N1016" s="860"/>
      <c r="O1016" s="860"/>
    </row>
    <row r="1017" spans="1:15" ht="15" customHeight="1">
      <c r="A1017" s="48"/>
      <c r="B1017" s="49" t="s">
        <v>47</v>
      </c>
      <c r="C1017" s="883" t="s">
        <v>471</v>
      </c>
      <c r="D1017" s="883"/>
      <c r="E1017" s="883"/>
      <c r="F1017" s="883"/>
      <c r="G1017" s="883"/>
      <c r="I1017" s="48"/>
      <c r="J1017" s="49" t="s">
        <v>47</v>
      </c>
      <c r="K1017" s="883" t="s">
        <v>471</v>
      </c>
      <c r="L1017" s="883"/>
      <c r="M1017" s="883"/>
      <c r="N1017" s="883"/>
      <c r="O1017" s="883"/>
    </row>
    <row r="1018" spans="1:15" ht="15" customHeight="1">
      <c r="A1018" s="95"/>
      <c r="B1018" s="96" t="s">
        <v>472</v>
      </c>
      <c r="C1018" s="882" t="s">
        <v>473</v>
      </c>
      <c r="D1018" s="882"/>
      <c r="E1018" s="882"/>
      <c r="F1018" s="882"/>
      <c r="G1018" s="882"/>
      <c r="I1018" s="95"/>
      <c r="J1018" s="96" t="s">
        <v>472</v>
      </c>
      <c r="K1018" s="882" t="s">
        <v>473</v>
      </c>
      <c r="L1018" s="882"/>
      <c r="M1018" s="882"/>
      <c r="N1018" s="882"/>
      <c r="O1018" s="882"/>
    </row>
    <row r="1019" spans="1:15" ht="150" customHeight="1">
      <c r="A1019" s="40"/>
      <c r="B1019" s="556" t="s">
        <v>486</v>
      </c>
      <c r="C1019" s="852" t="s">
        <v>491</v>
      </c>
      <c r="D1019" s="852"/>
      <c r="E1019" s="852"/>
      <c r="F1019" s="852"/>
      <c r="G1019" s="852"/>
      <c r="I1019" s="40"/>
      <c r="J1019" s="41" t="s">
        <v>492</v>
      </c>
      <c r="K1019" s="869" t="s">
        <v>491</v>
      </c>
      <c r="L1019" s="869"/>
      <c r="M1019" s="869"/>
      <c r="N1019" s="869"/>
      <c r="O1019" s="869"/>
    </row>
    <row r="1020" spans="1:15" ht="15" customHeight="1" thickBot="1"/>
    <row r="1021" spans="1:15" ht="30" customHeight="1" thickTop="1" thickBot="1">
      <c r="A1021" s="10"/>
      <c r="B1021" s="835" t="str">
        <f>'Obrazac kalkulacije'!$B$6:$C$6</f>
        <v>Opis</v>
      </c>
      <c r="C1021" s="835"/>
      <c r="D1021" s="10" t="str">
        <f>'Obrazac kalkulacije'!$D$6</f>
        <v>Jed.
mjere</v>
      </c>
      <c r="E1021" s="10" t="str">
        <f>'Obrazac kalkulacije'!$E$6</f>
        <v>Normativ</v>
      </c>
      <c r="F1021" s="10" t="str">
        <f>'Obrazac kalkulacije'!$F$6</f>
        <v>Jed.
cijena</v>
      </c>
      <c r="G1021" s="10" t="str">
        <f>'Obrazac kalkulacije'!$G$6</f>
        <v>Iznos</v>
      </c>
      <c r="H1021" s="622">
        <v>13000</v>
      </c>
      <c r="I1021" s="10"/>
      <c r="J1021" s="835" t="e">
        <f>'Obrazac kalkulacije'!$B$6:$C$6</f>
        <v>#VALUE!</v>
      </c>
      <c r="K1021" s="835"/>
      <c r="L1021" s="10" t="str">
        <f>'Obrazac kalkulacije'!$D$6</f>
        <v>Jed.
mjere</v>
      </c>
      <c r="M1021" s="10" t="str">
        <f>'Obrazac kalkulacije'!$E$6</f>
        <v>Normativ</v>
      </c>
      <c r="N1021" s="10" t="str">
        <f>'Obrazac kalkulacije'!$F$6</f>
        <v>Jed.
cijena</v>
      </c>
      <c r="O1021" s="10" t="str">
        <f>'Obrazac kalkulacije'!$G$6</f>
        <v>Iznos</v>
      </c>
    </row>
    <row r="1022" spans="1:15" ht="4.5" customHeight="1" thickTop="1">
      <c r="B1022" s="42"/>
      <c r="C1022" s="1"/>
      <c r="D1022" s="11"/>
      <c r="E1022" s="13"/>
      <c r="F1022" s="258"/>
      <c r="G1022" s="15"/>
      <c r="H1022" s="3"/>
      <c r="J1022" s="42"/>
      <c r="K1022" s="1"/>
      <c r="L1022" s="11"/>
      <c r="M1022" s="13"/>
      <c r="N1022" s="258"/>
      <c r="O1022" s="15"/>
    </row>
    <row r="1023" spans="1:15" ht="25.15" customHeight="1">
      <c r="A1023" s="16"/>
      <c r="B1023" s="837" t="str">
        <f>'Obrazac kalkulacije'!$B$8</f>
        <v>Radna snaga:</v>
      </c>
      <c r="C1023" s="837"/>
      <c r="D1023" s="16"/>
      <c r="E1023" s="16"/>
      <c r="F1023" s="44"/>
      <c r="G1023" s="18">
        <f>SUM(G1024:G1024)</f>
        <v>0.29085230769230769</v>
      </c>
      <c r="H1023" s="3"/>
      <c r="I1023" s="16"/>
      <c r="J1023" s="837" t="str">
        <f>'Obrazac kalkulacije'!$B$8</f>
        <v>Radna snaga:</v>
      </c>
      <c r="K1023" s="837"/>
      <c r="L1023" s="16"/>
      <c r="M1023" s="16"/>
      <c r="N1023" s="44"/>
      <c r="O1023" s="18">
        <f>SUM(O1024:O1024)</f>
        <v>0.14000499</v>
      </c>
    </row>
    <row r="1024" spans="1:15" ht="25.15" customHeight="1">
      <c r="A1024" s="32"/>
      <c r="B1024" s="854" t="s">
        <v>57</v>
      </c>
      <c r="C1024" s="854"/>
      <c r="D1024" s="637" t="s">
        <v>51</v>
      </c>
      <c r="E1024" s="104">
        <f>H1024/H1021</f>
        <v>2.7692307692307691E-3</v>
      </c>
      <c r="F1024" s="238">
        <f>SUMIF('Cjenik RS'!$C$11:$C$26,$B1024,'Cjenik RS'!$D$11:$D$90)</f>
        <v>105.03</v>
      </c>
      <c r="G1024" s="46">
        <f>+F1024*E1024</f>
        <v>0.29085230769230769</v>
      </c>
      <c r="H1024" s="560">
        <v>36</v>
      </c>
      <c r="I1024" s="32"/>
      <c r="J1024" s="854" t="s">
        <v>57</v>
      </c>
      <c r="K1024" s="854"/>
      <c r="L1024" s="33" t="s">
        <v>51</v>
      </c>
      <c r="M1024" s="34">
        <v>1.333E-3</v>
      </c>
      <c r="N1024" s="44">
        <f>SUMIF('Cjenik RS'!$C$11:$C$26,J1024,'Cjenik RS'!$D$11:$D$90)</f>
        <v>105.03</v>
      </c>
      <c r="O1024" s="35">
        <f>+N1024*M1024</f>
        <v>0.14000499</v>
      </c>
    </row>
    <row r="1025" spans="1:15" ht="25.15" customHeight="1">
      <c r="A1025" s="16"/>
      <c r="B1025" s="837" t="str">
        <f>'Obrazac kalkulacije'!$B$11</f>
        <v>Vozila, strojevi i oprema:</v>
      </c>
      <c r="C1025" s="837"/>
      <c r="D1025" s="16"/>
      <c r="E1025" s="16"/>
      <c r="F1025" s="238">
        <f>'Obrazac kalkulacije'!$F$11</f>
        <v>0</v>
      </c>
      <c r="G1025" s="18">
        <f>SUM(G1026:G1031)</f>
        <v>0.37775461538461541</v>
      </c>
      <c r="I1025" s="16"/>
      <c r="J1025" s="837" t="str">
        <f>'Obrazac kalkulacije'!$B$11</f>
        <v>Vozila, strojevi i oprema:</v>
      </c>
      <c r="K1025" s="837"/>
      <c r="L1025" s="16"/>
      <c r="M1025" s="16"/>
      <c r="N1025" s="238">
        <f>'Obrazac kalkulacije'!$F$11</f>
        <v>0</v>
      </c>
      <c r="O1025" s="18">
        <f>SUM(O1026:O1031)</f>
        <v>0.31328793000000005</v>
      </c>
    </row>
    <row r="1026" spans="1:15" ht="25.15" customHeight="1">
      <c r="A1026" s="16"/>
      <c r="B1026" s="838" t="s">
        <v>477</v>
      </c>
      <c r="C1026" s="838"/>
      <c r="D1026" s="44" t="s">
        <v>51</v>
      </c>
      <c r="E1026" s="104">
        <f>H1026/H1021</f>
        <v>3.8461538461538462E-4</v>
      </c>
      <c r="F1026" s="238">
        <f>SUMIF('Cjenik VSO'!$B$9:$B$85,$B1026,'Cjenik VSO'!$C$9:$C$85)</f>
        <v>290.85000000000002</v>
      </c>
      <c r="G1026" s="46">
        <f t="shared" ref="G1026:G1031" si="4">E1026*F1026</f>
        <v>0.11186538461538463</v>
      </c>
      <c r="H1026" s="560">
        <v>5</v>
      </c>
      <c r="I1026" s="51"/>
      <c r="J1026" s="863" t="s">
        <v>477</v>
      </c>
      <c r="K1026" s="863"/>
      <c r="L1026" s="52" t="s">
        <v>51</v>
      </c>
      <c r="M1026" s="53">
        <v>4.44E-4</v>
      </c>
      <c r="N1026" s="260">
        <f>SUMIF('Cjenik VSO'!$B$9:$B$85,$B1026,'Cjenik VSO'!$C$9:$C$85)</f>
        <v>290.85000000000002</v>
      </c>
      <c r="O1026" s="55">
        <f t="shared" ref="O1026:O1031" si="5">M1026*N1026</f>
        <v>0.12913740000000001</v>
      </c>
    </row>
    <row r="1027" spans="1:15" ht="25.15" customHeight="1">
      <c r="A1027" s="16"/>
      <c r="B1027" s="838" t="s">
        <v>183</v>
      </c>
      <c r="C1027" s="838"/>
      <c r="D1027" s="44" t="s">
        <v>51</v>
      </c>
      <c r="E1027" s="104">
        <f>H1027/H1021</f>
        <v>1.9230769230769231E-4</v>
      </c>
      <c r="F1027" s="238">
        <f>SUMIF('Cjenik VSO'!$B$9:$B$85,$B1027,'Cjenik VSO'!$C$9:$C$85)</f>
        <v>32.9</v>
      </c>
      <c r="G1027" s="46">
        <f t="shared" si="4"/>
        <v>6.3269230769230763E-3</v>
      </c>
      <c r="H1027" s="560">
        <v>2.5</v>
      </c>
      <c r="I1027" s="56"/>
      <c r="J1027" s="834" t="s">
        <v>183</v>
      </c>
      <c r="K1027" s="834"/>
      <c r="L1027" s="57" t="s">
        <v>51</v>
      </c>
      <c r="M1027" s="58">
        <v>7.4999999999999993E-5</v>
      </c>
      <c r="N1027" s="263">
        <f>SUMIF('Cjenik VSO'!$B$9:$B$85,$B1027,'Cjenik VSO'!$C$9:$C$85)</f>
        <v>32.9</v>
      </c>
      <c r="O1027" s="60">
        <f t="shared" si="5"/>
        <v>2.4674999999999996E-3</v>
      </c>
    </row>
    <row r="1028" spans="1:15" ht="25.15" customHeight="1">
      <c r="A1028" s="16"/>
      <c r="B1028" s="838" t="s">
        <v>69</v>
      </c>
      <c r="C1028" s="838"/>
      <c r="D1028" s="44" t="s">
        <v>51</v>
      </c>
      <c r="E1028" s="104">
        <f>H1028/H1021</f>
        <v>6.1538461538461541E-4</v>
      </c>
      <c r="F1028" s="238">
        <f>SUMIF('Cjenik VSO'!$B$9:$B$85,$B1028,'Cjenik VSO'!$C$9:$C$85)</f>
        <v>179.6</v>
      </c>
      <c r="G1028" s="46">
        <f t="shared" si="4"/>
        <v>0.11052307692307692</v>
      </c>
      <c r="H1028" s="560">
        <v>8</v>
      </c>
      <c r="I1028" s="56"/>
      <c r="J1028" s="834" t="s">
        <v>69</v>
      </c>
      <c r="K1028" s="834"/>
      <c r="L1028" s="57" t="s">
        <v>51</v>
      </c>
      <c r="M1028" s="58">
        <v>5.1900000000000004E-4</v>
      </c>
      <c r="N1028" s="263">
        <f>SUMIF('Cjenik VSO'!$B$9:$B$85,$B1028,'Cjenik VSO'!$C$9:$C$85)</f>
        <v>179.6</v>
      </c>
      <c r="O1028" s="60">
        <f t="shared" si="5"/>
        <v>9.3212400000000001E-2</v>
      </c>
    </row>
    <row r="1029" spans="1:15" ht="25.15" customHeight="1">
      <c r="A1029" s="16"/>
      <c r="B1029" s="838" t="s">
        <v>478</v>
      </c>
      <c r="C1029" s="838"/>
      <c r="D1029" s="44" t="s">
        <v>51</v>
      </c>
      <c r="E1029" s="104">
        <f>H1029/H1021</f>
        <v>2.3076923076923076E-4</v>
      </c>
      <c r="F1029" s="238">
        <f>SUMIF('Cjenik VSO'!$B$9:$B$85,$B1029,'Cjenik VSO'!$C$9:$C$85)</f>
        <v>123.97</v>
      </c>
      <c r="G1029" s="46">
        <f t="shared" si="4"/>
        <v>2.8608461538461537E-2</v>
      </c>
      <c r="H1029" s="560">
        <v>3</v>
      </c>
      <c r="I1029" s="51"/>
      <c r="J1029" s="863"/>
      <c r="K1029" s="863"/>
      <c r="L1029" s="52"/>
      <c r="M1029" s="53"/>
      <c r="N1029" s="260"/>
      <c r="O1029" s="55">
        <f t="shared" si="5"/>
        <v>0</v>
      </c>
    </row>
    <row r="1030" spans="1:15" ht="25.15" customHeight="1">
      <c r="A1030" s="16"/>
      <c r="B1030" s="838" t="s">
        <v>60</v>
      </c>
      <c r="C1030" s="838"/>
      <c r="D1030" s="44" t="s">
        <v>51</v>
      </c>
      <c r="E1030" s="104">
        <f>H1030/H1021</f>
        <v>3.076923076923077E-4</v>
      </c>
      <c r="F1030" s="238">
        <f>SUMIF('Cjenik VSO'!$B$9:$B$85,$B1030,'Cjenik VSO'!$C$9:$C$85)</f>
        <v>328.73</v>
      </c>
      <c r="G1030" s="46">
        <f t="shared" si="4"/>
        <v>0.10114769230769231</v>
      </c>
      <c r="H1030" s="560">
        <v>4</v>
      </c>
      <c r="I1030" s="56"/>
      <c r="J1030" s="834" t="s">
        <v>60</v>
      </c>
      <c r="K1030" s="834"/>
      <c r="L1030" s="57" t="s">
        <v>51</v>
      </c>
      <c r="M1030" s="58">
        <v>2.31E-4</v>
      </c>
      <c r="N1030" s="263">
        <f>SUMIF('Cjenik VSO'!$B$9:$B$85,$B1030,'Cjenik VSO'!$C$9:$C$85)</f>
        <v>328.73</v>
      </c>
      <c r="O1030" s="60">
        <f t="shared" si="5"/>
        <v>7.5936630000000005E-2</v>
      </c>
    </row>
    <row r="1031" spans="1:15" ht="25.15" customHeight="1">
      <c r="A1031" s="16"/>
      <c r="B1031" s="838" t="s">
        <v>61</v>
      </c>
      <c r="C1031" s="838"/>
      <c r="D1031" s="44" t="s">
        <v>51</v>
      </c>
      <c r="E1031" s="104">
        <f>H1031/H1021</f>
        <v>3.076923076923077E-4</v>
      </c>
      <c r="F1031" s="238">
        <f>SUMIF('Cjenik VSO'!$B$9:$B$85,$B1031,'Cjenik VSO'!$C$9:$C$85)</f>
        <v>62.67</v>
      </c>
      <c r="G1031" s="46">
        <f t="shared" si="4"/>
        <v>1.9283076923076924E-2</v>
      </c>
      <c r="H1031" s="560">
        <v>4</v>
      </c>
      <c r="I1031" s="61"/>
      <c r="J1031" s="864" t="s">
        <v>61</v>
      </c>
      <c r="K1031" s="864"/>
      <c r="L1031" s="62" t="s">
        <v>51</v>
      </c>
      <c r="M1031" s="63">
        <v>2.0000000000000001E-4</v>
      </c>
      <c r="N1031" s="261">
        <f>SUMIF('Cjenik VSO'!$B$9:$B$85,$B1031,'Cjenik VSO'!$C$9:$C$85)</f>
        <v>62.67</v>
      </c>
      <c r="O1031" s="65">
        <f t="shared" si="5"/>
        <v>1.2534000000000002E-2</v>
      </c>
    </row>
    <row r="1032" spans="1:15" ht="25.15" customHeight="1">
      <c r="A1032" s="16"/>
      <c r="B1032" s="837" t="str">
        <f>'Obrazac kalkulacije'!$B$15</f>
        <v>Materijali:</v>
      </c>
      <c r="C1032" s="837"/>
      <c r="D1032" s="16"/>
      <c r="E1032" s="16"/>
      <c r="F1032" s="238"/>
      <c r="G1032" s="18">
        <f>SUM(G1033:G1035)</f>
        <v>0</v>
      </c>
      <c r="I1032" s="16"/>
      <c r="J1032" s="837" t="str">
        <f>'Obrazac kalkulacije'!$B$15</f>
        <v>Materijali:</v>
      </c>
      <c r="K1032" s="837"/>
      <c r="L1032" s="16"/>
      <c r="M1032" s="16"/>
      <c r="N1032" s="238"/>
      <c r="O1032" s="18">
        <f>SUM(O1033:O1035)</f>
        <v>0</v>
      </c>
    </row>
    <row r="1033" spans="1:15" ht="25.15" customHeight="1">
      <c r="A1033" s="16"/>
      <c r="B1033" s="838">
        <f>'Cjenik M'!$B$72</f>
        <v>0</v>
      </c>
      <c r="C1033" s="838"/>
      <c r="D1033" s="44">
        <f>'Cjenik M'!$C$72</f>
        <v>0</v>
      </c>
      <c r="E1033" s="45">
        <v>0.124</v>
      </c>
      <c r="F1033" s="238">
        <f>'Cjenik M'!$D$72</f>
        <v>0</v>
      </c>
      <c r="G1033" s="46">
        <f>E1033*F1033</f>
        <v>0</v>
      </c>
      <c r="I1033" s="51"/>
      <c r="J1033" s="863">
        <f>'Cjenik M'!$B$72</f>
        <v>0</v>
      </c>
      <c r="K1033" s="863"/>
      <c r="L1033" s="52">
        <f>'Cjenik M'!$C$72</f>
        <v>0</v>
      </c>
      <c r="M1033" s="53">
        <v>0.124</v>
      </c>
      <c r="N1033" s="260">
        <f>'Cjenik M'!$D$72</f>
        <v>0</v>
      </c>
      <c r="O1033" s="55">
        <f>M1033*N1033</f>
        <v>0</v>
      </c>
    </row>
    <row r="1034" spans="1:15" ht="25.15" customHeight="1">
      <c r="A1034" s="16"/>
      <c r="B1034" s="838">
        <f>'Cjenik M'!$B$102</f>
        <v>0</v>
      </c>
      <c r="C1034" s="838"/>
      <c r="D1034" s="44">
        <f>'Cjenik M'!$C$102</f>
        <v>0</v>
      </c>
      <c r="E1034" s="45">
        <v>6.5000000000000002E-2</v>
      </c>
      <c r="F1034" s="238">
        <f>'Cjenik M'!$D$102</f>
        <v>0</v>
      </c>
      <c r="G1034" s="46">
        <f>E1034*F1034</f>
        <v>0</v>
      </c>
      <c r="I1034" s="56"/>
      <c r="J1034" s="834">
        <f>'Cjenik M'!$B$102</f>
        <v>0</v>
      </c>
      <c r="K1034" s="834"/>
      <c r="L1034" s="57">
        <f>'Cjenik M'!$C$102</f>
        <v>0</v>
      </c>
      <c r="M1034" s="58">
        <v>6.5000000000000002E-2</v>
      </c>
      <c r="N1034" s="263">
        <f>'Cjenik M'!$D$102</f>
        <v>0</v>
      </c>
      <c r="O1034" s="60">
        <f>M1034*N1034</f>
        <v>0</v>
      </c>
    </row>
    <row r="1035" spans="1:15" ht="25.15" customHeight="1" thickBot="1">
      <c r="A1035" s="16"/>
      <c r="B1035" s="838">
        <f>'Cjenik M'!$B$74</f>
        <v>0</v>
      </c>
      <c r="C1035" s="838"/>
      <c r="D1035" s="44">
        <f>'Cjenik M'!$C$74</f>
        <v>0</v>
      </c>
      <c r="E1035" s="45">
        <v>1.4385E-2</v>
      </c>
      <c r="F1035" s="238">
        <f>'Cjenik M'!$D$74</f>
        <v>0</v>
      </c>
      <c r="G1035" s="46">
        <f>E1035*F1035</f>
        <v>0</v>
      </c>
      <c r="I1035" s="66"/>
      <c r="J1035" s="834">
        <f>'Cjenik M'!$B$74</f>
        <v>0</v>
      </c>
      <c r="K1035" s="834"/>
      <c r="L1035" s="57">
        <f>'Cjenik M'!$C$74</f>
        <v>0</v>
      </c>
      <c r="M1035" s="58">
        <v>1.4385E-2</v>
      </c>
      <c r="N1035" s="263">
        <f>'Cjenik M'!$D$74</f>
        <v>0</v>
      </c>
      <c r="O1035" s="60">
        <f>M1035*N1035</f>
        <v>0</v>
      </c>
    </row>
    <row r="1036" spans="1:15" ht="25.15" customHeight="1" thickTop="1" thickBot="1">
      <c r="E1036" s="868" t="str">
        <f>'Obrazac kalkulacije'!$E$18</f>
        <v>Ukupno (kn):</v>
      </c>
      <c r="F1036" s="868"/>
      <c r="G1036" s="71">
        <f>ROUND(SUM(G1023+G1025+G1032),2)</f>
        <v>0.67</v>
      </c>
      <c r="H1036" s="269" t="e">
        <f>SUMIF(#REF!,$B1019,#REF!)</f>
        <v>#REF!</v>
      </c>
      <c r="J1036" s="47"/>
      <c r="K1036" s="24"/>
      <c r="L1036" s="25"/>
      <c r="M1036" s="850" t="str">
        <f>'Obrazac kalkulacije'!$E$18</f>
        <v>Ukupno (kn):</v>
      </c>
      <c r="N1036" s="850"/>
      <c r="O1036" s="26">
        <f>ROUND(SUM(O1023+O1025+O1032),2)</f>
        <v>0.45</v>
      </c>
    </row>
    <row r="1037" spans="1:15" ht="25.15" customHeight="1" thickTop="1" thickBot="1">
      <c r="E1037" s="27" t="str">
        <f>'Obrazac kalkulacije'!$E$19</f>
        <v>PDV:</v>
      </c>
      <c r="F1037" s="259">
        <f>'Obrazac kalkulacije'!$F$19</f>
        <v>0.25</v>
      </c>
      <c r="G1037" s="29">
        <f>G1036*F1037</f>
        <v>0.16750000000000001</v>
      </c>
      <c r="H1037" s="270" t="e">
        <f>H1036-G1036</f>
        <v>#REF!</v>
      </c>
      <c r="M1037" s="27" t="str">
        <f>'Obrazac kalkulacije'!$E$19</f>
        <v>PDV:</v>
      </c>
      <c r="N1037" s="259">
        <f>'Obrazac kalkulacije'!$F$19</f>
        <v>0.25</v>
      </c>
      <c r="O1037" s="29">
        <f>O1036*N1037</f>
        <v>0.1125</v>
      </c>
    </row>
    <row r="1038" spans="1:15" ht="25.15" customHeight="1" thickTop="1" thickBot="1">
      <c r="E1038" s="840" t="str">
        <f>'Obrazac kalkulacije'!$E$20</f>
        <v>Sveukupno (kn):</v>
      </c>
      <c r="F1038" s="840"/>
      <c r="G1038" s="29">
        <f>ROUND(SUM(G1036:G1037),2)</f>
        <v>0.84</v>
      </c>
      <c r="H1038" s="271" t="e">
        <f>G1026+H1037</f>
        <v>#REF!</v>
      </c>
      <c r="M1038" s="840" t="str">
        <f>'Obrazac kalkulacije'!$E$20</f>
        <v>Sveukupno (kn):</v>
      </c>
      <c r="N1038" s="840"/>
      <c r="O1038" s="29">
        <f>ROUND(SUM(O1036:O1037),2)</f>
        <v>0.56000000000000005</v>
      </c>
    </row>
    <row r="1039" spans="1:15" ht="15" customHeight="1" thickTop="1"/>
    <row r="1040" spans="1:15" ht="15" customHeight="1"/>
    <row r="1041" spans="1:15" ht="15" customHeight="1"/>
    <row r="1042" spans="1:15" ht="15" customHeight="1">
      <c r="C1042" s="3" t="str">
        <f>'Obrazac kalkulacije'!$C$24</f>
        <v>IZVODITELJ:</v>
      </c>
      <c r="F1042" s="841" t="str">
        <f>'Obrazac kalkulacije'!$F$24</f>
        <v>NARUČITELJ:</v>
      </c>
      <c r="G1042" s="841"/>
      <c r="K1042" s="3" t="str">
        <f>'Obrazac kalkulacije'!$C$24</f>
        <v>IZVODITELJ:</v>
      </c>
      <c r="N1042" s="841" t="str">
        <f>'Obrazac kalkulacije'!$F$24</f>
        <v>NARUČITELJ:</v>
      </c>
      <c r="O1042" s="841"/>
    </row>
    <row r="1043" spans="1:15" ht="25.15" customHeight="1">
      <c r="C1043" s="3" t="str">
        <f>'Obrazac kalkulacije'!$C$25</f>
        <v>__________________</v>
      </c>
      <c r="F1043" s="841" t="str">
        <f>'Obrazac kalkulacije'!$F$25</f>
        <v>___________________</v>
      </c>
      <c r="G1043" s="841"/>
      <c r="K1043" s="3" t="str">
        <f>'Obrazac kalkulacije'!$C$25</f>
        <v>__________________</v>
      </c>
      <c r="N1043" s="841" t="str">
        <f>'Obrazac kalkulacije'!$F$25</f>
        <v>___________________</v>
      </c>
      <c r="O1043" s="841"/>
    </row>
    <row r="1044" spans="1:15" ht="15" customHeight="1">
      <c r="F1044" s="841"/>
      <c r="G1044" s="841"/>
      <c r="N1044" s="841"/>
      <c r="O1044" s="841"/>
    </row>
    <row r="1045" spans="1:15" ht="15" customHeight="1"/>
    <row r="1046" spans="1:15" ht="15" customHeight="1">
      <c r="A1046" s="144"/>
      <c r="B1046" s="145" t="s">
        <v>39</v>
      </c>
      <c r="C1046" s="836" t="s">
        <v>360</v>
      </c>
      <c r="D1046" s="836"/>
      <c r="E1046" s="836"/>
      <c r="F1046" s="836"/>
      <c r="G1046" s="836"/>
      <c r="I1046" s="144"/>
      <c r="J1046" s="145" t="s">
        <v>39</v>
      </c>
      <c r="K1046" s="836" t="s">
        <v>360</v>
      </c>
      <c r="L1046" s="836"/>
      <c r="M1046" s="836"/>
      <c r="N1046" s="836"/>
      <c r="O1046" s="836"/>
    </row>
    <row r="1047" spans="1:15" ht="15" customHeight="1">
      <c r="A1047" s="38"/>
      <c r="B1047" s="39" t="s">
        <v>46</v>
      </c>
      <c r="C1047" s="860" t="s">
        <v>470</v>
      </c>
      <c r="D1047" s="860"/>
      <c r="E1047" s="860"/>
      <c r="F1047" s="860"/>
      <c r="G1047" s="860"/>
      <c r="I1047" s="38"/>
      <c r="J1047" s="39" t="s">
        <v>46</v>
      </c>
      <c r="K1047" s="860" t="s">
        <v>470</v>
      </c>
      <c r="L1047" s="860"/>
      <c r="M1047" s="860"/>
      <c r="N1047" s="860"/>
      <c r="O1047" s="860"/>
    </row>
    <row r="1048" spans="1:15" ht="15" customHeight="1">
      <c r="A1048" s="48"/>
      <c r="B1048" s="49" t="s">
        <v>47</v>
      </c>
      <c r="C1048" s="883" t="s">
        <v>471</v>
      </c>
      <c r="D1048" s="883"/>
      <c r="E1048" s="883"/>
      <c r="F1048" s="883"/>
      <c r="G1048" s="883"/>
      <c r="I1048" s="48"/>
      <c r="J1048" s="49" t="s">
        <v>47</v>
      </c>
      <c r="K1048" s="883" t="s">
        <v>471</v>
      </c>
      <c r="L1048" s="883"/>
      <c r="M1048" s="883"/>
      <c r="N1048" s="883"/>
      <c r="O1048" s="883"/>
    </row>
    <row r="1049" spans="1:15" ht="15" customHeight="1">
      <c r="A1049" s="95"/>
      <c r="B1049" s="96" t="s">
        <v>472</v>
      </c>
      <c r="C1049" s="882" t="s">
        <v>473</v>
      </c>
      <c r="D1049" s="882"/>
      <c r="E1049" s="882"/>
      <c r="F1049" s="882"/>
      <c r="G1049" s="882"/>
      <c r="I1049" s="95"/>
      <c r="J1049" s="96" t="s">
        <v>472</v>
      </c>
      <c r="K1049" s="882" t="s">
        <v>473</v>
      </c>
      <c r="L1049" s="882"/>
      <c r="M1049" s="882"/>
      <c r="N1049" s="882"/>
      <c r="O1049" s="882"/>
    </row>
    <row r="1050" spans="1:15" ht="150" customHeight="1">
      <c r="A1050" s="40"/>
      <c r="B1050" s="556" t="s">
        <v>493</v>
      </c>
      <c r="C1050" s="852" t="s">
        <v>494</v>
      </c>
      <c r="D1050" s="852"/>
      <c r="E1050" s="852"/>
      <c r="F1050" s="852"/>
      <c r="G1050" s="852"/>
      <c r="I1050" s="40"/>
      <c r="J1050" s="41" t="s">
        <v>495</v>
      </c>
      <c r="K1050" s="869" t="s">
        <v>494</v>
      </c>
      <c r="L1050" s="869"/>
      <c r="M1050" s="869"/>
      <c r="N1050" s="869"/>
      <c r="O1050" s="869"/>
    </row>
    <row r="1051" spans="1:15" ht="15" customHeight="1" thickBot="1"/>
    <row r="1052" spans="1:15" ht="30" customHeight="1" thickTop="1" thickBot="1">
      <c r="A1052" s="10"/>
      <c r="B1052" s="835" t="str">
        <f>'Obrazac kalkulacije'!$B$6:$C$6</f>
        <v>Opis</v>
      </c>
      <c r="C1052" s="835"/>
      <c r="D1052" s="10" t="str">
        <f>'Obrazac kalkulacije'!$D$6</f>
        <v>Jed.
mjere</v>
      </c>
      <c r="E1052" s="10" t="str">
        <f>'Obrazac kalkulacije'!$E$6</f>
        <v>Normativ</v>
      </c>
      <c r="F1052" s="10" t="str">
        <f>'Obrazac kalkulacije'!$F$6</f>
        <v>Jed.
cijena</v>
      </c>
      <c r="G1052" s="10" t="str">
        <f>'Obrazac kalkulacije'!$G$6</f>
        <v>Iznos</v>
      </c>
      <c r="H1052" s="622">
        <v>13000</v>
      </c>
      <c r="I1052" s="10"/>
      <c r="J1052" s="835" t="e">
        <f>'Obrazac kalkulacije'!$B$6:$C$6</f>
        <v>#VALUE!</v>
      </c>
      <c r="K1052" s="835"/>
      <c r="L1052" s="10" t="str">
        <f>'Obrazac kalkulacije'!$D$6</f>
        <v>Jed.
mjere</v>
      </c>
      <c r="M1052" s="10" t="str">
        <f>'Obrazac kalkulacije'!$E$6</f>
        <v>Normativ</v>
      </c>
      <c r="N1052" s="10" t="str">
        <f>'Obrazac kalkulacije'!$F$6</f>
        <v>Jed.
cijena</v>
      </c>
      <c r="O1052" s="10" t="str">
        <f>'Obrazac kalkulacije'!$G$6</f>
        <v>Iznos</v>
      </c>
    </row>
    <row r="1053" spans="1:15" ht="4.5" customHeight="1" thickTop="1">
      <c r="B1053" s="42"/>
      <c r="C1053" s="1"/>
      <c r="D1053" s="11"/>
      <c r="E1053" s="13"/>
      <c r="F1053" s="258"/>
      <c r="G1053" s="15"/>
      <c r="H1053" s="3"/>
      <c r="J1053" s="42"/>
      <c r="K1053" s="1"/>
      <c r="L1053" s="11"/>
      <c r="M1053" s="13"/>
      <c r="N1053" s="258"/>
      <c r="O1053" s="15"/>
    </row>
    <row r="1054" spans="1:15" ht="25.15" customHeight="1">
      <c r="A1054" s="16"/>
      <c r="B1054" s="837" t="str">
        <f>'Obrazac kalkulacije'!$B$8</f>
        <v>Radna snaga:</v>
      </c>
      <c r="C1054" s="837"/>
      <c r="D1054" s="16"/>
      <c r="E1054" s="16"/>
      <c r="F1054" s="44"/>
      <c r="G1054" s="18">
        <f>SUM(G1055:G1055)</f>
        <v>0.32316923076923076</v>
      </c>
      <c r="H1054" s="3"/>
      <c r="I1054" s="16"/>
      <c r="J1054" s="837" t="str">
        <f>'Obrazac kalkulacije'!$B$8</f>
        <v>Radna snaga:</v>
      </c>
      <c r="K1054" s="837"/>
      <c r="L1054" s="16"/>
      <c r="M1054" s="16"/>
      <c r="N1054" s="44"/>
      <c r="O1054" s="18">
        <f>SUM(O1055:O1055)</f>
        <v>0.14000499</v>
      </c>
    </row>
    <row r="1055" spans="1:15" ht="25.15" customHeight="1">
      <c r="A1055" s="32"/>
      <c r="B1055" s="854" t="s">
        <v>57</v>
      </c>
      <c r="C1055" s="854"/>
      <c r="D1055" s="637" t="s">
        <v>51</v>
      </c>
      <c r="E1055" s="104">
        <f>H1055/H1052</f>
        <v>3.0769230769230769E-3</v>
      </c>
      <c r="F1055" s="238">
        <f>SUMIF('Cjenik RS'!$C$11:$C$26,$B1055,'Cjenik RS'!$D$11:$D$90)</f>
        <v>105.03</v>
      </c>
      <c r="G1055" s="46">
        <f>+F1055*E1055</f>
        <v>0.32316923076923076</v>
      </c>
      <c r="H1055" s="560">
        <v>40</v>
      </c>
      <c r="I1055" s="32"/>
      <c r="J1055" s="854" t="s">
        <v>57</v>
      </c>
      <c r="K1055" s="854"/>
      <c r="L1055" s="33" t="s">
        <v>51</v>
      </c>
      <c r="M1055" s="34">
        <v>1.333E-3</v>
      </c>
      <c r="N1055" s="44">
        <f>SUMIF('Cjenik RS'!$C$11:$C$26,J1055,'Cjenik RS'!$D$11:$D$90)</f>
        <v>105.03</v>
      </c>
      <c r="O1055" s="35">
        <f>+N1055*M1055</f>
        <v>0.14000499</v>
      </c>
    </row>
    <row r="1056" spans="1:15" ht="25.15" customHeight="1">
      <c r="A1056" s="16"/>
      <c r="B1056" s="837" t="str">
        <f>'Obrazac kalkulacije'!$B$11</f>
        <v>Vozila, strojevi i oprema:</v>
      </c>
      <c r="C1056" s="837"/>
      <c r="D1056" s="16"/>
      <c r="E1056" s="16"/>
      <c r="F1056" s="238">
        <f>'Obrazac kalkulacije'!$F$11</f>
        <v>0</v>
      </c>
      <c r="G1056" s="18">
        <f>SUM(G1057:G1062)</f>
        <v>0.37775461538461541</v>
      </c>
      <c r="I1056" s="16"/>
      <c r="J1056" s="837" t="str">
        <f>'Obrazac kalkulacije'!$B$11</f>
        <v>Vozila, strojevi i oprema:</v>
      </c>
      <c r="K1056" s="837"/>
      <c r="L1056" s="16"/>
      <c r="M1056" s="16"/>
      <c r="N1056" s="238">
        <f>'Obrazac kalkulacije'!$F$11</f>
        <v>0</v>
      </c>
      <c r="O1056" s="18">
        <f>SUM(O1057:O1062)</f>
        <v>0.31328793000000005</v>
      </c>
    </row>
    <row r="1057" spans="1:15" ht="25.15" customHeight="1">
      <c r="A1057" s="16"/>
      <c r="B1057" s="838" t="s">
        <v>477</v>
      </c>
      <c r="C1057" s="838"/>
      <c r="D1057" s="44" t="s">
        <v>51</v>
      </c>
      <c r="E1057" s="104">
        <f>H1057/H1052</f>
        <v>3.8461538461538462E-4</v>
      </c>
      <c r="F1057" s="238">
        <f>SUMIF('Cjenik VSO'!$B$9:$B$85,$B1057,'Cjenik VSO'!$C$9:$C$85)</f>
        <v>290.85000000000002</v>
      </c>
      <c r="G1057" s="46">
        <f t="shared" ref="G1057:G1062" si="6">E1057*F1057</f>
        <v>0.11186538461538463</v>
      </c>
      <c r="H1057" s="560">
        <v>5</v>
      </c>
      <c r="I1057" s="51"/>
      <c r="J1057" s="863" t="s">
        <v>477</v>
      </c>
      <c r="K1057" s="863"/>
      <c r="L1057" s="52" t="s">
        <v>51</v>
      </c>
      <c r="M1057" s="53">
        <v>4.44E-4</v>
      </c>
      <c r="N1057" s="260">
        <f>SUMIF('Cjenik VSO'!$B$9:$B$85,$B1057,'Cjenik VSO'!$C$9:$C$85)</f>
        <v>290.85000000000002</v>
      </c>
      <c r="O1057" s="55">
        <f t="shared" ref="O1057:O1062" si="7">M1057*N1057</f>
        <v>0.12913740000000001</v>
      </c>
    </row>
    <row r="1058" spans="1:15" ht="25.15" customHeight="1">
      <c r="A1058" s="16"/>
      <c r="B1058" s="838" t="s">
        <v>183</v>
      </c>
      <c r="C1058" s="838"/>
      <c r="D1058" s="44" t="s">
        <v>51</v>
      </c>
      <c r="E1058" s="104">
        <f>H1058/H1052</f>
        <v>1.9230769230769231E-4</v>
      </c>
      <c r="F1058" s="238">
        <f>SUMIF('Cjenik VSO'!$B$9:$B$85,$B1058,'Cjenik VSO'!$C$9:$C$85)</f>
        <v>32.9</v>
      </c>
      <c r="G1058" s="46">
        <f t="shared" si="6"/>
        <v>6.3269230769230763E-3</v>
      </c>
      <c r="H1058" s="560">
        <v>2.5</v>
      </c>
      <c r="I1058" s="56"/>
      <c r="J1058" s="834" t="s">
        <v>183</v>
      </c>
      <c r="K1058" s="834"/>
      <c r="L1058" s="57" t="s">
        <v>51</v>
      </c>
      <c r="M1058" s="58">
        <v>7.4999999999999993E-5</v>
      </c>
      <c r="N1058" s="263">
        <f>SUMIF('Cjenik VSO'!$B$9:$B$85,$B1058,'Cjenik VSO'!$C$9:$C$85)</f>
        <v>32.9</v>
      </c>
      <c r="O1058" s="60">
        <f t="shared" si="7"/>
        <v>2.4674999999999996E-3</v>
      </c>
    </row>
    <row r="1059" spans="1:15" ht="25.15" customHeight="1">
      <c r="A1059" s="16"/>
      <c r="B1059" s="838" t="s">
        <v>69</v>
      </c>
      <c r="C1059" s="838"/>
      <c r="D1059" s="44" t="s">
        <v>51</v>
      </c>
      <c r="E1059" s="104">
        <f>H1059/H1052</f>
        <v>6.1538461538461541E-4</v>
      </c>
      <c r="F1059" s="238">
        <f>SUMIF('Cjenik VSO'!$B$9:$B$85,$B1059,'Cjenik VSO'!$C$9:$C$85)</f>
        <v>179.6</v>
      </c>
      <c r="G1059" s="46">
        <f t="shared" si="6"/>
        <v>0.11052307692307692</v>
      </c>
      <c r="H1059" s="560">
        <v>8</v>
      </c>
      <c r="I1059" s="56"/>
      <c r="J1059" s="834" t="s">
        <v>69</v>
      </c>
      <c r="K1059" s="834"/>
      <c r="L1059" s="57" t="s">
        <v>51</v>
      </c>
      <c r="M1059" s="58">
        <v>5.1900000000000004E-4</v>
      </c>
      <c r="N1059" s="263">
        <f>SUMIF('Cjenik VSO'!$B$9:$B$85,$B1059,'Cjenik VSO'!$C$9:$C$85)</f>
        <v>179.6</v>
      </c>
      <c r="O1059" s="60">
        <f t="shared" si="7"/>
        <v>9.3212400000000001E-2</v>
      </c>
    </row>
    <row r="1060" spans="1:15" ht="25.15" customHeight="1">
      <c r="A1060" s="16"/>
      <c r="B1060" s="838" t="s">
        <v>478</v>
      </c>
      <c r="C1060" s="838"/>
      <c r="D1060" s="44" t="s">
        <v>51</v>
      </c>
      <c r="E1060" s="104">
        <f>H1060/H1052</f>
        <v>2.3076923076923076E-4</v>
      </c>
      <c r="F1060" s="238">
        <f>SUMIF('Cjenik VSO'!$B$9:$B$85,$B1060,'Cjenik VSO'!$C$9:$C$85)</f>
        <v>123.97</v>
      </c>
      <c r="G1060" s="46">
        <f t="shared" si="6"/>
        <v>2.8608461538461537E-2</v>
      </c>
      <c r="H1060" s="560">
        <v>3</v>
      </c>
      <c r="I1060" s="51"/>
      <c r="J1060" s="863"/>
      <c r="K1060" s="863"/>
      <c r="L1060" s="52"/>
      <c r="M1060" s="53"/>
      <c r="N1060" s="260"/>
      <c r="O1060" s="55">
        <f t="shared" si="7"/>
        <v>0</v>
      </c>
    </row>
    <row r="1061" spans="1:15" ht="25.15" customHeight="1">
      <c r="A1061" s="16"/>
      <c r="B1061" s="838" t="s">
        <v>60</v>
      </c>
      <c r="C1061" s="838"/>
      <c r="D1061" s="44" t="s">
        <v>51</v>
      </c>
      <c r="E1061" s="104">
        <f>H1061/H1052</f>
        <v>3.076923076923077E-4</v>
      </c>
      <c r="F1061" s="238">
        <f>SUMIF('Cjenik VSO'!$B$9:$B$85,$B1061,'Cjenik VSO'!$C$9:$C$85)</f>
        <v>328.73</v>
      </c>
      <c r="G1061" s="46">
        <f t="shared" si="6"/>
        <v>0.10114769230769231</v>
      </c>
      <c r="H1061" s="560">
        <v>4</v>
      </c>
      <c r="I1061" s="56"/>
      <c r="J1061" s="834" t="s">
        <v>60</v>
      </c>
      <c r="K1061" s="834"/>
      <c r="L1061" s="57" t="s">
        <v>51</v>
      </c>
      <c r="M1061" s="58">
        <v>2.31E-4</v>
      </c>
      <c r="N1061" s="263">
        <f>SUMIF('Cjenik VSO'!$B$9:$B$85,$B1061,'Cjenik VSO'!$C$9:$C$85)</f>
        <v>328.73</v>
      </c>
      <c r="O1061" s="60">
        <f t="shared" si="7"/>
        <v>7.5936630000000005E-2</v>
      </c>
    </row>
    <row r="1062" spans="1:15" ht="25.15" customHeight="1">
      <c r="A1062" s="16"/>
      <c r="B1062" s="838" t="s">
        <v>61</v>
      </c>
      <c r="C1062" s="838"/>
      <c r="D1062" s="44" t="s">
        <v>51</v>
      </c>
      <c r="E1062" s="104">
        <f>H1062/H1052</f>
        <v>3.076923076923077E-4</v>
      </c>
      <c r="F1062" s="238">
        <f>SUMIF('Cjenik VSO'!$B$9:$B$85,$B1062,'Cjenik VSO'!$C$9:$C$85)</f>
        <v>62.67</v>
      </c>
      <c r="G1062" s="46">
        <f t="shared" si="6"/>
        <v>1.9283076923076924E-2</v>
      </c>
      <c r="H1062" s="560">
        <v>4</v>
      </c>
      <c r="I1062" s="61"/>
      <c r="J1062" s="864" t="s">
        <v>61</v>
      </c>
      <c r="K1062" s="864"/>
      <c r="L1062" s="62" t="s">
        <v>51</v>
      </c>
      <c r="M1062" s="63">
        <v>2.0000000000000001E-4</v>
      </c>
      <c r="N1062" s="261">
        <f>SUMIF('Cjenik VSO'!$B$9:$B$85,$B1062,'Cjenik VSO'!$C$9:$C$85)</f>
        <v>62.67</v>
      </c>
      <c r="O1062" s="65">
        <f t="shared" si="7"/>
        <v>1.2534000000000002E-2</v>
      </c>
    </row>
    <row r="1063" spans="1:15" ht="25.15" customHeight="1">
      <c r="A1063" s="16"/>
      <c r="B1063" s="837" t="str">
        <f>'Obrazac kalkulacije'!$B$15</f>
        <v>Materijali:</v>
      </c>
      <c r="C1063" s="837"/>
      <c r="D1063" s="16"/>
      <c r="E1063" s="16"/>
      <c r="F1063" s="238"/>
      <c r="G1063" s="18">
        <f>SUM(G1064:G1066)</f>
        <v>0</v>
      </c>
      <c r="I1063" s="16"/>
      <c r="J1063" s="837" t="str">
        <f>'Obrazac kalkulacije'!$B$15</f>
        <v>Materijali:</v>
      </c>
      <c r="K1063" s="837"/>
      <c r="L1063" s="16"/>
      <c r="M1063" s="16"/>
      <c r="N1063" s="238"/>
      <c r="O1063" s="18">
        <f>SUM(O1064:O1066)</f>
        <v>0</v>
      </c>
    </row>
    <row r="1064" spans="1:15" ht="25.15" customHeight="1">
      <c r="A1064" s="16"/>
      <c r="B1064" s="838">
        <f>'Cjenik M'!$B$72</f>
        <v>0</v>
      </c>
      <c r="C1064" s="838"/>
      <c r="D1064" s="44">
        <f>'Cjenik M'!$C$72</f>
        <v>0</v>
      </c>
      <c r="E1064" s="45">
        <v>0.186</v>
      </c>
      <c r="F1064" s="238">
        <f>'Cjenik M'!$D$72</f>
        <v>0</v>
      </c>
      <c r="G1064" s="46">
        <f>E1064*F1064</f>
        <v>0</v>
      </c>
      <c r="I1064" s="51"/>
      <c r="J1064" s="863">
        <f>'Cjenik M'!$B$72</f>
        <v>0</v>
      </c>
      <c r="K1064" s="863"/>
      <c r="L1064" s="52">
        <f>'Cjenik M'!$C$72</f>
        <v>0</v>
      </c>
      <c r="M1064" s="53">
        <v>0.186</v>
      </c>
      <c r="N1064" s="260">
        <f>'Cjenik M'!$D$72</f>
        <v>0</v>
      </c>
      <c r="O1064" s="55">
        <f>M1064*N1064</f>
        <v>0</v>
      </c>
    </row>
    <row r="1065" spans="1:15" ht="25.15" customHeight="1">
      <c r="A1065" s="16"/>
      <c r="B1065" s="838">
        <f>'Cjenik M'!$B$103</f>
        <v>0</v>
      </c>
      <c r="C1065" s="838"/>
      <c r="D1065" s="44">
        <f>'Cjenik M'!$C$103</f>
        <v>0</v>
      </c>
      <c r="E1065" s="45">
        <v>0.12</v>
      </c>
      <c r="F1065" s="238">
        <f>'Cjenik M'!$D$103</f>
        <v>0</v>
      </c>
      <c r="G1065" s="46">
        <f>E1065*F1065</f>
        <v>0</v>
      </c>
      <c r="I1065" s="56"/>
      <c r="J1065" s="834">
        <f>'Cjenik M'!$B$103</f>
        <v>0</v>
      </c>
      <c r="K1065" s="834"/>
      <c r="L1065" s="57">
        <f>'Cjenik M'!$C$103</f>
        <v>0</v>
      </c>
      <c r="M1065" s="58">
        <v>0.12</v>
      </c>
      <c r="N1065" s="263">
        <f>'Cjenik M'!$D$103</f>
        <v>0</v>
      </c>
      <c r="O1065" s="60">
        <f>M1065*N1065</f>
        <v>0</v>
      </c>
    </row>
    <row r="1066" spans="1:15" ht="25.15" customHeight="1" thickBot="1">
      <c r="A1066" s="16"/>
      <c r="B1066" s="838">
        <f>'Cjenik M'!$B$74</f>
        <v>0</v>
      </c>
      <c r="C1066" s="838"/>
      <c r="D1066" s="44">
        <f>'Cjenik M'!$C$74</f>
        <v>0</v>
      </c>
      <c r="E1066" s="45">
        <v>2.1578E-2</v>
      </c>
      <c r="F1066" s="238">
        <f>'Cjenik M'!$D$74</f>
        <v>0</v>
      </c>
      <c r="G1066" s="46">
        <f>E1066*F1066</f>
        <v>0</v>
      </c>
      <c r="I1066" s="66"/>
      <c r="J1066" s="834">
        <f>'Cjenik M'!$B$74</f>
        <v>0</v>
      </c>
      <c r="K1066" s="834"/>
      <c r="L1066" s="57">
        <f>'Cjenik M'!$C$74</f>
        <v>0</v>
      </c>
      <c r="M1066" s="58">
        <v>2.1578E-2</v>
      </c>
      <c r="N1066" s="263">
        <f>'Cjenik M'!$D$74</f>
        <v>0</v>
      </c>
      <c r="O1066" s="60">
        <f>M1066*N1066</f>
        <v>0</v>
      </c>
    </row>
    <row r="1067" spans="1:15" ht="25.15" customHeight="1" thickTop="1" thickBot="1">
      <c r="E1067" s="868" t="str">
        <f>'Obrazac kalkulacije'!$E$18</f>
        <v>Ukupno (kn):</v>
      </c>
      <c r="F1067" s="868"/>
      <c r="G1067" s="71">
        <f>ROUND(SUM(G1054+G1056+G1063),2)</f>
        <v>0.7</v>
      </c>
      <c r="H1067" s="269" t="e">
        <f>SUMIF(#REF!,$B1050,#REF!)</f>
        <v>#REF!</v>
      </c>
      <c r="J1067" s="47"/>
      <c r="K1067" s="24"/>
      <c r="L1067" s="25"/>
      <c r="M1067" s="850" t="str">
        <f>'Obrazac kalkulacije'!$E$18</f>
        <v>Ukupno (kn):</v>
      </c>
      <c r="N1067" s="850"/>
      <c r="O1067" s="26">
        <f>ROUND(SUM(O1054+O1056+O1063),2)</f>
        <v>0.45</v>
      </c>
    </row>
    <row r="1068" spans="1:15" ht="25.15" customHeight="1" thickTop="1" thickBot="1">
      <c r="E1068" s="27" t="str">
        <f>'Obrazac kalkulacije'!$E$19</f>
        <v>PDV:</v>
      </c>
      <c r="F1068" s="259">
        <f>'Obrazac kalkulacije'!$F$19</f>
        <v>0.25</v>
      </c>
      <c r="G1068" s="29">
        <f>G1067*F1068</f>
        <v>0.17499999999999999</v>
      </c>
      <c r="H1068" s="270" t="e">
        <f>H1067-G1067</f>
        <v>#REF!</v>
      </c>
      <c r="M1068" s="27" t="str">
        <f>'Obrazac kalkulacije'!$E$19</f>
        <v>PDV:</v>
      </c>
      <c r="N1068" s="259">
        <f>'Obrazac kalkulacije'!$F$19</f>
        <v>0.25</v>
      </c>
      <c r="O1068" s="29">
        <f>O1067*N1068</f>
        <v>0.1125</v>
      </c>
    </row>
    <row r="1069" spans="1:15" ht="25.15" customHeight="1" thickTop="1" thickBot="1">
      <c r="E1069" s="840" t="str">
        <f>'Obrazac kalkulacije'!$E$20</f>
        <v>Sveukupno (kn):</v>
      </c>
      <c r="F1069" s="840"/>
      <c r="G1069" s="29">
        <f>ROUND(SUM(G1067:G1068),2)</f>
        <v>0.88</v>
      </c>
      <c r="H1069" s="271" t="e">
        <f>G1057+H1068</f>
        <v>#REF!</v>
      </c>
      <c r="M1069" s="840" t="str">
        <f>'Obrazac kalkulacije'!$E$20</f>
        <v>Sveukupno (kn):</v>
      </c>
      <c r="N1069" s="840"/>
      <c r="O1069" s="29">
        <f>ROUND(SUM(O1067:O1068),2)</f>
        <v>0.56000000000000005</v>
      </c>
    </row>
    <row r="1070" spans="1:15" ht="15" customHeight="1" thickTop="1"/>
    <row r="1071" spans="1:15" ht="15" customHeight="1"/>
    <row r="1072" spans="1:15" ht="15" customHeight="1"/>
    <row r="1073" spans="1:15" ht="15" customHeight="1">
      <c r="C1073" s="3" t="str">
        <f>'Obrazac kalkulacije'!$C$24</f>
        <v>IZVODITELJ:</v>
      </c>
      <c r="F1073" s="841" t="str">
        <f>'Obrazac kalkulacije'!$F$24</f>
        <v>NARUČITELJ:</v>
      </c>
      <c r="G1073" s="841"/>
      <c r="K1073" s="3" t="str">
        <f>'Obrazac kalkulacije'!$C$24</f>
        <v>IZVODITELJ:</v>
      </c>
      <c r="N1073" s="841" t="str">
        <f>'Obrazac kalkulacije'!$F$24</f>
        <v>NARUČITELJ:</v>
      </c>
      <c r="O1073" s="841"/>
    </row>
    <row r="1074" spans="1:15" ht="25.15" customHeight="1">
      <c r="C1074" s="3" t="str">
        <f>'Obrazac kalkulacije'!$C$25</f>
        <v>__________________</v>
      </c>
      <c r="F1074" s="841" t="str">
        <f>'Obrazac kalkulacije'!$F$25</f>
        <v>___________________</v>
      </c>
      <c r="G1074" s="841"/>
      <c r="K1074" s="3" t="str">
        <f>'Obrazac kalkulacije'!$C$25</f>
        <v>__________________</v>
      </c>
      <c r="N1074" s="841" t="str">
        <f>'Obrazac kalkulacije'!$F$25</f>
        <v>___________________</v>
      </c>
      <c r="O1074" s="841"/>
    </row>
    <row r="1075" spans="1:15" ht="15" customHeight="1">
      <c r="F1075" s="841"/>
      <c r="G1075" s="841"/>
      <c r="N1075" s="841"/>
      <c r="O1075" s="841"/>
    </row>
    <row r="1076" spans="1:15" ht="15" customHeight="1"/>
    <row r="1077" spans="1:15" ht="15" customHeight="1">
      <c r="A1077" s="144"/>
      <c r="B1077" s="145" t="s">
        <v>39</v>
      </c>
      <c r="C1077" s="836" t="s">
        <v>360</v>
      </c>
      <c r="D1077" s="836"/>
      <c r="E1077" s="836"/>
      <c r="F1077" s="836"/>
      <c r="G1077" s="836"/>
      <c r="I1077" s="144"/>
      <c r="J1077" s="145" t="s">
        <v>39</v>
      </c>
      <c r="K1077" s="836" t="s">
        <v>360</v>
      </c>
      <c r="L1077" s="836"/>
      <c r="M1077" s="836"/>
      <c r="N1077" s="836"/>
      <c r="O1077" s="836"/>
    </row>
    <row r="1078" spans="1:15" ht="15" customHeight="1">
      <c r="A1078" s="38"/>
      <c r="B1078" s="39" t="s">
        <v>46</v>
      </c>
      <c r="C1078" s="860" t="s">
        <v>470</v>
      </c>
      <c r="D1078" s="860"/>
      <c r="E1078" s="860"/>
      <c r="F1078" s="860"/>
      <c r="G1078" s="860"/>
      <c r="I1078" s="38"/>
      <c r="J1078" s="39" t="s">
        <v>46</v>
      </c>
      <c r="K1078" s="860" t="s">
        <v>470</v>
      </c>
      <c r="L1078" s="860"/>
      <c r="M1078" s="860"/>
      <c r="N1078" s="860"/>
      <c r="O1078" s="860"/>
    </row>
    <row r="1079" spans="1:15" ht="15" customHeight="1">
      <c r="A1079" s="48"/>
      <c r="B1079" s="49" t="s">
        <v>47</v>
      </c>
      <c r="C1079" s="883" t="s">
        <v>471</v>
      </c>
      <c r="D1079" s="883"/>
      <c r="E1079" s="883"/>
      <c r="F1079" s="883"/>
      <c r="G1079" s="883"/>
      <c r="I1079" s="48"/>
      <c r="J1079" s="49" t="s">
        <v>47</v>
      </c>
      <c r="K1079" s="883" t="s">
        <v>471</v>
      </c>
      <c r="L1079" s="883"/>
      <c r="M1079" s="883"/>
      <c r="N1079" s="883"/>
      <c r="O1079" s="883"/>
    </row>
    <row r="1080" spans="1:15" ht="15" customHeight="1">
      <c r="A1080" s="95"/>
      <c r="B1080" s="96" t="s">
        <v>496</v>
      </c>
      <c r="C1080" s="882" t="s">
        <v>497</v>
      </c>
      <c r="D1080" s="882"/>
      <c r="E1080" s="882"/>
      <c r="F1080" s="882"/>
      <c r="G1080" s="882"/>
      <c r="I1080" s="95"/>
      <c r="J1080" s="96" t="s">
        <v>496</v>
      </c>
      <c r="K1080" s="882" t="s">
        <v>497</v>
      </c>
      <c r="L1080" s="882"/>
      <c r="M1080" s="882"/>
      <c r="N1080" s="882"/>
      <c r="O1080" s="882"/>
    </row>
    <row r="1081" spans="1:15" ht="150" customHeight="1">
      <c r="A1081" s="40"/>
      <c r="B1081" s="556" t="s">
        <v>498</v>
      </c>
      <c r="C1081" s="852" t="s">
        <v>499</v>
      </c>
      <c r="D1081" s="852"/>
      <c r="E1081" s="852"/>
      <c r="F1081" s="852"/>
      <c r="G1081" s="852"/>
      <c r="I1081" s="40"/>
      <c r="J1081" s="41" t="s">
        <v>500</v>
      </c>
      <c r="K1081" s="869" t="s">
        <v>499</v>
      </c>
      <c r="L1081" s="869"/>
      <c r="M1081" s="869"/>
      <c r="N1081" s="869"/>
      <c r="O1081" s="869"/>
    </row>
    <row r="1082" spans="1:15" ht="15" customHeight="1" thickBot="1"/>
    <row r="1083" spans="1:15" ht="30" customHeight="1" thickTop="1" thickBot="1">
      <c r="A1083" s="10"/>
      <c r="B1083" s="835" t="str">
        <f>'Obrazac kalkulacije'!$B$6:$C$6</f>
        <v>Opis</v>
      </c>
      <c r="C1083" s="835"/>
      <c r="D1083" s="10" t="str">
        <f>'Obrazac kalkulacije'!$D$6</f>
        <v>Jed.
mjere</v>
      </c>
      <c r="E1083" s="10" t="str">
        <f>'Obrazac kalkulacije'!$E$6</f>
        <v>Normativ</v>
      </c>
      <c r="F1083" s="10" t="str">
        <f>'Obrazac kalkulacije'!$F$6</f>
        <v>Jed.
cijena</v>
      </c>
      <c r="G1083" s="10" t="str">
        <f>'Obrazac kalkulacije'!$G$6</f>
        <v>Iznos</v>
      </c>
      <c r="H1083" s="622">
        <v>13000</v>
      </c>
      <c r="I1083" s="10"/>
      <c r="J1083" s="835" t="e">
        <f>'Obrazac kalkulacije'!$B$6:$C$6</f>
        <v>#VALUE!</v>
      </c>
      <c r="K1083" s="835"/>
      <c r="L1083" s="10" t="str">
        <f>'Obrazac kalkulacije'!$D$6</f>
        <v>Jed.
mjere</v>
      </c>
      <c r="M1083" s="10" t="str">
        <f>'Obrazac kalkulacije'!$E$6</f>
        <v>Normativ</v>
      </c>
      <c r="N1083" s="10" t="str">
        <f>'Obrazac kalkulacije'!$F$6</f>
        <v>Jed.
cijena</v>
      </c>
      <c r="O1083" s="10" t="str">
        <f>'Obrazac kalkulacije'!$G$6</f>
        <v>Iznos</v>
      </c>
    </row>
    <row r="1084" spans="1:15" ht="4.5" customHeight="1" thickTop="1">
      <c r="B1084" s="42"/>
      <c r="C1084" s="1"/>
      <c r="D1084" s="11"/>
      <c r="E1084" s="13"/>
      <c r="F1084" s="258"/>
      <c r="G1084" s="15"/>
      <c r="H1084" s="3"/>
      <c r="J1084" s="42"/>
      <c r="K1084" s="1"/>
      <c r="L1084" s="11"/>
      <c r="M1084" s="13"/>
      <c r="N1084" s="258"/>
      <c r="O1084" s="15"/>
    </row>
    <row r="1085" spans="1:15" ht="25.15" customHeight="1">
      <c r="A1085" s="16"/>
      <c r="B1085" s="837" t="str">
        <f>'Obrazac kalkulacije'!$B$8</f>
        <v>Radna snaga:</v>
      </c>
      <c r="C1085" s="837"/>
      <c r="D1085" s="16"/>
      <c r="E1085" s="16"/>
      <c r="F1085" s="44"/>
      <c r="G1085" s="18">
        <f>SUM(G1086:G1086)</f>
        <v>0.25853538461538461</v>
      </c>
      <c r="H1085" s="3"/>
      <c r="I1085" s="16"/>
      <c r="J1085" s="837" t="str">
        <f>'Obrazac kalkulacije'!$B$8</f>
        <v>Radna snaga:</v>
      </c>
      <c r="K1085" s="837"/>
      <c r="L1085" s="16"/>
      <c r="M1085" s="16"/>
      <c r="N1085" s="44"/>
      <c r="O1085" s="18">
        <f>SUM(O1086:O1086)</f>
        <v>0.14000499</v>
      </c>
    </row>
    <row r="1086" spans="1:15" ht="25.15" customHeight="1">
      <c r="A1086" s="32"/>
      <c r="B1086" s="854" t="s">
        <v>57</v>
      </c>
      <c r="C1086" s="854"/>
      <c r="D1086" s="637" t="s">
        <v>51</v>
      </c>
      <c r="E1086" s="104">
        <f>H1086/H1083</f>
        <v>2.4615384615384616E-3</v>
      </c>
      <c r="F1086" s="238">
        <f>SUMIF('Cjenik RS'!$C$11:$C$26,$B1086,'Cjenik RS'!$D$11:$D$90)</f>
        <v>105.03</v>
      </c>
      <c r="G1086" s="46">
        <f>+F1086*E1086</f>
        <v>0.25853538461538461</v>
      </c>
      <c r="H1086" s="560">
        <v>32</v>
      </c>
      <c r="I1086" s="32"/>
      <c r="J1086" s="854" t="s">
        <v>57</v>
      </c>
      <c r="K1086" s="854"/>
      <c r="L1086" s="33" t="s">
        <v>51</v>
      </c>
      <c r="M1086" s="34">
        <v>1.333E-3</v>
      </c>
      <c r="N1086" s="44">
        <f>SUMIF('Cjenik RS'!$C$11:$C$26,J1086,'Cjenik RS'!$D$11:$D$90)</f>
        <v>105.03</v>
      </c>
      <c r="O1086" s="35">
        <f>+N1086*M1086</f>
        <v>0.14000499</v>
      </c>
    </row>
    <row r="1087" spans="1:15" ht="25.15" customHeight="1">
      <c r="A1087" s="16"/>
      <c r="B1087" s="837" t="str">
        <f>'Obrazac kalkulacije'!$B$11</f>
        <v>Vozila, strojevi i oprema:</v>
      </c>
      <c r="C1087" s="837"/>
      <c r="D1087" s="16"/>
      <c r="E1087" s="16"/>
      <c r="F1087" s="238">
        <f>'Obrazac kalkulacije'!$F$11</f>
        <v>0</v>
      </c>
      <c r="G1087" s="18">
        <f>SUM(G1088:G1091)</f>
        <v>0.25732384615384618</v>
      </c>
      <c r="I1087" s="16"/>
      <c r="J1087" s="837" t="str">
        <f>'Obrazac kalkulacije'!$B$11</f>
        <v>Vozila, strojevi i oprema:</v>
      </c>
      <c r="K1087" s="837"/>
      <c r="L1087" s="16"/>
      <c r="M1087" s="16"/>
      <c r="N1087" s="238">
        <f>'Obrazac kalkulacije'!$F$11</f>
        <v>0</v>
      </c>
      <c r="O1087" s="18">
        <f>SUM(O1088:O1091)</f>
        <v>0.22481730000000003</v>
      </c>
    </row>
    <row r="1088" spans="1:15" ht="25.15" customHeight="1">
      <c r="A1088" s="16"/>
      <c r="B1088" s="838" t="s">
        <v>477</v>
      </c>
      <c r="C1088" s="838"/>
      <c r="D1088" s="44" t="s">
        <v>51</v>
      </c>
      <c r="E1088" s="104">
        <f>H1088/H1083</f>
        <v>3.8461538461538462E-4</v>
      </c>
      <c r="F1088" s="238">
        <f>SUMIF('Cjenik VSO'!$B$9:$B$85,$B1088,'Cjenik VSO'!$C$9:$C$85)</f>
        <v>290.85000000000002</v>
      </c>
      <c r="G1088" s="46">
        <f>E1088*F1088</f>
        <v>0.11186538461538463</v>
      </c>
      <c r="H1088" s="560">
        <v>5</v>
      </c>
      <c r="I1088" s="51"/>
      <c r="J1088" s="863" t="s">
        <v>477</v>
      </c>
      <c r="K1088" s="863"/>
      <c r="L1088" s="52" t="s">
        <v>51</v>
      </c>
      <c r="M1088" s="53">
        <v>4.44E-4</v>
      </c>
      <c r="N1088" s="260">
        <f>SUMIF('Cjenik VSO'!$B$9:$B$85,$B1088,'Cjenik VSO'!$C$9:$C$85)</f>
        <v>290.85000000000002</v>
      </c>
      <c r="O1088" s="55">
        <f>M1088*N1088</f>
        <v>0.12913740000000001</v>
      </c>
    </row>
    <row r="1089" spans="1:15" ht="25.15" customHeight="1">
      <c r="A1089" s="16"/>
      <c r="B1089" s="838" t="s">
        <v>478</v>
      </c>
      <c r="C1089" s="838"/>
      <c r="D1089" s="44" t="s">
        <v>51</v>
      </c>
      <c r="E1089" s="104">
        <f>H1089/H1083</f>
        <v>2.3076923076923076E-4</v>
      </c>
      <c r="F1089" s="238">
        <f>SUMIF('Cjenik VSO'!$B$9:$B$85,$B1089,'Cjenik VSO'!$C$9:$C$85)</f>
        <v>123.97</v>
      </c>
      <c r="G1089" s="46">
        <f>E1089*F1089</f>
        <v>2.8608461538461537E-2</v>
      </c>
      <c r="H1089" s="560">
        <v>3</v>
      </c>
      <c r="I1089" s="51"/>
      <c r="J1089" s="863"/>
      <c r="K1089" s="863"/>
      <c r="L1089" s="52"/>
      <c r="M1089" s="53"/>
      <c r="N1089" s="260"/>
      <c r="O1089" s="55">
        <f>M1089*N1089</f>
        <v>0</v>
      </c>
    </row>
    <row r="1090" spans="1:15" ht="25.15" customHeight="1">
      <c r="A1090" s="16"/>
      <c r="B1090" s="838" t="s">
        <v>183</v>
      </c>
      <c r="C1090" s="838"/>
      <c r="D1090" s="44" t="s">
        <v>51</v>
      </c>
      <c r="E1090" s="104">
        <f>H1090/H1083</f>
        <v>1.9230769230769231E-4</v>
      </c>
      <c r="F1090" s="238">
        <f>SUMIF('Cjenik VSO'!$B$9:$B$85,$B1090,'Cjenik VSO'!$C$9:$C$85)</f>
        <v>32.9</v>
      </c>
      <c r="G1090" s="46">
        <f>E1090*F1090</f>
        <v>6.3269230769230763E-3</v>
      </c>
      <c r="H1090" s="560">
        <v>2.5</v>
      </c>
      <c r="I1090" s="56"/>
      <c r="J1090" s="834" t="s">
        <v>183</v>
      </c>
      <c r="K1090" s="834"/>
      <c r="L1090" s="57" t="s">
        <v>51</v>
      </c>
      <c r="M1090" s="58">
        <v>7.4999999999999993E-5</v>
      </c>
      <c r="N1090" s="263">
        <f>SUMIF('Cjenik VSO'!$B$9:$B$85,$B1090,'Cjenik VSO'!$C$9:$C$85)</f>
        <v>32.9</v>
      </c>
      <c r="O1090" s="60">
        <f>M1090*N1090</f>
        <v>2.4674999999999996E-3</v>
      </c>
    </row>
    <row r="1091" spans="1:15" ht="25.15" customHeight="1">
      <c r="A1091" s="16"/>
      <c r="B1091" s="838" t="s">
        <v>69</v>
      </c>
      <c r="C1091" s="838"/>
      <c r="D1091" s="44" t="s">
        <v>51</v>
      </c>
      <c r="E1091" s="104">
        <f>H1091/H1083</f>
        <v>6.1538461538461541E-4</v>
      </c>
      <c r="F1091" s="238">
        <f>SUMIF('Cjenik VSO'!$B$9:$B$85,$B1091,'Cjenik VSO'!$C$9:$C$85)</f>
        <v>179.6</v>
      </c>
      <c r="G1091" s="46">
        <f>E1091*F1091</f>
        <v>0.11052307692307692</v>
      </c>
      <c r="H1091" s="560">
        <v>8</v>
      </c>
      <c r="I1091" s="61"/>
      <c r="J1091" s="864" t="s">
        <v>69</v>
      </c>
      <c r="K1091" s="864"/>
      <c r="L1091" s="62" t="s">
        <v>51</v>
      </c>
      <c r="M1091" s="63">
        <v>5.1900000000000004E-4</v>
      </c>
      <c r="N1091" s="261">
        <f>SUMIF('Cjenik VSO'!$B$9:$B$85,$B1091,'Cjenik VSO'!$C$9:$C$85)</f>
        <v>179.6</v>
      </c>
      <c r="O1091" s="65">
        <f>M1091*N1091</f>
        <v>9.3212400000000001E-2</v>
      </c>
    </row>
    <row r="1092" spans="1:15" ht="25.15" customHeight="1">
      <c r="A1092" s="16"/>
      <c r="B1092" s="837" t="str">
        <f>'Obrazac kalkulacije'!$B$15</f>
        <v>Materijali:</v>
      </c>
      <c r="C1092" s="837"/>
      <c r="D1092" s="16"/>
      <c r="E1092" s="16"/>
      <c r="F1092" s="238"/>
      <c r="G1092" s="18">
        <f>SUM(G1093:G1095)</f>
        <v>0</v>
      </c>
      <c r="H1092" s="560">
        <f>E1092*H1083</f>
        <v>0</v>
      </c>
      <c r="I1092" s="16"/>
      <c r="J1092" s="837" t="str">
        <f>'Obrazac kalkulacije'!$B$15</f>
        <v>Materijali:</v>
      </c>
      <c r="K1092" s="837"/>
      <c r="L1092" s="16"/>
      <c r="M1092" s="16"/>
      <c r="N1092" s="238"/>
      <c r="O1092" s="18">
        <f>SUM(O1093:O1095)</f>
        <v>0</v>
      </c>
    </row>
    <row r="1093" spans="1:15" ht="25.15" customHeight="1">
      <c r="A1093" s="16"/>
      <c r="B1093" s="838">
        <f>'Cjenik M'!$B$72</f>
        <v>0</v>
      </c>
      <c r="C1093" s="838"/>
      <c r="D1093" s="44">
        <f>'Cjenik M'!$C$72</f>
        <v>0</v>
      </c>
      <c r="E1093" s="45">
        <v>3.7199999999999997E-2</v>
      </c>
      <c r="F1093" s="238">
        <f>'Cjenik M'!$D$72</f>
        <v>0</v>
      </c>
      <c r="G1093" s="46">
        <f>E1093*F1093</f>
        <v>0</v>
      </c>
      <c r="H1093" s="560"/>
      <c r="I1093" s="51"/>
      <c r="J1093" s="863">
        <f>'Cjenik M'!$B$72</f>
        <v>0</v>
      </c>
      <c r="K1093" s="863"/>
      <c r="L1093" s="52">
        <f>'Cjenik M'!$C$72</f>
        <v>0</v>
      </c>
      <c r="M1093" s="53">
        <v>3.7199999999999997E-2</v>
      </c>
      <c r="N1093" s="260">
        <f>'Cjenik M'!$D$72</f>
        <v>0</v>
      </c>
      <c r="O1093" s="55">
        <f>M1093*N1093</f>
        <v>0</v>
      </c>
    </row>
    <row r="1094" spans="1:15" ht="25.15" customHeight="1">
      <c r="A1094" s="16"/>
      <c r="B1094" s="838">
        <f>'Cjenik M'!$B$102</f>
        <v>0</v>
      </c>
      <c r="C1094" s="838"/>
      <c r="D1094" s="44">
        <f>'Cjenik M'!$C$102</f>
        <v>0</v>
      </c>
      <c r="E1094" s="45">
        <v>1.95E-2</v>
      </c>
      <c r="F1094" s="238">
        <f>'Cjenik M'!$D$102</f>
        <v>0</v>
      </c>
      <c r="G1094" s="46">
        <f>E1094*F1094</f>
        <v>0</v>
      </c>
      <c r="I1094" s="56"/>
      <c r="J1094" s="834">
        <f>'Cjenik M'!$B$102</f>
        <v>0</v>
      </c>
      <c r="K1094" s="834"/>
      <c r="L1094" s="57">
        <f>'Cjenik M'!$C$102</f>
        <v>0</v>
      </c>
      <c r="M1094" s="58">
        <v>1.95E-2</v>
      </c>
      <c r="N1094" s="263">
        <f>'Cjenik M'!$D$102</f>
        <v>0</v>
      </c>
      <c r="O1094" s="60">
        <f>M1094*N1094</f>
        <v>0</v>
      </c>
    </row>
    <row r="1095" spans="1:15" ht="25.15" customHeight="1" thickBot="1">
      <c r="A1095" s="16"/>
      <c r="B1095" s="838">
        <f>'Cjenik M'!$B$74</f>
        <v>0</v>
      </c>
      <c r="C1095" s="838"/>
      <c r="D1095" s="44">
        <f>'Cjenik M'!$C$74</f>
        <v>0</v>
      </c>
      <c r="E1095" s="45">
        <v>4.3160000000000004E-3</v>
      </c>
      <c r="F1095" s="238">
        <f>'Cjenik M'!$D$74</f>
        <v>0</v>
      </c>
      <c r="G1095" s="46">
        <f>E1095*F1095</f>
        <v>0</v>
      </c>
      <c r="I1095" s="66"/>
      <c r="J1095" s="834">
        <f>'Cjenik M'!$B$74</f>
        <v>0</v>
      </c>
      <c r="K1095" s="834"/>
      <c r="L1095" s="57">
        <f>'Cjenik M'!$C$74</f>
        <v>0</v>
      </c>
      <c r="M1095" s="58">
        <v>4.3160000000000004E-3</v>
      </c>
      <c r="N1095" s="263">
        <f>'Cjenik M'!$D$74</f>
        <v>0</v>
      </c>
      <c r="O1095" s="60">
        <f>M1095*N1095</f>
        <v>0</v>
      </c>
    </row>
    <row r="1096" spans="1:15" ht="25.15" customHeight="1" thickTop="1" thickBot="1">
      <c r="E1096" s="868" t="str">
        <f>'Obrazac kalkulacije'!$E$18</f>
        <v>Ukupno (kn):</v>
      </c>
      <c r="F1096" s="868"/>
      <c r="G1096" s="71">
        <f>ROUND(SUM(G1085+G1087+G1092),2)</f>
        <v>0.52</v>
      </c>
      <c r="H1096" s="269" t="e">
        <f>SUMIF(#REF!,$B1081,#REF!)</f>
        <v>#REF!</v>
      </c>
      <c r="J1096" s="47"/>
      <c r="K1096" s="24"/>
      <c r="L1096" s="25"/>
      <c r="M1096" s="850" t="str">
        <f>'Obrazac kalkulacije'!$E$18</f>
        <v>Ukupno (kn):</v>
      </c>
      <c r="N1096" s="850"/>
      <c r="O1096" s="26">
        <f>ROUND(SUM(O1085+O1087+O1092),2)</f>
        <v>0.36</v>
      </c>
    </row>
    <row r="1097" spans="1:15" ht="25.15" customHeight="1" thickTop="1" thickBot="1">
      <c r="E1097" s="27" t="str">
        <f>'Obrazac kalkulacije'!$E$19</f>
        <v>PDV:</v>
      </c>
      <c r="F1097" s="259">
        <f>'Obrazac kalkulacije'!$F$19</f>
        <v>0.25</v>
      </c>
      <c r="G1097" s="29">
        <f>G1096*F1097</f>
        <v>0.13</v>
      </c>
      <c r="H1097" s="270" t="e">
        <f>H1096-G1096</f>
        <v>#REF!</v>
      </c>
      <c r="M1097" s="27" t="str">
        <f>'Obrazac kalkulacije'!$E$19</f>
        <v>PDV:</v>
      </c>
      <c r="N1097" s="259">
        <f>'Obrazac kalkulacije'!$F$19</f>
        <v>0.25</v>
      </c>
      <c r="O1097" s="29">
        <f>O1096*N1097</f>
        <v>0.09</v>
      </c>
    </row>
    <row r="1098" spans="1:15" ht="25.15" customHeight="1" thickTop="1" thickBot="1">
      <c r="E1098" s="840" t="str">
        <f>'Obrazac kalkulacije'!$E$20</f>
        <v>Sveukupno (kn):</v>
      </c>
      <c r="F1098" s="840"/>
      <c r="G1098" s="29">
        <f>ROUND(SUM(G1096:G1097),2)</f>
        <v>0.65</v>
      </c>
      <c r="H1098" s="271" t="e">
        <f>G1088+H1097</f>
        <v>#REF!</v>
      </c>
      <c r="M1098" s="840" t="str">
        <f>'Obrazac kalkulacije'!$E$20</f>
        <v>Sveukupno (kn):</v>
      </c>
      <c r="N1098" s="840"/>
      <c r="O1098" s="29">
        <f>ROUND(SUM(O1096:O1097),2)</f>
        <v>0.45</v>
      </c>
    </row>
    <row r="1099" spans="1:15" ht="15" customHeight="1" thickTop="1"/>
    <row r="1100" spans="1:15" ht="15" customHeight="1"/>
    <row r="1101" spans="1:15" ht="15" customHeight="1"/>
    <row r="1102" spans="1:15" ht="15" customHeight="1">
      <c r="C1102" s="3" t="str">
        <f>'Obrazac kalkulacije'!$C$24</f>
        <v>IZVODITELJ:</v>
      </c>
      <c r="F1102" s="841" t="str">
        <f>'Obrazac kalkulacije'!$F$24</f>
        <v>NARUČITELJ:</v>
      </c>
      <c r="G1102" s="841"/>
      <c r="K1102" s="3" t="str">
        <f>'Obrazac kalkulacije'!$C$24</f>
        <v>IZVODITELJ:</v>
      </c>
      <c r="N1102" s="841" t="str">
        <f>'Obrazac kalkulacije'!$F$24</f>
        <v>NARUČITELJ:</v>
      </c>
      <c r="O1102" s="841"/>
    </row>
    <row r="1103" spans="1:15" ht="25.15" customHeight="1">
      <c r="C1103" s="3" t="str">
        <f>'Obrazac kalkulacije'!$C$25</f>
        <v>__________________</v>
      </c>
      <c r="F1103" s="841" t="str">
        <f>'Obrazac kalkulacije'!$F$25</f>
        <v>___________________</v>
      </c>
      <c r="G1103" s="841"/>
      <c r="K1103" s="3" t="str">
        <f>'Obrazac kalkulacije'!$C$25</f>
        <v>__________________</v>
      </c>
      <c r="N1103" s="841" t="str">
        <f>'Obrazac kalkulacije'!$F$25</f>
        <v>___________________</v>
      </c>
      <c r="O1103" s="841"/>
    </row>
    <row r="1104" spans="1:15" ht="15" customHeight="1">
      <c r="F1104" s="841"/>
      <c r="G1104" s="841"/>
      <c r="N1104" s="841"/>
      <c r="O1104" s="841"/>
    </row>
    <row r="1105" spans="1:15" ht="15" customHeight="1"/>
    <row r="1106" spans="1:15" ht="15" customHeight="1">
      <c r="A1106" s="144"/>
      <c r="B1106" s="145" t="s">
        <v>39</v>
      </c>
      <c r="C1106" s="836" t="s">
        <v>360</v>
      </c>
      <c r="D1106" s="836"/>
      <c r="E1106" s="836"/>
      <c r="F1106" s="836"/>
      <c r="G1106" s="836"/>
      <c r="I1106" s="144"/>
      <c r="J1106" s="145" t="s">
        <v>39</v>
      </c>
      <c r="K1106" s="836" t="s">
        <v>360</v>
      </c>
      <c r="L1106" s="836"/>
      <c r="M1106" s="836"/>
      <c r="N1106" s="836"/>
      <c r="O1106" s="836"/>
    </row>
    <row r="1107" spans="1:15" ht="15" customHeight="1">
      <c r="A1107" s="38"/>
      <c r="B1107" s="39" t="s">
        <v>46</v>
      </c>
      <c r="C1107" s="860" t="s">
        <v>470</v>
      </c>
      <c r="D1107" s="860"/>
      <c r="E1107" s="860"/>
      <c r="F1107" s="860"/>
      <c r="G1107" s="860"/>
      <c r="I1107" s="38"/>
      <c r="J1107" s="39" t="s">
        <v>46</v>
      </c>
      <c r="K1107" s="860" t="s">
        <v>470</v>
      </c>
      <c r="L1107" s="860"/>
      <c r="M1107" s="860"/>
      <c r="N1107" s="860"/>
      <c r="O1107" s="860"/>
    </row>
    <row r="1108" spans="1:15" ht="15" customHeight="1">
      <c r="A1108" s="48"/>
      <c r="B1108" s="49" t="s">
        <v>47</v>
      </c>
      <c r="C1108" s="883" t="s">
        <v>471</v>
      </c>
      <c r="D1108" s="883"/>
      <c r="E1108" s="883"/>
      <c r="F1108" s="883"/>
      <c r="G1108" s="883"/>
      <c r="I1108" s="48"/>
      <c r="J1108" s="49" t="s">
        <v>47</v>
      </c>
      <c r="K1108" s="883" t="s">
        <v>471</v>
      </c>
      <c r="L1108" s="883"/>
      <c r="M1108" s="883"/>
      <c r="N1108" s="883"/>
      <c r="O1108" s="883"/>
    </row>
    <row r="1109" spans="1:15" ht="15" customHeight="1">
      <c r="A1109" s="95"/>
      <c r="B1109" s="96" t="s">
        <v>496</v>
      </c>
      <c r="C1109" s="882" t="s">
        <v>497</v>
      </c>
      <c r="D1109" s="882"/>
      <c r="E1109" s="882"/>
      <c r="F1109" s="882"/>
      <c r="G1109" s="882"/>
      <c r="I1109" s="95"/>
      <c r="J1109" s="96" t="s">
        <v>496</v>
      </c>
      <c r="K1109" s="882" t="s">
        <v>497</v>
      </c>
      <c r="L1109" s="882"/>
      <c r="M1109" s="882"/>
      <c r="N1109" s="882"/>
      <c r="O1109" s="882"/>
    </row>
    <row r="1110" spans="1:15" ht="150" customHeight="1">
      <c r="A1110" s="40"/>
      <c r="B1110" s="556" t="s">
        <v>501</v>
      </c>
      <c r="C1110" s="852" t="s">
        <v>502</v>
      </c>
      <c r="D1110" s="852"/>
      <c r="E1110" s="852"/>
      <c r="F1110" s="852"/>
      <c r="G1110" s="852"/>
      <c r="I1110" s="40"/>
      <c r="J1110" s="41" t="s">
        <v>503</v>
      </c>
      <c r="K1110" s="869" t="s">
        <v>502</v>
      </c>
      <c r="L1110" s="869"/>
      <c r="M1110" s="869"/>
      <c r="N1110" s="869"/>
      <c r="O1110" s="869"/>
    </row>
    <row r="1111" spans="1:15" ht="15" customHeight="1" thickBot="1"/>
    <row r="1112" spans="1:15" ht="30" customHeight="1" thickTop="1" thickBot="1">
      <c r="A1112" s="10"/>
      <c r="B1112" s="835" t="str">
        <f>'Obrazac kalkulacije'!$B$6:$C$6</f>
        <v>Opis</v>
      </c>
      <c r="C1112" s="835"/>
      <c r="D1112" s="10" t="str">
        <f>'Obrazac kalkulacije'!$D$6</f>
        <v>Jed.
mjere</v>
      </c>
      <c r="E1112" s="10" t="str">
        <f>'Obrazac kalkulacije'!$E$6</f>
        <v>Normativ</v>
      </c>
      <c r="F1112" s="10" t="str">
        <f>'Obrazac kalkulacije'!$F$6</f>
        <v>Jed.
cijena</v>
      </c>
      <c r="G1112" s="10" t="str">
        <f>'Obrazac kalkulacije'!$G$6</f>
        <v>Iznos</v>
      </c>
      <c r="H1112" s="622">
        <v>13000</v>
      </c>
      <c r="I1112" s="10"/>
      <c r="J1112" s="835" t="e">
        <f>'Obrazac kalkulacije'!$B$6:$C$6</f>
        <v>#VALUE!</v>
      </c>
      <c r="K1112" s="835"/>
      <c r="L1112" s="10" t="str">
        <f>'Obrazac kalkulacije'!$D$6</f>
        <v>Jed.
mjere</v>
      </c>
      <c r="M1112" s="10" t="str">
        <f>'Obrazac kalkulacije'!$E$6</f>
        <v>Normativ</v>
      </c>
      <c r="N1112" s="10" t="str">
        <f>'Obrazac kalkulacije'!$F$6</f>
        <v>Jed.
cijena</v>
      </c>
      <c r="O1112" s="10" t="str">
        <f>'Obrazac kalkulacije'!$G$6</f>
        <v>Iznos</v>
      </c>
    </row>
    <row r="1113" spans="1:15" ht="4.5" customHeight="1" thickTop="1">
      <c r="B1113" s="42"/>
      <c r="C1113" s="1"/>
      <c r="D1113" s="11"/>
      <c r="E1113" s="13"/>
      <c r="F1113" s="258"/>
      <c r="G1113" s="15"/>
      <c r="H1113" s="3"/>
      <c r="J1113" s="42"/>
      <c r="K1113" s="1"/>
      <c r="L1113" s="11"/>
      <c r="M1113" s="13"/>
      <c r="N1113" s="258"/>
      <c r="O1113" s="15"/>
    </row>
    <row r="1114" spans="1:15" ht="25.15" customHeight="1">
      <c r="A1114" s="16"/>
      <c r="B1114" s="837" t="str">
        <f>'Obrazac kalkulacije'!$B$8</f>
        <v>Radna snaga:</v>
      </c>
      <c r="C1114" s="837"/>
      <c r="D1114" s="16"/>
      <c r="E1114" s="16"/>
      <c r="F1114" s="44"/>
      <c r="G1114" s="18">
        <f>SUM(G1115:G1115)</f>
        <v>0.29085230769230769</v>
      </c>
      <c r="H1114" s="3"/>
      <c r="I1114" s="16"/>
      <c r="J1114" s="837" t="str">
        <f>'Obrazac kalkulacije'!$B$8</f>
        <v>Radna snaga:</v>
      </c>
      <c r="K1114" s="837"/>
      <c r="L1114" s="16"/>
      <c r="M1114" s="16"/>
      <c r="N1114" s="44"/>
      <c r="O1114" s="18">
        <f>SUM(O1115:O1115)</f>
        <v>0.14000499</v>
      </c>
    </row>
    <row r="1115" spans="1:15" ht="25.15" customHeight="1">
      <c r="A1115" s="32"/>
      <c r="B1115" s="854" t="s">
        <v>57</v>
      </c>
      <c r="C1115" s="854"/>
      <c r="D1115" s="637" t="s">
        <v>51</v>
      </c>
      <c r="E1115" s="104">
        <f>H1115/H1112</f>
        <v>2.7692307692307691E-3</v>
      </c>
      <c r="F1115" s="238">
        <f>SUMIF('Cjenik RS'!$C$11:$C$26,$B1115,'Cjenik RS'!$D$11:$D$90)</f>
        <v>105.03</v>
      </c>
      <c r="G1115" s="46">
        <f>+F1115*E1115</f>
        <v>0.29085230769230769</v>
      </c>
      <c r="H1115" s="560">
        <v>36</v>
      </c>
      <c r="I1115" s="32"/>
      <c r="J1115" s="854" t="s">
        <v>57</v>
      </c>
      <c r="K1115" s="854"/>
      <c r="L1115" s="33" t="s">
        <v>51</v>
      </c>
      <c r="M1115" s="34">
        <v>1.333E-3</v>
      </c>
      <c r="N1115" s="44">
        <f>SUMIF('Cjenik RS'!$C$11:$C$26,J1115,'Cjenik RS'!$D$11:$D$90)</f>
        <v>105.03</v>
      </c>
      <c r="O1115" s="35">
        <f>+N1115*M1115</f>
        <v>0.14000499</v>
      </c>
    </row>
    <row r="1116" spans="1:15" ht="25.15" customHeight="1">
      <c r="A1116" s="16"/>
      <c r="B1116" s="837" t="str">
        <f>'Obrazac kalkulacije'!$B$11</f>
        <v>Vozila, strojevi i oprema:</v>
      </c>
      <c r="C1116" s="837"/>
      <c r="D1116" s="16"/>
      <c r="E1116" s="16"/>
      <c r="F1116" s="238">
        <f>'Obrazac kalkulacije'!$F$11</f>
        <v>0</v>
      </c>
      <c r="G1116" s="18">
        <f>SUM(G1117:G1120)</f>
        <v>0.25732384615384618</v>
      </c>
      <c r="I1116" s="16"/>
      <c r="J1116" s="837" t="str">
        <f>'Obrazac kalkulacije'!$B$11</f>
        <v>Vozila, strojevi i oprema:</v>
      </c>
      <c r="K1116" s="837"/>
      <c r="L1116" s="16"/>
      <c r="M1116" s="16"/>
      <c r="N1116" s="238">
        <f>'Obrazac kalkulacije'!$F$11</f>
        <v>0</v>
      </c>
      <c r="O1116" s="18">
        <f>SUM(O1117:O1120)</f>
        <v>0.22481730000000003</v>
      </c>
    </row>
    <row r="1117" spans="1:15" ht="25.15" customHeight="1">
      <c r="A1117" s="16"/>
      <c r="B1117" s="838" t="s">
        <v>477</v>
      </c>
      <c r="C1117" s="838"/>
      <c r="D1117" s="44" t="s">
        <v>51</v>
      </c>
      <c r="E1117" s="104">
        <f>H1117/H1112</f>
        <v>3.8461538461538462E-4</v>
      </c>
      <c r="F1117" s="238">
        <f>SUMIF('Cjenik VSO'!$B$9:$B$85,$B1117,'Cjenik VSO'!$C$9:$C$85)</f>
        <v>290.85000000000002</v>
      </c>
      <c r="G1117" s="46">
        <f>E1117*F1117</f>
        <v>0.11186538461538463</v>
      </c>
      <c r="H1117" s="560">
        <v>5</v>
      </c>
      <c r="I1117" s="51"/>
      <c r="J1117" s="863" t="s">
        <v>477</v>
      </c>
      <c r="K1117" s="863"/>
      <c r="L1117" s="52" t="s">
        <v>51</v>
      </c>
      <c r="M1117" s="53">
        <v>4.44E-4</v>
      </c>
      <c r="N1117" s="260">
        <f>SUMIF('Cjenik VSO'!$B$9:$B$85,$B1117,'Cjenik VSO'!$C$9:$C$85)</f>
        <v>290.85000000000002</v>
      </c>
      <c r="O1117" s="55">
        <f>M1117*N1117</f>
        <v>0.12913740000000001</v>
      </c>
    </row>
    <row r="1118" spans="1:15" ht="25.15" customHeight="1">
      <c r="A1118" s="16"/>
      <c r="B1118" s="838" t="s">
        <v>478</v>
      </c>
      <c r="C1118" s="838"/>
      <c r="D1118" s="44" t="s">
        <v>51</v>
      </c>
      <c r="E1118" s="104">
        <f>H1118/H1112</f>
        <v>2.3076923076923076E-4</v>
      </c>
      <c r="F1118" s="238">
        <f>SUMIF('Cjenik VSO'!$B$9:$B$85,$B1118,'Cjenik VSO'!$C$9:$C$85)</f>
        <v>123.97</v>
      </c>
      <c r="G1118" s="46">
        <f>E1118*F1118</f>
        <v>2.8608461538461537E-2</v>
      </c>
      <c r="H1118" s="560">
        <v>3</v>
      </c>
      <c r="I1118" s="51"/>
      <c r="J1118" s="863"/>
      <c r="K1118" s="863"/>
      <c r="L1118" s="52"/>
      <c r="M1118" s="53"/>
      <c r="N1118" s="260"/>
      <c r="O1118" s="55">
        <f>M1118*N1118</f>
        <v>0</v>
      </c>
    </row>
    <row r="1119" spans="1:15" ht="25.15" customHeight="1">
      <c r="A1119" s="16"/>
      <c r="B1119" s="838" t="s">
        <v>183</v>
      </c>
      <c r="C1119" s="838"/>
      <c r="D1119" s="44" t="s">
        <v>51</v>
      </c>
      <c r="E1119" s="104">
        <f>H1119/H1112</f>
        <v>1.9230769230769231E-4</v>
      </c>
      <c r="F1119" s="238">
        <f>SUMIF('Cjenik VSO'!$B$9:$B$85,$B1119,'Cjenik VSO'!$C$9:$C$85)</f>
        <v>32.9</v>
      </c>
      <c r="G1119" s="46">
        <f>E1119*F1119</f>
        <v>6.3269230769230763E-3</v>
      </c>
      <c r="H1119" s="560">
        <v>2.5</v>
      </c>
      <c r="I1119" s="56"/>
      <c r="J1119" s="834" t="s">
        <v>183</v>
      </c>
      <c r="K1119" s="834"/>
      <c r="L1119" s="57" t="s">
        <v>51</v>
      </c>
      <c r="M1119" s="58">
        <v>7.4999999999999993E-5</v>
      </c>
      <c r="N1119" s="263">
        <f>SUMIF('Cjenik VSO'!$B$9:$B$85,$B1119,'Cjenik VSO'!$C$9:$C$85)</f>
        <v>32.9</v>
      </c>
      <c r="O1119" s="60">
        <f>M1119*N1119</f>
        <v>2.4674999999999996E-3</v>
      </c>
    </row>
    <row r="1120" spans="1:15" ht="25.15" customHeight="1">
      <c r="A1120" s="16"/>
      <c r="B1120" s="838" t="s">
        <v>69</v>
      </c>
      <c r="C1120" s="838"/>
      <c r="D1120" s="44" t="s">
        <v>51</v>
      </c>
      <c r="E1120" s="104">
        <f>H1120/H1112</f>
        <v>6.1538461538461541E-4</v>
      </c>
      <c r="F1120" s="238">
        <f>SUMIF('Cjenik VSO'!$B$9:$B$85,$B1120,'Cjenik VSO'!$C$9:$C$85)</f>
        <v>179.6</v>
      </c>
      <c r="G1120" s="46">
        <f>E1120*F1120</f>
        <v>0.11052307692307692</v>
      </c>
      <c r="H1120" s="560">
        <v>8</v>
      </c>
      <c r="I1120" s="61"/>
      <c r="J1120" s="864" t="s">
        <v>69</v>
      </c>
      <c r="K1120" s="864"/>
      <c r="L1120" s="62" t="s">
        <v>51</v>
      </c>
      <c r="M1120" s="63">
        <v>5.1900000000000004E-4</v>
      </c>
      <c r="N1120" s="261">
        <f>SUMIF('Cjenik VSO'!$B$9:$B$85,$B1120,'Cjenik VSO'!$C$9:$C$85)</f>
        <v>179.6</v>
      </c>
      <c r="O1120" s="65">
        <f>M1120*N1120</f>
        <v>9.3212400000000001E-2</v>
      </c>
    </row>
    <row r="1121" spans="1:15" ht="25.15" customHeight="1">
      <c r="A1121" s="16"/>
      <c r="B1121" s="837" t="str">
        <f>'Obrazac kalkulacije'!$B$15</f>
        <v>Materijali:</v>
      </c>
      <c r="C1121" s="837"/>
      <c r="D1121" s="16"/>
      <c r="E1121" s="16"/>
      <c r="F1121" s="238"/>
      <c r="G1121" s="18">
        <f>SUM(G1122:G1124)</f>
        <v>0</v>
      </c>
      <c r="H1121" s="560">
        <f>E1121*H1112</f>
        <v>0</v>
      </c>
      <c r="I1121" s="16"/>
      <c r="J1121" s="837" t="str">
        <f>'Obrazac kalkulacije'!$B$15</f>
        <v>Materijali:</v>
      </c>
      <c r="K1121" s="837"/>
      <c r="L1121" s="16"/>
      <c r="M1121" s="16"/>
      <c r="N1121" s="238"/>
      <c r="O1121" s="18">
        <f>SUM(O1122:O1124)</f>
        <v>0</v>
      </c>
    </row>
    <row r="1122" spans="1:15" ht="25.15" customHeight="1">
      <c r="A1122" s="16"/>
      <c r="B1122" s="838">
        <f>'Cjenik M'!$B$72</f>
        <v>0</v>
      </c>
      <c r="C1122" s="838"/>
      <c r="D1122" s="44">
        <f>'Cjenik M'!$C$72</f>
        <v>0</v>
      </c>
      <c r="E1122" s="45">
        <v>5.5800000000000002E-2</v>
      </c>
      <c r="F1122" s="238">
        <f>'Cjenik M'!$D$72</f>
        <v>0</v>
      </c>
      <c r="G1122" s="46">
        <f>E1122*F1122</f>
        <v>0</v>
      </c>
      <c r="I1122" s="51"/>
      <c r="J1122" s="863">
        <f>'Cjenik M'!$B$72</f>
        <v>0</v>
      </c>
      <c r="K1122" s="863"/>
      <c r="L1122" s="52">
        <f>'Cjenik M'!$C$72</f>
        <v>0</v>
      </c>
      <c r="M1122" s="53">
        <v>5.5800000000000002E-2</v>
      </c>
      <c r="N1122" s="260">
        <f>'Cjenik M'!$D$72</f>
        <v>0</v>
      </c>
      <c r="O1122" s="55">
        <f>M1122*N1122</f>
        <v>0</v>
      </c>
    </row>
    <row r="1123" spans="1:15" ht="25.15" customHeight="1">
      <c r="A1123" s="16"/>
      <c r="B1123" s="838">
        <f>'Cjenik M'!$B$103</f>
        <v>0</v>
      </c>
      <c r="C1123" s="838"/>
      <c r="D1123" s="44">
        <f>'Cjenik M'!$C$103</f>
        <v>0</v>
      </c>
      <c r="E1123" s="45">
        <v>3.5999999999999997E-2</v>
      </c>
      <c r="F1123" s="238">
        <f>'Cjenik M'!$D$103</f>
        <v>0</v>
      </c>
      <c r="G1123" s="46">
        <f>E1123*F1123</f>
        <v>0</v>
      </c>
      <c r="I1123" s="56"/>
      <c r="J1123" s="834">
        <f>'Cjenik M'!$B$103</f>
        <v>0</v>
      </c>
      <c r="K1123" s="834"/>
      <c r="L1123" s="57">
        <f>'Cjenik M'!$C$103</f>
        <v>0</v>
      </c>
      <c r="M1123" s="58">
        <v>3.5999999999999997E-2</v>
      </c>
      <c r="N1123" s="263">
        <f>'Cjenik M'!$D$103</f>
        <v>0</v>
      </c>
      <c r="O1123" s="60">
        <f>M1123*N1123</f>
        <v>0</v>
      </c>
    </row>
    <row r="1124" spans="1:15" ht="25.15" customHeight="1" thickBot="1">
      <c r="A1124" s="16"/>
      <c r="B1124" s="838">
        <f>'Cjenik M'!$B$74</f>
        <v>0</v>
      </c>
      <c r="C1124" s="838"/>
      <c r="D1124" s="44">
        <f>'Cjenik M'!$C$74</f>
        <v>0</v>
      </c>
      <c r="E1124" s="45">
        <v>6.4729999999999996E-3</v>
      </c>
      <c r="F1124" s="238">
        <f>'Cjenik M'!$D$74</f>
        <v>0</v>
      </c>
      <c r="G1124" s="46">
        <f>E1124*F1124</f>
        <v>0</v>
      </c>
      <c r="I1124" s="66"/>
      <c r="J1124" s="834">
        <f>'Cjenik M'!$B$74</f>
        <v>0</v>
      </c>
      <c r="K1124" s="834"/>
      <c r="L1124" s="57">
        <f>'Cjenik M'!$C$74</f>
        <v>0</v>
      </c>
      <c r="M1124" s="58">
        <v>6.4729999999999996E-3</v>
      </c>
      <c r="N1124" s="263">
        <f>'Cjenik M'!$D$74</f>
        <v>0</v>
      </c>
      <c r="O1124" s="60">
        <f>M1124*N1124</f>
        <v>0</v>
      </c>
    </row>
    <row r="1125" spans="1:15" ht="25.15" customHeight="1" thickTop="1" thickBot="1">
      <c r="E1125" s="868" t="str">
        <f>'Obrazac kalkulacije'!$E$18</f>
        <v>Ukupno (kn):</v>
      </c>
      <c r="F1125" s="868"/>
      <c r="G1125" s="71">
        <f>ROUND(SUM(G1114+G1116+G1121),2)</f>
        <v>0.55000000000000004</v>
      </c>
      <c r="H1125" s="269" t="e">
        <f>SUMIF(#REF!,$B1110,#REF!)</f>
        <v>#REF!</v>
      </c>
      <c r="J1125" s="47"/>
      <c r="K1125" s="24"/>
      <c r="L1125" s="25"/>
      <c r="M1125" s="850" t="str">
        <f>'Obrazac kalkulacije'!$E$18</f>
        <v>Ukupno (kn):</v>
      </c>
      <c r="N1125" s="850"/>
      <c r="O1125" s="26">
        <f>ROUND(SUM(O1114+O1116+O1121),2)</f>
        <v>0.36</v>
      </c>
    </row>
    <row r="1126" spans="1:15" ht="25.15" customHeight="1" thickTop="1" thickBot="1">
      <c r="E1126" s="27" t="str">
        <f>'Obrazac kalkulacije'!$E$19</f>
        <v>PDV:</v>
      </c>
      <c r="F1126" s="259">
        <f>'Obrazac kalkulacije'!$F$19</f>
        <v>0.25</v>
      </c>
      <c r="G1126" s="29">
        <f>G1125*F1126</f>
        <v>0.13750000000000001</v>
      </c>
      <c r="H1126" s="270" t="e">
        <f>H1125-G1125</f>
        <v>#REF!</v>
      </c>
      <c r="M1126" s="27" t="str">
        <f>'Obrazac kalkulacije'!$E$19</f>
        <v>PDV:</v>
      </c>
      <c r="N1126" s="259">
        <f>'Obrazac kalkulacije'!$F$19</f>
        <v>0.25</v>
      </c>
      <c r="O1126" s="29">
        <f>O1125*N1126</f>
        <v>0.09</v>
      </c>
    </row>
    <row r="1127" spans="1:15" ht="25.15" customHeight="1" thickTop="1" thickBot="1">
      <c r="E1127" s="840" t="str">
        <f>'Obrazac kalkulacije'!$E$20</f>
        <v>Sveukupno (kn):</v>
      </c>
      <c r="F1127" s="840"/>
      <c r="G1127" s="29">
        <f>ROUND(SUM(G1125:G1126),2)</f>
        <v>0.69</v>
      </c>
      <c r="H1127" s="271" t="e">
        <f>G1117+H1126</f>
        <v>#REF!</v>
      </c>
      <c r="M1127" s="840" t="str">
        <f>'Obrazac kalkulacije'!$E$20</f>
        <v>Sveukupno (kn):</v>
      </c>
      <c r="N1127" s="840"/>
      <c r="O1127" s="29">
        <f>ROUND(SUM(O1125:O1126),2)</f>
        <v>0.45</v>
      </c>
    </row>
    <row r="1128" spans="1:15" ht="15" customHeight="1" thickTop="1"/>
    <row r="1129" spans="1:15" ht="15" customHeight="1"/>
    <row r="1130" spans="1:15" ht="15" customHeight="1"/>
    <row r="1131" spans="1:15" ht="15" customHeight="1">
      <c r="C1131" s="3" t="str">
        <f>'Obrazac kalkulacije'!$C$24</f>
        <v>IZVODITELJ:</v>
      </c>
      <c r="F1131" s="841" t="str">
        <f>'Obrazac kalkulacije'!$F$24</f>
        <v>NARUČITELJ:</v>
      </c>
      <c r="G1131" s="841"/>
      <c r="K1131" s="3" t="str">
        <f>'Obrazac kalkulacije'!$C$24</f>
        <v>IZVODITELJ:</v>
      </c>
      <c r="N1131" s="841" t="str">
        <f>'Obrazac kalkulacije'!$F$24</f>
        <v>NARUČITELJ:</v>
      </c>
      <c r="O1131" s="841"/>
    </row>
    <row r="1132" spans="1:15" ht="25.15" customHeight="1">
      <c r="C1132" s="3" t="str">
        <f>'Obrazac kalkulacije'!$C$25</f>
        <v>__________________</v>
      </c>
      <c r="F1132" s="841" t="str">
        <f>'Obrazac kalkulacije'!$F$25</f>
        <v>___________________</v>
      </c>
      <c r="G1132" s="841"/>
      <c r="K1132" s="3" t="str">
        <f>'Obrazac kalkulacije'!$C$25</f>
        <v>__________________</v>
      </c>
      <c r="N1132" s="841" t="str">
        <f>'Obrazac kalkulacije'!$F$25</f>
        <v>___________________</v>
      </c>
      <c r="O1132" s="841"/>
    </row>
    <row r="1133" spans="1:15" ht="15" customHeight="1">
      <c r="F1133" s="841"/>
      <c r="G1133" s="841"/>
      <c r="N1133" s="841"/>
      <c r="O1133" s="841"/>
    </row>
    <row r="1134" spans="1:15" ht="15" customHeight="1"/>
    <row r="1135" spans="1:15" ht="15" customHeight="1">
      <c r="A1135" s="144"/>
      <c r="B1135" s="145" t="s">
        <v>39</v>
      </c>
      <c r="C1135" s="836" t="s">
        <v>360</v>
      </c>
      <c r="D1135" s="836"/>
      <c r="E1135" s="836"/>
      <c r="F1135" s="836"/>
      <c r="G1135" s="836"/>
      <c r="I1135" s="144"/>
      <c r="J1135" s="145" t="s">
        <v>39</v>
      </c>
      <c r="K1135" s="836" t="s">
        <v>360</v>
      </c>
      <c r="L1135" s="836"/>
      <c r="M1135" s="836"/>
      <c r="N1135" s="836"/>
      <c r="O1135" s="836"/>
    </row>
    <row r="1136" spans="1:15" ht="15" customHeight="1">
      <c r="A1136" s="38"/>
      <c r="B1136" s="39" t="s">
        <v>46</v>
      </c>
      <c r="C1136" s="860" t="s">
        <v>470</v>
      </c>
      <c r="D1136" s="860"/>
      <c r="E1136" s="860"/>
      <c r="F1136" s="860"/>
      <c r="G1136" s="860"/>
      <c r="I1136" s="38"/>
      <c r="J1136" s="39" t="s">
        <v>46</v>
      </c>
      <c r="K1136" s="860" t="s">
        <v>470</v>
      </c>
      <c r="L1136" s="860"/>
      <c r="M1136" s="860"/>
      <c r="N1136" s="860"/>
      <c r="O1136" s="860"/>
    </row>
    <row r="1137" spans="1:15" ht="15" customHeight="1">
      <c r="A1137" s="48"/>
      <c r="B1137" s="49" t="s">
        <v>47</v>
      </c>
      <c r="C1137" s="883" t="s">
        <v>471</v>
      </c>
      <c r="D1137" s="883"/>
      <c r="E1137" s="883"/>
      <c r="F1137" s="883"/>
      <c r="G1137" s="883"/>
      <c r="I1137" s="48"/>
      <c r="J1137" s="49" t="s">
        <v>47</v>
      </c>
      <c r="K1137" s="883" t="s">
        <v>471</v>
      </c>
      <c r="L1137" s="883"/>
      <c r="M1137" s="883"/>
      <c r="N1137" s="883"/>
      <c r="O1137" s="883"/>
    </row>
    <row r="1138" spans="1:15" ht="15" customHeight="1">
      <c r="A1138" s="95"/>
      <c r="B1138" s="96" t="s">
        <v>496</v>
      </c>
      <c r="C1138" s="882" t="s">
        <v>497</v>
      </c>
      <c r="D1138" s="882"/>
      <c r="E1138" s="882"/>
      <c r="F1138" s="882"/>
      <c r="G1138" s="882"/>
      <c r="I1138" s="95"/>
      <c r="J1138" s="96" t="s">
        <v>496</v>
      </c>
      <c r="K1138" s="882" t="s">
        <v>497</v>
      </c>
      <c r="L1138" s="882"/>
      <c r="M1138" s="882"/>
      <c r="N1138" s="882"/>
      <c r="O1138" s="882"/>
    </row>
    <row r="1139" spans="1:15" ht="150" customHeight="1">
      <c r="A1139" s="40"/>
      <c r="B1139" s="556" t="s">
        <v>504</v>
      </c>
      <c r="C1139" s="852" t="s">
        <v>505</v>
      </c>
      <c r="D1139" s="852"/>
      <c r="E1139" s="852"/>
      <c r="F1139" s="852"/>
      <c r="G1139" s="852"/>
      <c r="I1139" s="40"/>
      <c r="J1139" s="41" t="s">
        <v>506</v>
      </c>
      <c r="K1139" s="869" t="s">
        <v>505</v>
      </c>
      <c r="L1139" s="869"/>
      <c r="M1139" s="869"/>
      <c r="N1139" s="869"/>
      <c r="O1139" s="869"/>
    </row>
    <row r="1140" spans="1:15" ht="15" customHeight="1" thickBot="1"/>
    <row r="1141" spans="1:15" ht="30" customHeight="1" thickTop="1" thickBot="1">
      <c r="A1141" s="10"/>
      <c r="B1141" s="835" t="str">
        <f>'Obrazac kalkulacije'!$B$6:$C$6</f>
        <v>Opis</v>
      </c>
      <c r="C1141" s="835"/>
      <c r="D1141" s="10" t="str">
        <f>'Obrazac kalkulacije'!$D$6</f>
        <v>Jed.
mjere</v>
      </c>
      <c r="E1141" s="10" t="str">
        <f>'Obrazac kalkulacije'!$E$6</f>
        <v>Normativ</v>
      </c>
      <c r="F1141" s="10" t="str">
        <f>'Obrazac kalkulacije'!$F$6</f>
        <v>Jed.
cijena</v>
      </c>
      <c r="G1141" s="10" t="str">
        <f>'Obrazac kalkulacije'!$G$6</f>
        <v>Iznos</v>
      </c>
      <c r="H1141" s="622">
        <v>13000</v>
      </c>
      <c r="I1141" s="10"/>
      <c r="J1141" s="835" t="e">
        <f>'Obrazac kalkulacije'!$B$6:$C$6</f>
        <v>#VALUE!</v>
      </c>
      <c r="K1141" s="835"/>
      <c r="L1141" s="10" t="str">
        <f>'Obrazac kalkulacije'!$D$6</f>
        <v>Jed.
mjere</v>
      </c>
      <c r="M1141" s="10" t="str">
        <f>'Obrazac kalkulacije'!$E$6</f>
        <v>Normativ</v>
      </c>
      <c r="N1141" s="10" t="str">
        <f>'Obrazac kalkulacije'!$F$6</f>
        <v>Jed.
cijena</v>
      </c>
      <c r="O1141" s="10" t="str">
        <f>'Obrazac kalkulacije'!$G$6</f>
        <v>Iznos</v>
      </c>
    </row>
    <row r="1142" spans="1:15" ht="4.5" customHeight="1" thickTop="1">
      <c r="B1142" s="42"/>
      <c r="C1142" s="1"/>
      <c r="D1142" s="11"/>
      <c r="E1142" s="13"/>
      <c r="F1142" s="258"/>
      <c r="G1142" s="15"/>
      <c r="H1142" s="3"/>
      <c r="J1142" s="42"/>
      <c r="K1142" s="1"/>
      <c r="L1142" s="11"/>
      <c r="M1142" s="13"/>
      <c r="N1142" s="258"/>
      <c r="O1142" s="15"/>
    </row>
    <row r="1143" spans="1:15" ht="25.15" customHeight="1">
      <c r="A1143" s="16"/>
      <c r="B1143" s="837" t="str">
        <f>'Obrazac kalkulacije'!$B$8</f>
        <v>Radna snaga:</v>
      </c>
      <c r="C1143" s="837"/>
      <c r="D1143" s="16"/>
      <c r="E1143" s="16"/>
      <c r="F1143" s="44"/>
      <c r="G1143" s="18">
        <f>SUM(G1144:G1144)</f>
        <v>0.29085230769230769</v>
      </c>
      <c r="H1143" s="3"/>
      <c r="I1143" s="16"/>
      <c r="J1143" s="837" t="str">
        <f>'Obrazac kalkulacije'!$B$8</f>
        <v>Radna snaga:</v>
      </c>
      <c r="K1143" s="837"/>
      <c r="L1143" s="16"/>
      <c r="M1143" s="16"/>
      <c r="N1143" s="44"/>
      <c r="O1143" s="18">
        <f>SUM(O1144:O1144)</f>
        <v>0.14000499</v>
      </c>
    </row>
    <row r="1144" spans="1:15" ht="25.15" customHeight="1">
      <c r="A1144" s="32"/>
      <c r="B1144" s="854" t="s">
        <v>57</v>
      </c>
      <c r="C1144" s="854"/>
      <c r="D1144" s="637" t="s">
        <v>51</v>
      </c>
      <c r="E1144" s="104">
        <f>H1144/H1141</f>
        <v>2.7692307692307691E-3</v>
      </c>
      <c r="F1144" s="238">
        <f>SUMIF('Cjenik RS'!$C$11:$C$26,$B1144,'Cjenik RS'!$D$11:$D$90)</f>
        <v>105.03</v>
      </c>
      <c r="G1144" s="46">
        <f>+F1144*E1144</f>
        <v>0.29085230769230769</v>
      </c>
      <c r="H1144" s="560">
        <v>36</v>
      </c>
      <c r="I1144" s="32"/>
      <c r="J1144" s="854" t="s">
        <v>57</v>
      </c>
      <c r="K1144" s="854"/>
      <c r="L1144" s="33" t="s">
        <v>51</v>
      </c>
      <c r="M1144" s="34">
        <v>1.333E-3</v>
      </c>
      <c r="N1144" s="44">
        <f>SUMIF('Cjenik RS'!$C$11:$C$26,J1144,'Cjenik RS'!$D$11:$D$90)</f>
        <v>105.03</v>
      </c>
      <c r="O1144" s="35">
        <f>+N1144*M1144</f>
        <v>0.14000499</v>
      </c>
    </row>
    <row r="1145" spans="1:15" ht="25.15" customHeight="1">
      <c r="A1145" s="16"/>
      <c r="B1145" s="837" t="str">
        <f>'Obrazac kalkulacije'!$B$11</f>
        <v>Vozila, strojevi i oprema:</v>
      </c>
      <c r="C1145" s="837"/>
      <c r="D1145" s="16"/>
      <c r="E1145" s="16"/>
      <c r="F1145" s="238">
        <f>'Obrazac kalkulacije'!$F$11</f>
        <v>0</v>
      </c>
      <c r="G1145" s="18">
        <f>SUM(G1146:G1149)</f>
        <v>0.25732384615384618</v>
      </c>
      <c r="I1145" s="16"/>
      <c r="J1145" s="837" t="str">
        <f>'Obrazac kalkulacije'!$B$11</f>
        <v>Vozila, strojevi i oprema:</v>
      </c>
      <c r="K1145" s="837"/>
      <c r="L1145" s="16"/>
      <c r="M1145" s="16"/>
      <c r="N1145" s="238">
        <f>'Obrazac kalkulacije'!$F$11</f>
        <v>0</v>
      </c>
      <c r="O1145" s="18">
        <f>SUM(O1146:O1149)</f>
        <v>0.22481730000000003</v>
      </c>
    </row>
    <row r="1146" spans="1:15" ht="25.15" customHeight="1">
      <c r="A1146" s="16"/>
      <c r="B1146" s="838" t="s">
        <v>477</v>
      </c>
      <c r="C1146" s="838"/>
      <c r="D1146" s="44" t="s">
        <v>51</v>
      </c>
      <c r="E1146" s="104">
        <f>H1146/H1141</f>
        <v>3.8461538461538462E-4</v>
      </c>
      <c r="F1146" s="238">
        <f>SUMIF('Cjenik VSO'!$B$9:$B$85,$B1146,'Cjenik VSO'!$C$9:$C$85)</f>
        <v>290.85000000000002</v>
      </c>
      <c r="G1146" s="46">
        <f>E1146*F1146</f>
        <v>0.11186538461538463</v>
      </c>
      <c r="H1146" s="560">
        <v>5</v>
      </c>
      <c r="I1146" s="51"/>
      <c r="J1146" s="863" t="s">
        <v>477</v>
      </c>
      <c r="K1146" s="863"/>
      <c r="L1146" s="52" t="s">
        <v>51</v>
      </c>
      <c r="M1146" s="53">
        <v>4.44E-4</v>
      </c>
      <c r="N1146" s="260">
        <f>SUMIF('Cjenik VSO'!$B$9:$B$85,$B1146,'Cjenik VSO'!$C$9:$C$85)</f>
        <v>290.85000000000002</v>
      </c>
      <c r="O1146" s="55">
        <f>M1146*N1146</f>
        <v>0.12913740000000001</v>
      </c>
    </row>
    <row r="1147" spans="1:15" ht="25.15" customHeight="1">
      <c r="A1147" s="16"/>
      <c r="B1147" s="838" t="s">
        <v>478</v>
      </c>
      <c r="C1147" s="838"/>
      <c r="D1147" s="44" t="s">
        <v>51</v>
      </c>
      <c r="E1147" s="104">
        <f>H1147/H1141</f>
        <v>2.3076923076923076E-4</v>
      </c>
      <c r="F1147" s="238">
        <f>SUMIF('Cjenik VSO'!$B$9:$B$85,$B1147,'Cjenik VSO'!$C$9:$C$85)</f>
        <v>123.97</v>
      </c>
      <c r="G1147" s="46">
        <f>E1147*F1147</f>
        <v>2.8608461538461537E-2</v>
      </c>
      <c r="H1147" s="560">
        <v>3</v>
      </c>
      <c r="I1147" s="51"/>
      <c r="J1147" s="863"/>
      <c r="K1147" s="863"/>
      <c r="L1147" s="52"/>
      <c r="M1147" s="53"/>
      <c r="N1147" s="260"/>
      <c r="O1147" s="55">
        <f>M1147*N1147</f>
        <v>0</v>
      </c>
    </row>
    <row r="1148" spans="1:15" ht="25.15" customHeight="1">
      <c r="A1148" s="16"/>
      <c r="B1148" s="838" t="s">
        <v>183</v>
      </c>
      <c r="C1148" s="838"/>
      <c r="D1148" s="44" t="s">
        <v>51</v>
      </c>
      <c r="E1148" s="104">
        <f>H1148/H1141</f>
        <v>1.9230769230769231E-4</v>
      </c>
      <c r="F1148" s="238">
        <f>SUMIF('Cjenik VSO'!$B$9:$B$85,$B1148,'Cjenik VSO'!$C$9:$C$85)</f>
        <v>32.9</v>
      </c>
      <c r="G1148" s="46">
        <f>E1148*F1148</f>
        <v>6.3269230769230763E-3</v>
      </c>
      <c r="H1148" s="560">
        <v>2.5</v>
      </c>
      <c r="I1148" s="56"/>
      <c r="J1148" s="834" t="s">
        <v>183</v>
      </c>
      <c r="K1148" s="834"/>
      <c r="L1148" s="57" t="s">
        <v>51</v>
      </c>
      <c r="M1148" s="58">
        <v>7.4999999999999993E-5</v>
      </c>
      <c r="N1148" s="263">
        <f>SUMIF('Cjenik VSO'!$B$9:$B$85,$B1148,'Cjenik VSO'!$C$9:$C$85)</f>
        <v>32.9</v>
      </c>
      <c r="O1148" s="60">
        <f>M1148*N1148</f>
        <v>2.4674999999999996E-3</v>
      </c>
    </row>
    <row r="1149" spans="1:15" ht="25.15" customHeight="1">
      <c r="A1149" s="16"/>
      <c r="B1149" s="838" t="s">
        <v>69</v>
      </c>
      <c r="C1149" s="838"/>
      <c r="D1149" s="44" t="s">
        <v>51</v>
      </c>
      <c r="E1149" s="104">
        <f>H1149/H1141</f>
        <v>6.1538461538461541E-4</v>
      </c>
      <c r="F1149" s="238">
        <f>SUMIF('Cjenik VSO'!$B$9:$B$85,$B1149,'Cjenik VSO'!$C$9:$C$85)</f>
        <v>179.6</v>
      </c>
      <c r="G1149" s="46">
        <f>E1149*F1149</f>
        <v>0.11052307692307692</v>
      </c>
      <c r="H1149" s="560">
        <v>8</v>
      </c>
      <c r="I1149" s="61"/>
      <c r="J1149" s="864" t="s">
        <v>69</v>
      </c>
      <c r="K1149" s="864"/>
      <c r="L1149" s="62" t="s">
        <v>51</v>
      </c>
      <c r="M1149" s="63">
        <v>5.1900000000000004E-4</v>
      </c>
      <c r="N1149" s="261">
        <f>SUMIF('Cjenik VSO'!$B$9:$B$85,$B1149,'Cjenik VSO'!$C$9:$C$85)</f>
        <v>179.6</v>
      </c>
      <c r="O1149" s="65">
        <f>M1149*N1149</f>
        <v>9.3212400000000001E-2</v>
      </c>
    </row>
    <row r="1150" spans="1:15" ht="25.15" customHeight="1">
      <c r="A1150" s="16"/>
      <c r="B1150" s="837" t="str">
        <f>'Obrazac kalkulacije'!$B$15</f>
        <v>Materijali:</v>
      </c>
      <c r="C1150" s="837"/>
      <c r="D1150" s="16"/>
      <c r="E1150" s="16"/>
      <c r="F1150" s="238"/>
      <c r="G1150" s="18">
        <f>SUM(G1151:G1153)</f>
        <v>0</v>
      </c>
      <c r="H1150" s="560">
        <f>E1150*H1141</f>
        <v>0</v>
      </c>
      <c r="I1150" s="16"/>
      <c r="J1150" s="837" t="str">
        <f>'Obrazac kalkulacije'!$B$15</f>
        <v>Materijali:</v>
      </c>
      <c r="K1150" s="837"/>
      <c r="L1150" s="16"/>
      <c r="M1150" s="16"/>
      <c r="N1150" s="238"/>
      <c r="O1150" s="18">
        <f>SUM(O1151:O1153)</f>
        <v>0</v>
      </c>
    </row>
    <row r="1151" spans="1:15" ht="25.15" customHeight="1">
      <c r="A1151" s="16"/>
      <c r="B1151" s="838">
        <f>'Cjenik M'!$B$72</f>
        <v>0</v>
      </c>
      <c r="C1151" s="838"/>
      <c r="D1151" s="44">
        <f>'Cjenik M'!$C$72</f>
        <v>0</v>
      </c>
      <c r="E1151" s="45">
        <v>4.9599999999999998E-2</v>
      </c>
      <c r="F1151" s="238">
        <f>'Cjenik M'!$D$72</f>
        <v>0</v>
      </c>
      <c r="G1151" s="46">
        <f>E1151*F1151</f>
        <v>0</v>
      </c>
      <c r="I1151" s="51"/>
      <c r="J1151" s="863">
        <f>'Cjenik M'!$B$72</f>
        <v>0</v>
      </c>
      <c r="K1151" s="863"/>
      <c r="L1151" s="52">
        <f>'Cjenik M'!$C$72</f>
        <v>0</v>
      </c>
      <c r="M1151" s="53">
        <v>4.9599999999999998E-2</v>
      </c>
      <c r="N1151" s="260">
        <f>'Cjenik M'!$D$72</f>
        <v>0</v>
      </c>
      <c r="O1151" s="55">
        <f>M1151*N1151</f>
        <v>0</v>
      </c>
    </row>
    <row r="1152" spans="1:15" ht="25.15" customHeight="1">
      <c r="A1152" s="16"/>
      <c r="B1152" s="838">
        <f>'Cjenik M'!$B$102</f>
        <v>0</v>
      </c>
      <c r="C1152" s="838"/>
      <c r="D1152" s="44">
        <f>'Cjenik M'!$C$102</f>
        <v>0</v>
      </c>
      <c r="E1152" s="45">
        <v>2.5999999999999999E-2</v>
      </c>
      <c r="F1152" s="238">
        <f>'Cjenik M'!$D$102</f>
        <v>0</v>
      </c>
      <c r="G1152" s="46">
        <f>E1152*F1152</f>
        <v>0</v>
      </c>
      <c r="I1152" s="56"/>
      <c r="J1152" s="834">
        <f>'Cjenik M'!$B$102</f>
        <v>0</v>
      </c>
      <c r="K1152" s="834"/>
      <c r="L1152" s="57">
        <f>'Cjenik M'!$C$102</f>
        <v>0</v>
      </c>
      <c r="M1152" s="58">
        <v>2.5999999999999999E-2</v>
      </c>
      <c r="N1152" s="263">
        <f>'Cjenik M'!$D$102</f>
        <v>0</v>
      </c>
      <c r="O1152" s="60">
        <f>M1152*N1152</f>
        <v>0</v>
      </c>
    </row>
    <row r="1153" spans="1:15" ht="25.15" customHeight="1" thickBot="1">
      <c r="A1153" s="16"/>
      <c r="B1153" s="838">
        <f>'Cjenik M'!$B$74</f>
        <v>0</v>
      </c>
      <c r="C1153" s="838"/>
      <c r="D1153" s="44">
        <f>'Cjenik M'!$C$74</f>
        <v>0</v>
      </c>
      <c r="E1153" s="45">
        <v>5.7540000000000004E-3</v>
      </c>
      <c r="F1153" s="238">
        <f>'Cjenik M'!$D$74</f>
        <v>0</v>
      </c>
      <c r="G1153" s="46">
        <f>E1153*F1153</f>
        <v>0</v>
      </c>
      <c r="I1153" s="66"/>
      <c r="J1153" s="834">
        <f>'Cjenik M'!$B$74</f>
        <v>0</v>
      </c>
      <c r="K1153" s="834"/>
      <c r="L1153" s="57">
        <f>'Cjenik M'!$C$74</f>
        <v>0</v>
      </c>
      <c r="M1153" s="58">
        <v>5.7540000000000004E-3</v>
      </c>
      <c r="N1153" s="263">
        <f>'Cjenik M'!$D$74</f>
        <v>0</v>
      </c>
      <c r="O1153" s="60">
        <f>M1153*N1153</f>
        <v>0</v>
      </c>
    </row>
    <row r="1154" spans="1:15" ht="25.15" customHeight="1" thickTop="1" thickBot="1">
      <c r="E1154" s="868" t="str">
        <f>'Obrazac kalkulacije'!$E$18</f>
        <v>Ukupno (kn):</v>
      </c>
      <c r="F1154" s="868"/>
      <c r="G1154" s="71">
        <f>ROUND(SUM(G1143+G1145+G1150),2)</f>
        <v>0.55000000000000004</v>
      </c>
      <c r="H1154" s="269" t="e">
        <f>SUMIF(#REF!,$B1139,#REF!)</f>
        <v>#REF!</v>
      </c>
      <c r="J1154" s="47"/>
      <c r="K1154" s="24"/>
      <c r="L1154" s="25"/>
      <c r="M1154" s="850" t="str">
        <f>'Obrazac kalkulacije'!$E$18</f>
        <v>Ukupno (kn):</v>
      </c>
      <c r="N1154" s="850"/>
      <c r="O1154" s="26">
        <f>ROUND(SUM(O1143+O1145+O1150),2)</f>
        <v>0.36</v>
      </c>
    </row>
    <row r="1155" spans="1:15" ht="25.15" customHeight="1" thickTop="1" thickBot="1">
      <c r="E1155" s="27" t="str">
        <f>'Obrazac kalkulacije'!$E$19</f>
        <v>PDV:</v>
      </c>
      <c r="F1155" s="259">
        <f>'Obrazac kalkulacije'!$F$19</f>
        <v>0.25</v>
      </c>
      <c r="G1155" s="29">
        <f>G1154*F1155</f>
        <v>0.13750000000000001</v>
      </c>
      <c r="H1155" s="270" t="e">
        <f>H1154-G1154</f>
        <v>#REF!</v>
      </c>
      <c r="M1155" s="27" t="str">
        <f>'Obrazac kalkulacije'!$E$19</f>
        <v>PDV:</v>
      </c>
      <c r="N1155" s="259">
        <f>'Obrazac kalkulacije'!$F$19</f>
        <v>0.25</v>
      </c>
      <c r="O1155" s="29">
        <f>O1154*N1155</f>
        <v>0.09</v>
      </c>
    </row>
    <row r="1156" spans="1:15" ht="25.15" customHeight="1" thickTop="1" thickBot="1">
      <c r="E1156" s="840" t="str">
        <f>'Obrazac kalkulacije'!$E$20</f>
        <v>Sveukupno (kn):</v>
      </c>
      <c r="F1156" s="840"/>
      <c r="G1156" s="29">
        <f>ROUND(SUM(G1154:G1155),2)</f>
        <v>0.69</v>
      </c>
      <c r="H1156" s="271" t="e">
        <f>G1146+H1155</f>
        <v>#REF!</v>
      </c>
      <c r="M1156" s="840" t="str">
        <f>'Obrazac kalkulacije'!$E$20</f>
        <v>Sveukupno (kn):</v>
      </c>
      <c r="N1156" s="840"/>
      <c r="O1156" s="29">
        <f>ROUND(SUM(O1154:O1155),2)</f>
        <v>0.45</v>
      </c>
    </row>
    <row r="1157" spans="1:15" ht="15" customHeight="1" thickTop="1"/>
    <row r="1158" spans="1:15" ht="15" customHeight="1"/>
    <row r="1159" spans="1:15" ht="15" customHeight="1"/>
    <row r="1160" spans="1:15" ht="15" customHeight="1">
      <c r="C1160" s="3" t="str">
        <f>'Obrazac kalkulacije'!$C$24</f>
        <v>IZVODITELJ:</v>
      </c>
      <c r="F1160" s="841" t="str">
        <f>'Obrazac kalkulacije'!$F$24</f>
        <v>NARUČITELJ:</v>
      </c>
      <c r="G1160" s="841"/>
      <c r="K1160" s="3" t="str">
        <f>'Obrazac kalkulacije'!$C$24</f>
        <v>IZVODITELJ:</v>
      </c>
      <c r="N1160" s="841" t="str">
        <f>'Obrazac kalkulacije'!$F$24</f>
        <v>NARUČITELJ:</v>
      </c>
      <c r="O1160" s="841"/>
    </row>
    <row r="1161" spans="1:15" ht="25.15" customHeight="1">
      <c r="C1161" s="3" t="str">
        <f>'Obrazac kalkulacije'!$C$25</f>
        <v>__________________</v>
      </c>
      <c r="F1161" s="841" t="str">
        <f>'Obrazac kalkulacije'!$F$25</f>
        <v>___________________</v>
      </c>
      <c r="G1161" s="841"/>
      <c r="K1161" s="3" t="str">
        <f>'Obrazac kalkulacije'!$C$25</f>
        <v>__________________</v>
      </c>
      <c r="N1161" s="841" t="str">
        <f>'Obrazac kalkulacije'!$F$25</f>
        <v>___________________</v>
      </c>
      <c r="O1161" s="841"/>
    </row>
    <row r="1162" spans="1:15" ht="15" customHeight="1">
      <c r="F1162" s="841"/>
      <c r="G1162" s="841"/>
      <c r="N1162" s="841"/>
      <c r="O1162" s="841"/>
    </row>
    <row r="1163" spans="1:15" ht="15" customHeight="1">
      <c r="F1163" s="841"/>
      <c r="G1163" s="841"/>
      <c r="N1163" s="841"/>
      <c r="O1163" s="841"/>
    </row>
    <row r="1164" spans="1:15" ht="15" customHeight="1">
      <c r="A1164" s="144"/>
      <c r="B1164" s="145" t="s">
        <v>39</v>
      </c>
      <c r="C1164" s="836" t="s">
        <v>360</v>
      </c>
      <c r="D1164" s="836"/>
      <c r="E1164" s="836"/>
      <c r="F1164" s="836"/>
      <c r="G1164" s="836"/>
      <c r="I1164" s="144"/>
      <c r="J1164" s="145" t="s">
        <v>39</v>
      </c>
      <c r="K1164" s="836" t="s">
        <v>360</v>
      </c>
      <c r="L1164" s="836"/>
      <c r="M1164" s="836"/>
      <c r="N1164" s="836"/>
      <c r="O1164" s="836"/>
    </row>
    <row r="1165" spans="1:15" ht="15" customHeight="1">
      <c r="A1165" s="38"/>
      <c r="B1165" s="39" t="s">
        <v>46</v>
      </c>
      <c r="C1165" s="860" t="s">
        <v>470</v>
      </c>
      <c r="D1165" s="860"/>
      <c r="E1165" s="860"/>
      <c r="F1165" s="860"/>
      <c r="G1165" s="860"/>
      <c r="I1165" s="38"/>
      <c r="J1165" s="39" t="s">
        <v>46</v>
      </c>
      <c r="K1165" s="860" t="s">
        <v>470</v>
      </c>
      <c r="L1165" s="860"/>
      <c r="M1165" s="860"/>
      <c r="N1165" s="860"/>
      <c r="O1165" s="860"/>
    </row>
    <row r="1166" spans="1:15" ht="15" customHeight="1">
      <c r="A1166" s="48"/>
      <c r="B1166" s="49" t="s">
        <v>47</v>
      </c>
      <c r="C1166" s="883" t="s">
        <v>471</v>
      </c>
      <c r="D1166" s="883"/>
      <c r="E1166" s="883"/>
      <c r="F1166" s="883"/>
      <c r="G1166" s="883"/>
      <c r="I1166" s="48"/>
      <c r="J1166" s="49" t="s">
        <v>47</v>
      </c>
      <c r="K1166" s="883" t="s">
        <v>471</v>
      </c>
      <c r="L1166" s="883"/>
      <c r="M1166" s="883"/>
      <c r="N1166" s="883"/>
      <c r="O1166" s="883"/>
    </row>
    <row r="1167" spans="1:15" ht="15" customHeight="1">
      <c r="A1167" s="95"/>
      <c r="B1167" s="96" t="s">
        <v>496</v>
      </c>
      <c r="C1167" s="882" t="s">
        <v>497</v>
      </c>
      <c r="D1167" s="882"/>
      <c r="E1167" s="882"/>
      <c r="F1167" s="882"/>
      <c r="G1167" s="882"/>
      <c r="I1167" s="95"/>
      <c r="J1167" s="96" t="s">
        <v>496</v>
      </c>
      <c r="K1167" s="882" t="s">
        <v>497</v>
      </c>
      <c r="L1167" s="882"/>
      <c r="M1167" s="882"/>
      <c r="N1167" s="882"/>
      <c r="O1167" s="882"/>
    </row>
    <row r="1168" spans="1:15" ht="150" customHeight="1">
      <c r="A1168" s="40"/>
      <c r="B1168" s="556" t="s">
        <v>500</v>
      </c>
      <c r="C1168" s="852" t="s">
        <v>507</v>
      </c>
      <c r="D1168" s="852"/>
      <c r="E1168" s="852"/>
      <c r="F1168" s="852"/>
      <c r="G1168" s="852"/>
      <c r="I1168" s="40"/>
      <c r="J1168" s="41" t="s">
        <v>508</v>
      </c>
      <c r="K1168" s="869" t="s">
        <v>507</v>
      </c>
      <c r="L1168" s="869"/>
      <c r="M1168" s="869"/>
      <c r="N1168" s="869"/>
      <c r="O1168" s="869"/>
    </row>
    <row r="1169" spans="1:15" ht="15" customHeight="1" thickBot="1"/>
    <row r="1170" spans="1:15" ht="30" customHeight="1" thickTop="1" thickBot="1">
      <c r="A1170" s="10"/>
      <c r="B1170" s="835" t="str">
        <f>'Obrazac kalkulacije'!$B$6:$C$6</f>
        <v>Opis</v>
      </c>
      <c r="C1170" s="835"/>
      <c r="D1170" s="10" t="str">
        <f>'Obrazac kalkulacije'!$D$6</f>
        <v>Jed.
mjere</v>
      </c>
      <c r="E1170" s="10" t="str">
        <f>'Obrazac kalkulacije'!$E$6</f>
        <v>Normativ</v>
      </c>
      <c r="F1170" s="10" t="str">
        <f>'Obrazac kalkulacije'!$F$6</f>
        <v>Jed.
cijena</v>
      </c>
      <c r="G1170" s="10" t="str">
        <f>'Obrazac kalkulacije'!$G$6</f>
        <v>Iznos</v>
      </c>
      <c r="H1170" s="622">
        <v>13000</v>
      </c>
      <c r="I1170" s="10"/>
      <c r="J1170" s="835" t="e">
        <f>'Obrazac kalkulacije'!$B$6:$C$6</f>
        <v>#VALUE!</v>
      </c>
      <c r="K1170" s="835"/>
      <c r="L1170" s="10" t="str">
        <f>'Obrazac kalkulacije'!$D$6</f>
        <v>Jed.
mjere</v>
      </c>
      <c r="M1170" s="10" t="str">
        <f>'Obrazac kalkulacije'!$E$6</f>
        <v>Normativ</v>
      </c>
      <c r="N1170" s="10" t="str">
        <f>'Obrazac kalkulacije'!$F$6</f>
        <v>Jed.
cijena</v>
      </c>
      <c r="O1170" s="10" t="str">
        <f>'Obrazac kalkulacije'!$G$6</f>
        <v>Iznos</v>
      </c>
    </row>
    <row r="1171" spans="1:15" ht="4.5" customHeight="1" thickTop="1">
      <c r="B1171" s="42"/>
      <c r="C1171" s="1"/>
      <c r="D1171" s="11"/>
      <c r="E1171" s="13"/>
      <c r="F1171" s="258"/>
      <c r="G1171" s="15"/>
      <c r="H1171" s="3"/>
      <c r="J1171" s="42"/>
      <c r="K1171" s="1"/>
      <c r="L1171" s="11"/>
      <c r="M1171" s="13"/>
      <c r="N1171" s="258"/>
      <c r="O1171" s="15"/>
    </row>
    <row r="1172" spans="1:15" ht="25.15" customHeight="1">
      <c r="A1172" s="16"/>
      <c r="B1172" s="837" t="str">
        <f>'Obrazac kalkulacije'!$B$8</f>
        <v>Radna snaga:</v>
      </c>
      <c r="C1172" s="837"/>
      <c r="D1172" s="16"/>
      <c r="E1172" s="16"/>
      <c r="F1172" s="44"/>
      <c r="G1172" s="18">
        <f>SUM(G1173:G1173)</f>
        <v>0.32316923076923076</v>
      </c>
      <c r="H1172" s="3"/>
      <c r="I1172" s="16"/>
      <c r="J1172" s="837" t="str">
        <f>'Obrazac kalkulacije'!$B$8</f>
        <v>Radna snaga:</v>
      </c>
      <c r="K1172" s="837"/>
      <c r="L1172" s="16"/>
      <c r="M1172" s="16"/>
      <c r="N1172" s="44"/>
      <c r="O1172" s="18">
        <f>SUM(O1173:O1173)</f>
        <v>0.14000499</v>
      </c>
    </row>
    <row r="1173" spans="1:15" ht="25.15" customHeight="1">
      <c r="A1173" s="32"/>
      <c r="B1173" s="854" t="s">
        <v>57</v>
      </c>
      <c r="C1173" s="854"/>
      <c r="D1173" s="637" t="s">
        <v>51</v>
      </c>
      <c r="E1173" s="104">
        <f>H1173/H1170</f>
        <v>3.0769230769230769E-3</v>
      </c>
      <c r="F1173" s="238">
        <f>SUMIF('Cjenik RS'!$C$11:$C$26,$B1173,'Cjenik RS'!$D$11:$D$90)</f>
        <v>105.03</v>
      </c>
      <c r="G1173" s="46">
        <f>+F1173*E1173</f>
        <v>0.32316923076923076</v>
      </c>
      <c r="H1173" s="560">
        <v>40</v>
      </c>
      <c r="I1173" s="32"/>
      <c r="J1173" s="854" t="s">
        <v>57</v>
      </c>
      <c r="K1173" s="854"/>
      <c r="L1173" s="33" t="s">
        <v>51</v>
      </c>
      <c r="M1173" s="34">
        <v>1.333E-3</v>
      </c>
      <c r="N1173" s="44">
        <f>SUMIF('Cjenik RS'!$C$11:$C$26,J1173,'Cjenik RS'!$D$11:$D$90)</f>
        <v>105.03</v>
      </c>
      <c r="O1173" s="35">
        <f>+N1173*M1173</f>
        <v>0.14000499</v>
      </c>
    </row>
    <row r="1174" spans="1:15" ht="25.15" customHeight="1">
      <c r="A1174" s="16"/>
      <c r="B1174" s="837" t="str">
        <f>'Obrazac kalkulacije'!$B$11</f>
        <v>Vozila, strojevi i oprema:</v>
      </c>
      <c r="C1174" s="837"/>
      <c r="D1174" s="16"/>
      <c r="E1174" s="16"/>
      <c r="F1174" s="238">
        <f>'Obrazac kalkulacije'!$F$11</f>
        <v>0</v>
      </c>
      <c r="G1174" s="18">
        <f>SUM(G1175:G1178)</f>
        <v>0.25732384615384618</v>
      </c>
      <c r="I1174" s="16"/>
      <c r="J1174" s="837" t="str">
        <f>'Obrazac kalkulacije'!$B$11</f>
        <v>Vozila, strojevi i oprema:</v>
      </c>
      <c r="K1174" s="837"/>
      <c r="L1174" s="16"/>
      <c r="M1174" s="16"/>
      <c r="N1174" s="238">
        <f>'Obrazac kalkulacije'!$F$11</f>
        <v>0</v>
      </c>
      <c r="O1174" s="18">
        <f>SUM(O1175:O1178)</f>
        <v>0.22481730000000003</v>
      </c>
    </row>
    <row r="1175" spans="1:15" ht="25.15" customHeight="1">
      <c r="A1175" s="16"/>
      <c r="B1175" s="838" t="s">
        <v>477</v>
      </c>
      <c r="C1175" s="838"/>
      <c r="D1175" s="44" t="s">
        <v>51</v>
      </c>
      <c r="E1175" s="104">
        <f>H1175/H1170</f>
        <v>3.8461538461538462E-4</v>
      </c>
      <c r="F1175" s="238">
        <f>SUMIF('Cjenik VSO'!$B$9:$B$85,$B1175,'Cjenik VSO'!$C$9:$C$85)</f>
        <v>290.85000000000002</v>
      </c>
      <c r="G1175" s="46">
        <f>E1175*F1175</f>
        <v>0.11186538461538463</v>
      </c>
      <c r="H1175" s="560">
        <v>5</v>
      </c>
      <c r="I1175" s="51"/>
      <c r="J1175" s="863" t="s">
        <v>477</v>
      </c>
      <c r="K1175" s="863"/>
      <c r="L1175" s="52" t="s">
        <v>51</v>
      </c>
      <c r="M1175" s="53">
        <v>4.44E-4</v>
      </c>
      <c r="N1175" s="260">
        <f>SUMIF('Cjenik VSO'!$B$9:$B$85,$B1175,'Cjenik VSO'!$C$9:$C$85)</f>
        <v>290.85000000000002</v>
      </c>
      <c r="O1175" s="55">
        <f>M1175*N1175</f>
        <v>0.12913740000000001</v>
      </c>
    </row>
    <row r="1176" spans="1:15" ht="25.15" customHeight="1">
      <c r="A1176" s="16"/>
      <c r="B1176" s="838" t="s">
        <v>478</v>
      </c>
      <c r="C1176" s="838"/>
      <c r="D1176" s="44" t="s">
        <v>51</v>
      </c>
      <c r="E1176" s="104">
        <f>H1176/H1170</f>
        <v>2.3076923076923076E-4</v>
      </c>
      <c r="F1176" s="238">
        <f>SUMIF('Cjenik VSO'!$B$9:$B$85,$B1176,'Cjenik VSO'!$C$9:$C$85)</f>
        <v>123.97</v>
      </c>
      <c r="G1176" s="46">
        <f>E1176*F1176</f>
        <v>2.8608461538461537E-2</v>
      </c>
      <c r="H1176" s="560">
        <v>3</v>
      </c>
      <c r="I1176" s="51"/>
      <c r="J1176" s="863"/>
      <c r="K1176" s="863"/>
      <c r="L1176" s="52"/>
      <c r="M1176" s="53"/>
      <c r="N1176" s="260"/>
      <c r="O1176" s="55">
        <f>M1176*N1176</f>
        <v>0</v>
      </c>
    </row>
    <row r="1177" spans="1:15" ht="25.15" customHeight="1">
      <c r="A1177" s="16"/>
      <c r="B1177" s="838" t="s">
        <v>183</v>
      </c>
      <c r="C1177" s="838"/>
      <c r="D1177" s="44" t="s">
        <v>51</v>
      </c>
      <c r="E1177" s="104">
        <f>H1177/H1170</f>
        <v>1.9230769230769231E-4</v>
      </c>
      <c r="F1177" s="238">
        <f>SUMIF('Cjenik VSO'!$B$9:$B$85,$B1177,'Cjenik VSO'!$C$9:$C$85)</f>
        <v>32.9</v>
      </c>
      <c r="G1177" s="46">
        <f>E1177*F1177</f>
        <v>6.3269230769230763E-3</v>
      </c>
      <c r="H1177" s="560">
        <v>2.5</v>
      </c>
      <c r="I1177" s="56"/>
      <c r="J1177" s="834" t="s">
        <v>183</v>
      </c>
      <c r="K1177" s="834"/>
      <c r="L1177" s="57" t="s">
        <v>51</v>
      </c>
      <c r="M1177" s="58">
        <v>7.4999999999999993E-5</v>
      </c>
      <c r="N1177" s="263">
        <f>SUMIF('Cjenik VSO'!$B$9:$B$85,$B1177,'Cjenik VSO'!$C$9:$C$85)</f>
        <v>32.9</v>
      </c>
      <c r="O1177" s="60">
        <f>M1177*N1177</f>
        <v>2.4674999999999996E-3</v>
      </c>
    </row>
    <row r="1178" spans="1:15" ht="25.15" customHeight="1">
      <c r="A1178" s="16"/>
      <c r="B1178" s="838" t="s">
        <v>69</v>
      </c>
      <c r="C1178" s="838"/>
      <c r="D1178" s="44" t="s">
        <v>51</v>
      </c>
      <c r="E1178" s="104">
        <f>H1178/H1170</f>
        <v>6.1538461538461541E-4</v>
      </c>
      <c r="F1178" s="238">
        <f>SUMIF('Cjenik VSO'!$B$9:$B$85,$B1178,'Cjenik VSO'!$C$9:$C$85)</f>
        <v>179.6</v>
      </c>
      <c r="G1178" s="46">
        <f>E1178*F1178</f>
        <v>0.11052307692307692</v>
      </c>
      <c r="H1178" s="560">
        <v>8</v>
      </c>
      <c r="I1178" s="61"/>
      <c r="J1178" s="864" t="s">
        <v>69</v>
      </c>
      <c r="K1178" s="864"/>
      <c r="L1178" s="62" t="s">
        <v>51</v>
      </c>
      <c r="M1178" s="63">
        <v>5.1900000000000004E-4</v>
      </c>
      <c r="N1178" s="261">
        <f>SUMIF('Cjenik VSO'!$B$9:$B$85,$B1178,'Cjenik VSO'!$C$9:$C$85)</f>
        <v>179.6</v>
      </c>
      <c r="O1178" s="65">
        <f>M1178*N1178</f>
        <v>9.3212400000000001E-2</v>
      </c>
    </row>
    <row r="1179" spans="1:15" ht="25.15" customHeight="1">
      <c r="A1179" s="16"/>
      <c r="B1179" s="837" t="str">
        <f>'Obrazac kalkulacije'!$B$15</f>
        <v>Materijali:</v>
      </c>
      <c r="C1179" s="837"/>
      <c r="D1179" s="16"/>
      <c r="E1179" s="16"/>
      <c r="F1179" s="238"/>
      <c r="G1179" s="18">
        <f>SUM(G1180:G1182)</f>
        <v>0</v>
      </c>
      <c r="H1179" s="560">
        <f>E1179*H1170</f>
        <v>0</v>
      </c>
      <c r="I1179" s="16"/>
      <c r="J1179" s="837" t="str">
        <f>'Obrazac kalkulacije'!$B$15</f>
        <v>Materijali:</v>
      </c>
      <c r="K1179" s="837"/>
      <c r="L1179" s="16"/>
      <c r="M1179" s="16"/>
      <c r="N1179" s="238"/>
      <c r="O1179" s="18">
        <f>SUM(O1180:O1182)</f>
        <v>0</v>
      </c>
    </row>
    <row r="1180" spans="1:15" ht="25.15" customHeight="1">
      <c r="A1180" s="16"/>
      <c r="B1180" s="838">
        <f>'Cjenik M'!$B$72</f>
        <v>0</v>
      </c>
      <c r="C1180" s="838"/>
      <c r="D1180" s="44">
        <f>'Cjenik M'!$C$72</f>
        <v>0</v>
      </c>
      <c r="E1180" s="45">
        <v>7.4399999999999994E-2</v>
      </c>
      <c r="F1180" s="238">
        <f>'Cjenik M'!$D$72</f>
        <v>0</v>
      </c>
      <c r="G1180" s="46">
        <f>E1180*F1180</f>
        <v>0</v>
      </c>
      <c r="I1180" s="51"/>
      <c r="J1180" s="863">
        <f>'Cjenik M'!$B$72</f>
        <v>0</v>
      </c>
      <c r="K1180" s="863"/>
      <c r="L1180" s="52">
        <f>'Cjenik M'!$C$72</f>
        <v>0</v>
      </c>
      <c r="M1180" s="53">
        <v>7.4399999999999994E-2</v>
      </c>
      <c r="N1180" s="260">
        <f>'Cjenik M'!$D$72</f>
        <v>0</v>
      </c>
      <c r="O1180" s="55">
        <f>M1180*N1180</f>
        <v>0</v>
      </c>
    </row>
    <row r="1181" spans="1:15" ht="25.15" customHeight="1">
      <c r="A1181" s="16"/>
      <c r="B1181" s="838">
        <f>'Cjenik M'!$B$103</f>
        <v>0</v>
      </c>
      <c r="C1181" s="838"/>
      <c r="D1181" s="44">
        <f>'Cjenik M'!$C$103</f>
        <v>0</v>
      </c>
      <c r="E1181" s="45">
        <v>4.8000000000000001E-2</v>
      </c>
      <c r="F1181" s="238">
        <f>'Cjenik M'!$D$103</f>
        <v>0</v>
      </c>
      <c r="G1181" s="46">
        <f>E1181*F1181</f>
        <v>0</v>
      </c>
      <c r="I1181" s="56"/>
      <c r="J1181" s="834">
        <f>'Cjenik M'!$B$103</f>
        <v>0</v>
      </c>
      <c r="K1181" s="834"/>
      <c r="L1181" s="57">
        <f>'Cjenik M'!$C$103</f>
        <v>0</v>
      </c>
      <c r="M1181" s="58">
        <v>4.8000000000000001E-2</v>
      </c>
      <c r="N1181" s="263">
        <f>'Cjenik M'!$D$103</f>
        <v>0</v>
      </c>
      <c r="O1181" s="60">
        <f>M1181*N1181</f>
        <v>0</v>
      </c>
    </row>
    <row r="1182" spans="1:15" ht="25.15" customHeight="1" thickBot="1">
      <c r="A1182" s="16"/>
      <c r="B1182" s="838">
        <f>'Cjenik M'!$B$74</f>
        <v>0</v>
      </c>
      <c r="C1182" s="838"/>
      <c r="D1182" s="44">
        <f>'Cjenik M'!$C$74</f>
        <v>0</v>
      </c>
      <c r="E1182" s="45">
        <v>8.6309999999999998E-3</v>
      </c>
      <c r="F1182" s="238">
        <f>'Cjenik M'!$D$74</f>
        <v>0</v>
      </c>
      <c r="G1182" s="46">
        <f>E1182*F1182</f>
        <v>0</v>
      </c>
      <c r="I1182" s="66"/>
      <c r="J1182" s="834">
        <f>'Cjenik M'!$B$74</f>
        <v>0</v>
      </c>
      <c r="K1182" s="834"/>
      <c r="L1182" s="57">
        <f>'Cjenik M'!$C$74</f>
        <v>0</v>
      </c>
      <c r="M1182" s="58">
        <v>8.6309999999999998E-3</v>
      </c>
      <c r="N1182" s="263">
        <f>'Cjenik M'!$D$74</f>
        <v>0</v>
      </c>
      <c r="O1182" s="60">
        <f>M1182*N1182</f>
        <v>0</v>
      </c>
    </row>
    <row r="1183" spans="1:15" ht="25.15" customHeight="1" thickTop="1" thickBot="1">
      <c r="E1183" s="868" t="str">
        <f>'Obrazac kalkulacije'!$E$18</f>
        <v>Ukupno (kn):</v>
      </c>
      <c r="F1183" s="868"/>
      <c r="G1183" s="71">
        <f>ROUND(SUM(G1172+G1174+G1179),2)</f>
        <v>0.57999999999999996</v>
      </c>
      <c r="H1183" s="269" t="e">
        <f>SUMIF(#REF!,$B1168,#REF!)</f>
        <v>#REF!</v>
      </c>
      <c r="J1183" s="47"/>
      <c r="K1183" s="24"/>
      <c r="L1183" s="25"/>
      <c r="M1183" s="850" t="str">
        <f>'Obrazac kalkulacije'!$E$18</f>
        <v>Ukupno (kn):</v>
      </c>
      <c r="N1183" s="850"/>
      <c r="O1183" s="26">
        <f>ROUND(SUM(O1172+O1174+O1179),2)</f>
        <v>0.36</v>
      </c>
    </row>
    <row r="1184" spans="1:15" ht="25.15" customHeight="1" thickTop="1" thickBot="1">
      <c r="E1184" s="27" t="str">
        <f>'Obrazac kalkulacije'!$E$19</f>
        <v>PDV:</v>
      </c>
      <c r="F1184" s="259">
        <f>'Obrazac kalkulacije'!$F$19</f>
        <v>0.25</v>
      </c>
      <c r="G1184" s="29">
        <f>G1183*F1184</f>
        <v>0.14499999999999999</v>
      </c>
      <c r="H1184" s="270" t="e">
        <f>H1183-G1183</f>
        <v>#REF!</v>
      </c>
      <c r="M1184" s="27" t="str">
        <f>'Obrazac kalkulacije'!$E$19</f>
        <v>PDV:</v>
      </c>
      <c r="N1184" s="259">
        <f>'Obrazac kalkulacije'!$F$19</f>
        <v>0.25</v>
      </c>
      <c r="O1184" s="29">
        <f>O1183*N1184</f>
        <v>0.09</v>
      </c>
    </row>
    <row r="1185" spans="1:15" ht="25.15" customHeight="1" thickTop="1" thickBot="1">
      <c r="E1185" s="840" t="str">
        <f>'Obrazac kalkulacije'!$E$20</f>
        <v>Sveukupno (kn):</v>
      </c>
      <c r="F1185" s="840"/>
      <c r="G1185" s="29">
        <f>ROUND(SUM(G1183:G1184),2)</f>
        <v>0.73</v>
      </c>
      <c r="H1185" s="271" t="e">
        <f>G1175+H1184</f>
        <v>#REF!</v>
      </c>
      <c r="M1185" s="840" t="str">
        <f>'Obrazac kalkulacije'!$E$20</f>
        <v>Sveukupno (kn):</v>
      </c>
      <c r="N1185" s="840"/>
      <c r="O1185" s="29">
        <f>ROUND(SUM(O1183:O1184),2)</f>
        <v>0.45</v>
      </c>
    </row>
    <row r="1186" spans="1:15" ht="15" customHeight="1" thickTop="1"/>
    <row r="1187" spans="1:15" ht="15" customHeight="1"/>
    <row r="1188" spans="1:15" ht="15" customHeight="1"/>
    <row r="1189" spans="1:15" ht="15" customHeight="1">
      <c r="C1189" s="3" t="str">
        <f>'Obrazac kalkulacije'!$C$24</f>
        <v>IZVODITELJ:</v>
      </c>
      <c r="F1189" s="841" t="str">
        <f>'Obrazac kalkulacije'!$F$24</f>
        <v>NARUČITELJ:</v>
      </c>
      <c r="G1189" s="841"/>
      <c r="K1189" s="3" t="str">
        <f>'Obrazac kalkulacije'!$C$24</f>
        <v>IZVODITELJ:</v>
      </c>
      <c r="N1189" s="841" t="str">
        <f>'Obrazac kalkulacije'!$F$24</f>
        <v>NARUČITELJ:</v>
      </c>
      <c r="O1189" s="841"/>
    </row>
    <row r="1190" spans="1:15" ht="25.15" customHeight="1">
      <c r="C1190" s="3" t="str">
        <f>'Obrazac kalkulacije'!$C$25</f>
        <v>__________________</v>
      </c>
      <c r="F1190" s="841" t="str">
        <f>'Obrazac kalkulacije'!$F$25</f>
        <v>___________________</v>
      </c>
      <c r="G1190" s="841"/>
      <c r="K1190" s="3" t="str">
        <f>'Obrazac kalkulacije'!$C$25</f>
        <v>__________________</v>
      </c>
      <c r="N1190" s="841" t="str">
        <f>'Obrazac kalkulacije'!$F$25</f>
        <v>___________________</v>
      </c>
      <c r="O1190" s="841"/>
    </row>
    <row r="1191" spans="1:15" ht="15" customHeight="1">
      <c r="C1191" s="3"/>
      <c r="G1191" s="30"/>
      <c r="K1191" s="3"/>
      <c r="O1191" s="30"/>
    </row>
    <row r="1192" spans="1:15" ht="15" customHeight="1"/>
    <row r="1193" spans="1:15" ht="15" customHeight="1">
      <c r="A1193" s="144"/>
      <c r="B1193" s="145" t="s">
        <v>39</v>
      </c>
      <c r="C1193" s="836" t="s">
        <v>360</v>
      </c>
      <c r="D1193" s="836"/>
      <c r="E1193" s="836"/>
      <c r="F1193" s="836"/>
      <c r="G1193" s="836"/>
      <c r="I1193" s="144"/>
      <c r="J1193" s="145" t="s">
        <v>39</v>
      </c>
      <c r="K1193" s="836" t="s">
        <v>360</v>
      </c>
      <c r="L1193" s="836"/>
      <c r="M1193" s="836"/>
      <c r="N1193" s="836"/>
      <c r="O1193" s="836"/>
    </row>
    <row r="1194" spans="1:15" ht="15" customHeight="1">
      <c r="A1194" s="38"/>
      <c r="B1194" s="39" t="s">
        <v>46</v>
      </c>
      <c r="C1194" s="860" t="s">
        <v>470</v>
      </c>
      <c r="D1194" s="860"/>
      <c r="E1194" s="860"/>
      <c r="F1194" s="860"/>
      <c r="G1194" s="860"/>
      <c r="I1194" s="38"/>
      <c r="J1194" s="39" t="s">
        <v>46</v>
      </c>
      <c r="K1194" s="860" t="s">
        <v>470</v>
      </c>
      <c r="L1194" s="860"/>
      <c r="M1194" s="860"/>
      <c r="N1194" s="860"/>
      <c r="O1194" s="860"/>
    </row>
    <row r="1195" spans="1:15" ht="15" customHeight="1">
      <c r="A1195" s="48"/>
      <c r="B1195" s="49" t="s">
        <v>47</v>
      </c>
      <c r="C1195" s="883" t="s">
        <v>471</v>
      </c>
      <c r="D1195" s="883"/>
      <c r="E1195" s="883"/>
      <c r="F1195" s="883"/>
      <c r="G1195" s="883"/>
      <c r="I1195" s="48"/>
      <c r="J1195" s="49" t="s">
        <v>47</v>
      </c>
      <c r="K1195" s="883" t="s">
        <v>471</v>
      </c>
      <c r="L1195" s="883"/>
      <c r="M1195" s="883"/>
      <c r="N1195" s="883"/>
      <c r="O1195" s="883"/>
    </row>
    <row r="1196" spans="1:15" ht="15" customHeight="1">
      <c r="A1196" s="95"/>
      <c r="B1196" s="96" t="s">
        <v>496</v>
      </c>
      <c r="C1196" s="882" t="s">
        <v>497</v>
      </c>
      <c r="D1196" s="882"/>
      <c r="E1196" s="882"/>
      <c r="F1196" s="882"/>
      <c r="G1196" s="882"/>
      <c r="I1196" s="95"/>
      <c r="J1196" s="96" t="s">
        <v>496</v>
      </c>
      <c r="K1196" s="882" t="s">
        <v>497</v>
      </c>
      <c r="L1196" s="882"/>
      <c r="M1196" s="882"/>
      <c r="N1196" s="882"/>
      <c r="O1196" s="882"/>
    </row>
    <row r="1197" spans="1:15" ht="150" customHeight="1">
      <c r="A1197" s="40"/>
      <c r="B1197" s="556" t="s">
        <v>503</v>
      </c>
      <c r="C1197" s="852" t="s">
        <v>509</v>
      </c>
      <c r="D1197" s="852"/>
      <c r="E1197" s="852"/>
      <c r="F1197" s="852"/>
      <c r="G1197" s="852"/>
      <c r="I1197" s="40"/>
      <c r="J1197" s="41" t="s">
        <v>510</v>
      </c>
      <c r="K1197" s="869" t="s">
        <v>509</v>
      </c>
      <c r="L1197" s="869"/>
      <c r="M1197" s="869"/>
      <c r="N1197" s="869"/>
      <c r="O1197" s="869"/>
    </row>
    <row r="1198" spans="1:15" ht="15" customHeight="1" thickBot="1"/>
    <row r="1199" spans="1:15" ht="30" customHeight="1" thickTop="1" thickBot="1">
      <c r="A1199" s="10"/>
      <c r="B1199" s="835" t="str">
        <f>'Obrazac kalkulacije'!$B$6:$C$6</f>
        <v>Opis</v>
      </c>
      <c r="C1199" s="835"/>
      <c r="D1199" s="10" t="str">
        <f>'Obrazac kalkulacije'!$D$6</f>
        <v>Jed.
mjere</v>
      </c>
      <c r="E1199" s="10" t="str">
        <f>'Obrazac kalkulacije'!$E$6</f>
        <v>Normativ</v>
      </c>
      <c r="F1199" s="10" t="str">
        <f>'Obrazac kalkulacije'!$F$6</f>
        <v>Jed.
cijena</v>
      </c>
      <c r="G1199" s="10" t="str">
        <f>'Obrazac kalkulacije'!$G$6</f>
        <v>Iznos</v>
      </c>
      <c r="H1199" s="622">
        <v>13000</v>
      </c>
      <c r="I1199" s="10"/>
      <c r="J1199" s="835" t="e">
        <f>'Obrazac kalkulacije'!$B$6:$C$6</f>
        <v>#VALUE!</v>
      </c>
      <c r="K1199" s="835"/>
      <c r="L1199" s="10" t="str">
        <f>'Obrazac kalkulacije'!$D$6</f>
        <v>Jed.
mjere</v>
      </c>
      <c r="M1199" s="10" t="str">
        <f>'Obrazac kalkulacije'!$E$6</f>
        <v>Normativ</v>
      </c>
      <c r="N1199" s="10" t="str">
        <f>'Obrazac kalkulacije'!$F$6</f>
        <v>Jed.
cijena</v>
      </c>
      <c r="O1199" s="10" t="str">
        <f>'Obrazac kalkulacije'!$G$6</f>
        <v>Iznos</v>
      </c>
    </row>
    <row r="1200" spans="1:15" ht="4.5" customHeight="1" thickTop="1">
      <c r="B1200" s="42"/>
      <c r="C1200" s="1"/>
      <c r="D1200" s="11"/>
      <c r="E1200" s="13"/>
      <c r="F1200" s="258"/>
      <c r="G1200" s="15"/>
      <c r="H1200" s="3"/>
      <c r="J1200" s="42"/>
      <c r="K1200" s="1"/>
      <c r="L1200" s="11"/>
      <c r="M1200" s="13"/>
      <c r="N1200" s="258"/>
      <c r="O1200" s="15"/>
    </row>
    <row r="1201" spans="1:15" ht="25.15" customHeight="1">
      <c r="A1201" s="16"/>
      <c r="B1201" s="837" t="str">
        <f>'Obrazac kalkulacije'!$B$8</f>
        <v>Radna snaga:</v>
      </c>
      <c r="C1201" s="837"/>
      <c r="D1201" s="16"/>
      <c r="E1201" s="16"/>
      <c r="F1201" s="44"/>
      <c r="G1201" s="18">
        <f>SUM(G1202:G1202)</f>
        <v>0.25853538461538461</v>
      </c>
      <c r="H1201" s="3"/>
      <c r="I1201" s="16"/>
      <c r="J1201" s="837" t="str">
        <f>'Obrazac kalkulacije'!$B$8</f>
        <v>Radna snaga:</v>
      </c>
      <c r="K1201" s="837"/>
      <c r="L1201" s="16"/>
      <c r="M1201" s="16"/>
      <c r="N1201" s="44"/>
      <c r="O1201" s="18">
        <f>SUM(O1202:O1202)</f>
        <v>0.14000499</v>
      </c>
    </row>
    <row r="1202" spans="1:15" ht="25.15" customHeight="1">
      <c r="A1202" s="32"/>
      <c r="B1202" s="854" t="s">
        <v>57</v>
      </c>
      <c r="C1202" s="854"/>
      <c r="D1202" s="637" t="s">
        <v>51</v>
      </c>
      <c r="E1202" s="104">
        <f>H1202/H1199</f>
        <v>2.4615384615384616E-3</v>
      </c>
      <c r="F1202" s="238">
        <f>SUMIF('Cjenik RS'!$C$11:$C$26,$B1202,'Cjenik RS'!$D$11:$D$90)</f>
        <v>105.03</v>
      </c>
      <c r="G1202" s="46">
        <f>+F1202*E1202</f>
        <v>0.25853538461538461</v>
      </c>
      <c r="H1202" s="560">
        <v>32</v>
      </c>
      <c r="I1202" s="32"/>
      <c r="J1202" s="854" t="s">
        <v>57</v>
      </c>
      <c r="K1202" s="854"/>
      <c r="L1202" s="33" t="s">
        <v>51</v>
      </c>
      <c r="M1202" s="34">
        <v>1.333E-3</v>
      </c>
      <c r="N1202" s="44">
        <f>SUMIF('Cjenik RS'!$C$11:$C$26,J1202,'Cjenik RS'!$D$11:$D$90)</f>
        <v>105.03</v>
      </c>
      <c r="O1202" s="35">
        <f>+N1202*M1202</f>
        <v>0.14000499</v>
      </c>
    </row>
    <row r="1203" spans="1:15" ht="25.15" customHeight="1">
      <c r="A1203" s="16"/>
      <c r="B1203" s="837" t="str">
        <f>'Obrazac kalkulacije'!$B$11</f>
        <v>Vozila, strojevi i oprema:</v>
      </c>
      <c r="C1203" s="837"/>
      <c r="D1203" s="16"/>
      <c r="E1203" s="16"/>
      <c r="F1203" s="238">
        <f>'Obrazac kalkulacije'!$F$11</f>
        <v>0</v>
      </c>
      <c r="G1203" s="18">
        <f>SUM(G1204:G1209)</f>
        <v>0.37775461538461541</v>
      </c>
      <c r="I1203" s="16"/>
      <c r="J1203" s="837" t="str">
        <f>'Obrazac kalkulacije'!$B$11</f>
        <v>Vozila, strojevi i oprema:</v>
      </c>
      <c r="K1203" s="837"/>
      <c r="L1203" s="16"/>
      <c r="M1203" s="16"/>
      <c r="N1203" s="238">
        <f>'Obrazac kalkulacije'!$F$11</f>
        <v>0</v>
      </c>
      <c r="O1203" s="18">
        <f>SUM(O1204:O1209)</f>
        <v>0.31328793000000005</v>
      </c>
    </row>
    <row r="1204" spans="1:15" ht="25.15" customHeight="1">
      <c r="A1204" s="16"/>
      <c r="B1204" s="838" t="s">
        <v>477</v>
      </c>
      <c r="C1204" s="838"/>
      <c r="D1204" s="44" t="s">
        <v>51</v>
      </c>
      <c r="E1204" s="104">
        <f>H1204/H1199</f>
        <v>3.8461538461538462E-4</v>
      </c>
      <c r="F1204" s="238">
        <f>SUMIF('Cjenik VSO'!$B$9:$B$85,$B1204,'Cjenik VSO'!$C$9:$C$85)</f>
        <v>290.85000000000002</v>
      </c>
      <c r="G1204" s="46">
        <f t="shared" ref="G1204:G1209" si="8">E1204*F1204</f>
        <v>0.11186538461538463</v>
      </c>
      <c r="H1204" s="560">
        <v>5</v>
      </c>
      <c r="I1204" s="51"/>
      <c r="J1204" s="863" t="s">
        <v>477</v>
      </c>
      <c r="K1204" s="863"/>
      <c r="L1204" s="52" t="s">
        <v>51</v>
      </c>
      <c r="M1204" s="53">
        <v>4.44E-4</v>
      </c>
      <c r="N1204" s="260">
        <f>SUMIF('Cjenik VSO'!$B$9:$B$85,$B1204,'Cjenik VSO'!$C$9:$C$85)</f>
        <v>290.85000000000002</v>
      </c>
      <c r="O1204" s="55">
        <f t="shared" ref="O1204:O1209" si="9">M1204*N1204</f>
        <v>0.12913740000000001</v>
      </c>
    </row>
    <row r="1205" spans="1:15" ht="25.15" customHeight="1">
      <c r="A1205" s="16"/>
      <c r="B1205" s="838" t="s">
        <v>183</v>
      </c>
      <c r="C1205" s="838"/>
      <c r="D1205" s="44" t="s">
        <v>51</v>
      </c>
      <c r="E1205" s="104">
        <f>H1205/H1199</f>
        <v>1.9230769230769231E-4</v>
      </c>
      <c r="F1205" s="238">
        <f>SUMIF('Cjenik VSO'!$B$9:$B$85,$B1205,'Cjenik VSO'!$C$9:$C$85)</f>
        <v>32.9</v>
      </c>
      <c r="G1205" s="46">
        <f t="shared" si="8"/>
        <v>6.3269230769230763E-3</v>
      </c>
      <c r="H1205" s="560">
        <v>2.5</v>
      </c>
      <c r="I1205" s="56"/>
      <c r="J1205" s="834" t="s">
        <v>183</v>
      </c>
      <c r="K1205" s="834"/>
      <c r="L1205" s="57" t="s">
        <v>51</v>
      </c>
      <c r="M1205" s="58">
        <v>7.4999999999999993E-5</v>
      </c>
      <c r="N1205" s="263">
        <f>SUMIF('Cjenik VSO'!$B$9:$B$85,$B1205,'Cjenik VSO'!$C$9:$C$85)</f>
        <v>32.9</v>
      </c>
      <c r="O1205" s="60">
        <f t="shared" si="9"/>
        <v>2.4674999999999996E-3</v>
      </c>
    </row>
    <row r="1206" spans="1:15" ht="25.15" customHeight="1">
      <c r="A1206" s="16"/>
      <c r="B1206" s="838" t="s">
        <v>69</v>
      </c>
      <c r="C1206" s="838"/>
      <c r="D1206" s="44" t="s">
        <v>51</v>
      </c>
      <c r="E1206" s="104">
        <f>H1206/H1199</f>
        <v>6.1538461538461541E-4</v>
      </c>
      <c r="F1206" s="238">
        <f>SUMIF('Cjenik VSO'!$B$9:$B$85,$B1206,'Cjenik VSO'!$C$9:$C$85)</f>
        <v>179.6</v>
      </c>
      <c r="G1206" s="46">
        <f t="shared" si="8"/>
        <v>0.11052307692307692</v>
      </c>
      <c r="H1206" s="560">
        <v>8</v>
      </c>
      <c r="I1206" s="56"/>
      <c r="J1206" s="834" t="s">
        <v>69</v>
      </c>
      <c r="K1206" s="834"/>
      <c r="L1206" s="57" t="s">
        <v>51</v>
      </c>
      <c r="M1206" s="58">
        <v>5.1900000000000004E-4</v>
      </c>
      <c r="N1206" s="263">
        <f>SUMIF('Cjenik VSO'!$B$9:$B$85,$B1206,'Cjenik VSO'!$C$9:$C$85)</f>
        <v>179.6</v>
      </c>
      <c r="O1206" s="60">
        <f t="shared" si="9"/>
        <v>9.3212400000000001E-2</v>
      </c>
    </row>
    <row r="1207" spans="1:15" ht="25.15" customHeight="1">
      <c r="A1207" s="16"/>
      <c r="B1207" s="838" t="s">
        <v>478</v>
      </c>
      <c r="C1207" s="838"/>
      <c r="D1207" s="44" t="s">
        <v>51</v>
      </c>
      <c r="E1207" s="104">
        <f>H1207/H1199</f>
        <v>2.3076923076923076E-4</v>
      </c>
      <c r="F1207" s="238">
        <f>SUMIF('Cjenik VSO'!$B$9:$B$85,$B1207,'Cjenik VSO'!$C$9:$C$85)</f>
        <v>123.97</v>
      </c>
      <c r="G1207" s="46">
        <f t="shared" si="8"/>
        <v>2.8608461538461537E-2</v>
      </c>
      <c r="H1207" s="560">
        <v>3</v>
      </c>
      <c r="I1207" s="51"/>
      <c r="J1207" s="863"/>
      <c r="K1207" s="863"/>
      <c r="L1207" s="52"/>
      <c r="M1207" s="53"/>
      <c r="N1207" s="260"/>
      <c r="O1207" s="55">
        <f t="shared" si="9"/>
        <v>0</v>
      </c>
    </row>
    <row r="1208" spans="1:15" ht="25.15" customHeight="1">
      <c r="A1208" s="16"/>
      <c r="B1208" s="838" t="s">
        <v>60</v>
      </c>
      <c r="C1208" s="838"/>
      <c r="D1208" s="44" t="s">
        <v>51</v>
      </c>
      <c r="E1208" s="104">
        <f>H1208/H1199</f>
        <v>3.076923076923077E-4</v>
      </c>
      <c r="F1208" s="238">
        <f>SUMIF('Cjenik VSO'!$B$9:$B$85,$B1208,'Cjenik VSO'!$C$9:$C$85)</f>
        <v>328.73</v>
      </c>
      <c r="G1208" s="46">
        <f t="shared" si="8"/>
        <v>0.10114769230769231</v>
      </c>
      <c r="H1208" s="560">
        <v>4</v>
      </c>
      <c r="I1208" s="56"/>
      <c r="J1208" s="834" t="s">
        <v>60</v>
      </c>
      <c r="K1208" s="834"/>
      <c r="L1208" s="57" t="s">
        <v>51</v>
      </c>
      <c r="M1208" s="58">
        <v>2.31E-4</v>
      </c>
      <c r="N1208" s="263">
        <f>SUMIF('Cjenik VSO'!$B$9:$B$85,$B1208,'Cjenik VSO'!$C$9:$C$85)</f>
        <v>328.73</v>
      </c>
      <c r="O1208" s="60">
        <f t="shared" si="9"/>
        <v>7.5936630000000005E-2</v>
      </c>
    </row>
    <row r="1209" spans="1:15" ht="25.15" customHeight="1">
      <c r="A1209" s="16"/>
      <c r="B1209" s="838" t="s">
        <v>61</v>
      </c>
      <c r="C1209" s="838"/>
      <c r="D1209" s="44" t="s">
        <v>51</v>
      </c>
      <c r="E1209" s="104">
        <f>H1209/H1199</f>
        <v>3.076923076923077E-4</v>
      </c>
      <c r="F1209" s="238">
        <f>SUMIF('Cjenik VSO'!$B$9:$B$85,$B1209,'Cjenik VSO'!$C$9:$C$85)</f>
        <v>62.67</v>
      </c>
      <c r="G1209" s="46">
        <f t="shared" si="8"/>
        <v>1.9283076923076924E-2</v>
      </c>
      <c r="H1209" s="560">
        <v>4</v>
      </c>
      <c r="I1209" s="61"/>
      <c r="J1209" s="864" t="s">
        <v>61</v>
      </c>
      <c r="K1209" s="864"/>
      <c r="L1209" s="62" t="s">
        <v>51</v>
      </c>
      <c r="M1209" s="63">
        <v>2.0000000000000001E-4</v>
      </c>
      <c r="N1209" s="261">
        <f>SUMIF('Cjenik VSO'!$B$9:$B$85,$B1209,'Cjenik VSO'!$C$9:$C$85)</f>
        <v>62.67</v>
      </c>
      <c r="O1209" s="65">
        <f t="shared" si="9"/>
        <v>1.2534000000000002E-2</v>
      </c>
    </row>
    <row r="1210" spans="1:15" ht="25.15" customHeight="1">
      <c r="A1210" s="16"/>
      <c r="B1210" s="837" t="str">
        <f>'Obrazac kalkulacije'!$B$15</f>
        <v>Materijali:</v>
      </c>
      <c r="C1210" s="837"/>
      <c r="D1210" s="16"/>
      <c r="E1210" s="16"/>
      <c r="F1210" s="238"/>
      <c r="G1210" s="18">
        <f>SUM(G1211:G1213)</f>
        <v>0</v>
      </c>
      <c r="I1210" s="16"/>
      <c r="J1210" s="837" t="str">
        <f>'Obrazac kalkulacije'!$B$15</f>
        <v>Materijali:</v>
      </c>
      <c r="K1210" s="837"/>
      <c r="L1210" s="16"/>
      <c r="M1210" s="16"/>
      <c r="N1210" s="238"/>
      <c r="O1210" s="18">
        <f>SUM(O1211:O1213)</f>
        <v>0</v>
      </c>
    </row>
    <row r="1211" spans="1:15" ht="25.15" customHeight="1">
      <c r="A1211" s="16"/>
      <c r="B1211" s="838">
        <f>'Cjenik M'!$B$72</f>
        <v>0</v>
      </c>
      <c r="C1211" s="838"/>
      <c r="D1211" s="44">
        <f>'Cjenik M'!$C$72</f>
        <v>0</v>
      </c>
      <c r="E1211" s="45">
        <v>3.7199999999999997E-2</v>
      </c>
      <c r="F1211" s="238">
        <f>'Cjenik M'!$D$72</f>
        <v>0</v>
      </c>
      <c r="G1211" s="46">
        <f>E1211*F1211</f>
        <v>0</v>
      </c>
      <c r="I1211" s="51"/>
      <c r="J1211" s="863">
        <f>'Cjenik M'!$B$72</f>
        <v>0</v>
      </c>
      <c r="K1211" s="863"/>
      <c r="L1211" s="52">
        <f>'Cjenik M'!$C$72</f>
        <v>0</v>
      </c>
      <c r="M1211" s="53">
        <v>3.7199999999999997E-2</v>
      </c>
      <c r="N1211" s="260">
        <f>'Cjenik M'!$D$72</f>
        <v>0</v>
      </c>
      <c r="O1211" s="55">
        <f>M1211*N1211</f>
        <v>0</v>
      </c>
    </row>
    <row r="1212" spans="1:15" ht="25.15" customHeight="1">
      <c r="A1212" s="16"/>
      <c r="B1212" s="838">
        <f>'Cjenik M'!$B$102</f>
        <v>0</v>
      </c>
      <c r="C1212" s="838"/>
      <c r="D1212" s="44">
        <f>'Cjenik M'!$C$102</f>
        <v>0</v>
      </c>
      <c r="E1212" s="45">
        <v>1.95E-2</v>
      </c>
      <c r="F1212" s="238">
        <f>'Cjenik M'!$D$102</f>
        <v>0</v>
      </c>
      <c r="G1212" s="46">
        <f>E1212*F1212</f>
        <v>0</v>
      </c>
      <c r="I1212" s="56"/>
      <c r="J1212" s="834">
        <f>'Cjenik M'!$B$102</f>
        <v>0</v>
      </c>
      <c r="K1212" s="834"/>
      <c r="L1212" s="57">
        <f>'Cjenik M'!$C$102</f>
        <v>0</v>
      </c>
      <c r="M1212" s="58">
        <v>1.95E-2</v>
      </c>
      <c r="N1212" s="263">
        <f>'Cjenik M'!$D$102</f>
        <v>0</v>
      </c>
      <c r="O1212" s="60">
        <f>M1212*N1212</f>
        <v>0</v>
      </c>
    </row>
    <row r="1213" spans="1:15" ht="25.15" customHeight="1" thickBot="1">
      <c r="A1213" s="16"/>
      <c r="B1213" s="838">
        <f>'Cjenik M'!$B$74</f>
        <v>0</v>
      </c>
      <c r="C1213" s="838"/>
      <c r="D1213" s="44">
        <f>'Cjenik M'!$C$74</f>
        <v>0</v>
      </c>
      <c r="E1213" s="45">
        <v>4.385E-3</v>
      </c>
      <c r="F1213" s="238">
        <f>'Cjenik M'!$D$74</f>
        <v>0</v>
      </c>
      <c r="G1213" s="46">
        <f>E1213*F1213</f>
        <v>0</v>
      </c>
      <c r="I1213" s="66"/>
      <c r="J1213" s="834">
        <f>'Cjenik M'!$B$74</f>
        <v>0</v>
      </c>
      <c r="K1213" s="834"/>
      <c r="L1213" s="57">
        <f>'Cjenik M'!$C$74</f>
        <v>0</v>
      </c>
      <c r="M1213" s="58">
        <v>4.385E-3</v>
      </c>
      <c r="N1213" s="263">
        <f>'Cjenik M'!$D$74</f>
        <v>0</v>
      </c>
      <c r="O1213" s="60">
        <f>M1213*N1213</f>
        <v>0</v>
      </c>
    </row>
    <row r="1214" spans="1:15" ht="25.15" customHeight="1" thickTop="1" thickBot="1">
      <c r="E1214" s="868" t="str">
        <f>'Obrazac kalkulacije'!$E$18</f>
        <v>Ukupno (kn):</v>
      </c>
      <c r="F1214" s="868"/>
      <c r="G1214" s="71">
        <f>ROUND(SUM(G1201+G1203+G1210),2)</f>
        <v>0.64</v>
      </c>
      <c r="H1214" s="269" t="e">
        <f>SUMIF(#REF!,$B1197,#REF!)</f>
        <v>#REF!</v>
      </c>
      <c r="J1214" s="47"/>
      <c r="K1214" s="24"/>
      <c r="L1214" s="25"/>
      <c r="M1214" s="850" t="str">
        <f>'Obrazac kalkulacije'!$E$18</f>
        <v>Ukupno (kn):</v>
      </c>
      <c r="N1214" s="850"/>
      <c r="O1214" s="26">
        <f>ROUND(SUM(O1201+O1203+O1210),2)</f>
        <v>0.45</v>
      </c>
    </row>
    <row r="1215" spans="1:15" ht="25.15" customHeight="1" thickTop="1" thickBot="1">
      <c r="E1215" s="27" t="str">
        <f>'Obrazac kalkulacije'!$E$19</f>
        <v>PDV:</v>
      </c>
      <c r="F1215" s="259">
        <f>'Obrazac kalkulacije'!$F$19</f>
        <v>0.25</v>
      </c>
      <c r="G1215" s="29">
        <f>G1214*F1215</f>
        <v>0.16</v>
      </c>
      <c r="H1215" s="270" t="e">
        <f>H1214-G1214</f>
        <v>#REF!</v>
      </c>
      <c r="M1215" s="27" t="str">
        <f>'Obrazac kalkulacije'!$E$19</f>
        <v>PDV:</v>
      </c>
      <c r="N1215" s="259">
        <f>'Obrazac kalkulacije'!$F$19</f>
        <v>0.25</v>
      </c>
      <c r="O1215" s="29">
        <f>O1214*N1215</f>
        <v>0.1125</v>
      </c>
    </row>
    <row r="1216" spans="1:15" ht="25.15" customHeight="1" thickTop="1" thickBot="1">
      <c r="E1216" s="840" t="str">
        <f>'Obrazac kalkulacije'!$E$20</f>
        <v>Sveukupno (kn):</v>
      </c>
      <c r="F1216" s="840"/>
      <c r="G1216" s="29">
        <f>ROUND(SUM(G1214:G1215),2)</f>
        <v>0.8</v>
      </c>
      <c r="H1216" s="271" t="e">
        <f>G1204+H1215</f>
        <v>#REF!</v>
      </c>
      <c r="M1216" s="840" t="str">
        <f>'Obrazac kalkulacije'!$E$20</f>
        <v>Sveukupno (kn):</v>
      </c>
      <c r="N1216" s="840"/>
      <c r="O1216" s="29">
        <f>ROUND(SUM(O1214:O1215),2)</f>
        <v>0.56000000000000005</v>
      </c>
    </row>
    <row r="1217" spans="1:15" ht="15" customHeight="1" thickTop="1"/>
    <row r="1218" spans="1:15" ht="15" customHeight="1"/>
    <row r="1219" spans="1:15" ht="15" customHeight="1"/>
    <row r="1220" spans="1:15" ht="15" customHeight="1">
      <c r="C1220" s="3" t="str">
        <f>'Obrazac kalkulacije'!$C$24</f>
        <v>IZVODITELJ:</v>
      </c>
      <c r="F1220" s="841" t="str">
        <f>'Obrazac kalkulacije'!$F$24</f>
        <v>NARUČITELJ:</v>
      </c>
      <c r="G1220" s="841"/>
      <c r="K1220" s="3" t="str">
        <f>'Obrazac kalkulacije'!$C$24</f>
        <v>IZVODITELJ:</v>
      </c>
      <c r="N1220" s="841" t="str">
        <f>'Obrazac kalkulacije'!$F$24</f>
        <v>NARUČITELJ:</v>
      </c>
      <c r="O1220" s="841"/>
    </row>
    <row r="1221" spans="1:15" ht="25.15" customHeight="1">
      <c r="C1221" s="3" t="str">
        <f>'Obrazac kalkulacije'!$C$25</f>
        <v>__________________</v>
      </c>
      <c r="F1221" s="841" t="str">
        <f>'Obrazac kalkulacije'!$F$25</f>
        <v>___________________</v>
      </c>
      <c r="G1221" s="841"/>
      <c r="K1221" s="3" t="str">
        <f>'Obrazac kalkulacije'!$C$25</f>
        <v>__________________</v>
      </c>
      <c r="N1221" s="841" t="str">
        <f>'Obrazac kalkulacije'!$F$25</f>
        <v>___________________</v>
      </c>
      <c r="O1221" s="841"/>
    </row>
    <row r="1222" spans="1:15" ht="15" customHeight="1">
      <c r="F1222" s="841"/>
      <c r="G1222" s="841"/>
      <c r="N1222" s="841"/>
      <c r="O1222" s="841"/>
    </row>
    <row r="1223" spans="1:15" ht="15" customHeight="1"/>
    <row r="1224" spans="1:15" ht="15" customHeight="1">
      <c r="A1224" s="144"/>
      <c r="B1224" s="145" t="s">
        <v>39</v>
      </c>
      <c r="C1224" s="836" t="s">
        <v>360</v>
      </c>
      <c r="D1224" s="836"/>
      <c r="E1224" s="836"/>
      <c r="F1224" s="836"/>
      <c r="G1224" s="836"/>
      <c r="I1224" s="144"/>
      <c r="J1224" s="145" t="s">
        <v>39</v>
      </c>
      <c r="K1224" s="836" t="s">
        <v>360</v>
      </c>
      <c r="L1224" s="836"/>
      <c r="M1224" s="836"/>
      <c r="N1224" s="836"/>
      <c r="O1224" s="836"/>
    </row>
    <row r="1225" spans="1:15" ht="15" customHeight="1">
      <c r="A1225" s="38"/>
      <c r="B1225" s="39" t="s">
        <v>46</v>
      </c>
      <c r="C1225" s="860" t="s">
        <v>470</v>
      </c>
      <c r="D1225" s="860"/>
      <c r="E1225" s="860"/>
      <c r="F1225" s="860"/>
      <c r="G1225" s="860"/>
      <c r="I1225" s="38"/>
      <c r="J1225" s="39" t="s">
        <v>46</v>
      </c>
      <c r="K1225" s="860" t="s">
        <v>470</v>
      </c>
      <c r="L1225" s="860"/>
      <c r="M1225" s="860"/>
      <c r="N1225" s="860"/>
      <c r="O1225" s="860"/>
    </row>
    <row r="1226" spans="1:15" ht="15" customHeight="1">
      <c r="A1226" s="48"/>
      <c r="B1226" s="49" t="s">
        <v>47</v>
      </c>
      <c r="C1226" s="883" t="s">
        <v>471</v>
      </c>
      <c r="D1226" s="883"/>
      <c r="E1226" s="883"/>
      <c r="F1226" s="883"/>
      <c r="G1226" s="883"/>
      <c r="I1226" s="48"/>
      <c r="J1226" s="49" t="s">
        <v>47</v>
      </c>
      <c r="K1226" s="883" t="s">
        <v>471</v>
      </c>
      <c r="L1226" s="883"/>
      <c r="M1226" s="883"/>
      <c r="N1226" s="883"/>
      <c r="O1226" s="883"/>
    </row>
    <row r="1227" spans="1:15" ht="15" customHeight="1">
      <c r="A1227" s="95"/>
      <c r="B1227" s="96" t="s">
        <v>496</v>
      </c>
      <c r="C1227" s="882" t="s">
        <v>497</v>
      </c>
      <c r="D1227" s="882"/>
      <c r="E1227" s="882"/>
      <c r="F1227" s="882"/>
      <c r="G1227" s="882"/>
      <c r="I1227" s="95"/>
      <c r="J1227" s="96" t="s">
        <v>496</v>
      </c>
      <c r="K1227" s="882" t="s">
        <v>497</v>
      </c>
      <c r="L1227" s="882"/>
      <c r="M1227" s="882"/>
      <c r="N1227" s="882"/>
      <c r="O1227" s="882"/>
    </row>
    <row r="1228" spans="1:15" ht="150" customHeight="1">
      <c r="A1228" s="40"/>
      <c r="B1228" s="556" t="s">
        <v>506</v>
      </c>
      <c r="C1228" s="852" t="s">
        <v>511</v>
      </c>
      <c r="D1228" s="852"/>
      <c r="E1228" s="852"/>
      <c r="F1228" s="852"/>
      <c r="G1228" s="852"/>
      <c r="I1228" s="40"/>
      <c r="J1228" s="41" t="s">
        <v>512</v>
      </c>
      <c r="K1228" s="869" t="s">
        <v>511</v>
      </c>
      <c r="L1228" s="869"/>
      <c r="M1228" s="869"/>
      <c r="N1228" s="869"/>
      <c r="O1228" s="869"/>
    </row>
    <row r="1229" spans="1:15" ht="15" customHeight="1" thickBot="1"/>
    <row r="1230" spans="1:15" ht="30" customHeight="1" thickTop="1" thickBot="1">
      <c r="A1230" s="10"/>
      <c r="B1230" s="835" t="str">
        <f>'Obrazac kalkulacije'!$B$6:$C$6</f>
        <v>Opis</v>
      </c>
      <c r="C1230" s="835"/>
      <c r="D1230" s="10" t="str">
        <f>'Obrazac kalkulacije'!$D$6</f>
        <v>Jed.
mjere</v>
      </c>
      <c r="E1230" s="10" t="str">
        <f>'Obrazac kalkulacije'!$E$6</f>
        <v>Normativ</v>
      </c>
      <c r="F1230" s="10" t="str">
        <f>'Obrazac kalkulacije'!$F$6</f>
        <v>Jed.
cijena</v>
      </c>
      <c r="G1230" s="10" t="str">
        <f>'Obrazac kalkulacije'!$G$6</f>
        <v>Iznos</v>
      </c>
      <c r="H1230" s="622">
        <v>13000</v>
      </c>
      <c r="I1230" s="10"/>
      <c r="J1230" s="835" t="e">
        <f>'Obrazac kalkulacije'!$B$6:$C$6</f>
        <v>#VALUE!</v>
      </c>
      <c r="K1230" s="835"/>
      <c r="L1230" s="10" t="str">
        <f>'Obrazac kalkulacije'!$D$6</f>
        <v>Jed.
mjere</v>
      </c>
      <c r="M1230" s="10" t="str">
        <f>'Obrazac kalkulacije'!$E$6</f>
        <v>Normativ</v>
      </c>
      <c r="N1230" s="10" t="str">
        <f>'Obrazac kalkulacije'!$F$6</f>
        <v>Jed.
cijena</v>
      </c>
      <c r="O1230" s="10" t="str">
        <f>'Obrazac kalkulacije'!$G$6</f>
        <v>Iznos</v>
      </c>
    </row>
    <row r="1231" spans="1:15" ht="4.5" customHeight="1" thickTop="1">
      <c r="B1231" s="42"/>
      <c r="C1231" s="1"/>
      <c r="D1231" s="11"/>
      <c r="E1231" s="13"/>
      <c r="F1231" s="258"/>
      <c r="G1231" s="15"/>
      <c r="H1231" s="3"/>
      <c r="J1231" s="42"/>
      <c r="K1231" s="1"/>
      <c r="L1231" s="11"/>
      <c r="M1231" s="13"/>
      <c r="N1231" s="258"/>
      <c r="O1231" s="15"/>
    </row>
    <row r="1232" spans="1:15" ht="25.15" customHeight="1">
      <c r="A1232" s="16"/>
      <c r="B1232" s="837" t="str">
        <f>'Obrazac kalkulacije'!$B$8</f>
        <v>Radna snaga:</v>
      </c>
      <c r="C1232" s="837"/>
      <c r="D1232" s="16"/>
      <c r="E1232" s="16"/>
      <c r="F1232" s="44"/>
      <c r="G1232" s="18">
        <f>SUM(G1233:G1233)</f>
        <v>0.29085230769230769</v>
      </c>
      <c r="H1232" s="3"/>
      <c r="I1232" s="16"/>
      <c r="J1232" s="837" t="str">
        <f>'Obrazac kalkulacije'!$B$8</f>
        <v>Radna snaga:</v>
      </c>
      <c r="K1232" s="837"/>
      <c r="L1232" s="16"/>
      <c r="M1232" s="16"/>
      <c r="N1232" s="44"/>
      <c r="O1232" s="18">
        <f>SUM(O1233:O1233)</f>
        <v>0.14000499</v>
      </c>
    </row>
    <row r="1233" spans="1:15" ht="25.15" customHeight="1">
      <c r="A1233" s="32"/>
      <c r="B1233" s="854" t="s">
        <v>57</v>
      </c>
      <c r="C1233" s="854"/>
      <c r="D1233" s="637" t="s">
        <v>51</v>
      </c>
      <c r="E1233" s="104">
        <f>H1233/H1230</f>
        <v>2.7692307692307691E-3</v>
      </c>
      <c r="F1233" s="238">
        <f>SUMIF('Cjenik RS'!$C$11:$C$26,$B1233,'Cjenik RS'!$D$11:$D$90)</f>
        <v>105.03</v>
      </c>
      <c r="G1233" s="46">
        <f>+F1233*E1233</f>
        <v>0.29085230769230769</v>
      </c>
      <c r="H1233" s="560">
        <v>36</v>
      </c>
      <c r="I1233" s="32"/>
      <c r="J1233" s="854" t="s">
        <v>57</v>
      </c>
      <c r="K1233" s="854"/>
      <c r="L1233" s="33" t="s">
        <v>51</v>
      </c>
      <c r="M1233" s="34">
        <v>1.333E-3</v>
      </c>
      <c r="N1233" s="44">
        <f>SUMIF('Cjenik RS'!$C$11:$C$26,J1233,'Cjenik RS'!$D$11:$D$90)</f>
        <v>105.03</v>
      </c>
      <c r="O1233" s="35">
        <f>+N1233*M1233</f>
        <v>0.14000499</v>
      </c>
    </row>
    <row r="1234" spans="1:15" ht="25.15" customHeight="1">
      <c r="A1234" s="16"/>
      <c r="B1234" s="837" t="str">
        <f>'Obrazac kalkulacije'!$B$11</f>
        <v>Vozila, strojevi i oprema:</v>
      </c>
      <c r="C1234" s="837"/>
      <c r="D1234" s="16"/>
      <c r="E1234" s="16"/>
      <c r="F1234" s="238">
        <f>'Obrazac kalkulacije'!$F$11</f>
        <v>0</v>
      </c>
      <c r="G1234" s="18">
        <f>SUM(G1235:G1240)</f>
        <v>0.37775461538461541</v>
      </c>
      <c r="I1234" s="16"/>
      <c r="J1234" s="837" t="str">
        <f>'Obrazac kalkulacije'!$B$11</f>
        <v>Vozila, strojevi i oprema:</v>
      </c>
      <c r="K1234" s="837"/>
      <c r="L1234" s="16"/>
      <c r="M1234" s="16"/>
      <c r="N1234" s="238">
        <f>'Obrazac kalkulacije'!$F$11</f>
        <v>0</v>
      </c>
      <c r="O1234" s="18">
        <f>SUM(O1235:O1240)</f>
        <v>0.31328793000000005</v>
      </c>
    </row>
    <row r="1235" spans="1:15" ht="25.15" customHeight="1">
      <c r="A1235" s="16"/>
      <c r="B1235" s="838" t="s">
        <v>477</v>
      </c>
      <c r="C1235" s="838"/>
      <c r="D1235" s="44" t="s">
        <v>51</v>
      </c>
      <c r="E1235" s="104">
        <f>H1235/H1230</f>
        <v>3.8461538461538462E-4</v>
      </c>
      <c r="F1235" s="238">
        <f>SUMIF('Cjenik VSO'!$B$9:$B$85,$B1235,'Cjenik VSO'!$C$9:$C$85)</f>
        <v>290.85000000000002</v>
      </c>
      <c r="G1235" s="46">
        <f t="shared" ref="G1235:G1240" si="10">E1235*F1235</f>
        <v>0.11186538461538463</v>
      </c>
      <c r="H1235" s="560">
        <v>5</v>
      </c>
      <c r="I1235" s="51"/>
      <c r="J1235" s="863" t="s">
        <v>477</v>
      </c>
      <c r="K1235" s="863"/>
      <c r="L1235" s="52" t="s">
        <v>51</v>
      </c>
      <c r="M1235" s="53">
        <v>4.44E-4</v>
      </c>
      <c r="N1235" s="260">
        <f>SUMIF('Cjenik VSO'!$B$9:$B$85,$B1235,'Cjenik VSO'!$C$9:$C$85)</f>
        <v>290.85000000000002</v>
      </c>
      <c r="O1235" s="55">
        <f t="shared" ref="O1235:O1240" si="11">M1235*N1235</f>
        <v>0.12913740000000001</v>
      </c>
    </row>
    <row r="1236" spans="1:15" ht="25.15" customHeight="1">
      <c r="A1236" s="16"/>
      <c r="B1236" s="838" t="s">
        <v>183</v>
      </c>
      <c r="C1236" s="838"/>
      <c r="D1236" s="44" t="s">
        <v>51</v>
      </c>
      <c r="E1236" s="104">
        <f>H1236/H1230</f>
        <v>1.9230769230769231E-4</v>
      </c>
      <c r="F1236" s="238">
        <f>SUMIF('Cjenik VSO'!$B$9:$B$85,$B1236,'Cjenik VSO'!$C$9:$C$85)</f>
        <v>32.9</v>
      </c>
      <c r="G1236" s="46">
        <f t="shared" si="10"/>
        <v>6.3269230769230763E-3</v>
      </c>
      <c r="H1236" s="560">
        <v>2.5</v>
      </c>
      <c r="I1236" s="56"/>
      <c r="J1236" s="834" t="s">
        <v>183</v>
      </c>
      <c r="K1236" s="834"/>
      <c r="L1236" s="57" t="s">
        <v>51</v>
      </c>
      <c r="M1236" s="58">
        <v>7.4999999999999993E-5</v>
      </c>
      <c r="N1236" s="263">
        <f>SUMIF('Cjenik VSO'!$B$9:$B$85,$B1236,'Cjenik VSO'!$C$9:$C$85)</f>
        <v>32.9</v>
      </c>
      <c r="O1236" s="60">
        <f t="shared" si="11"/>
        <v>2.4674999999999996E-3</v>
      </c>
    </row>
    <row r="1237" spans="1:15" ht="25.15" customHeight="1">
      <c r="A1237" s="16"/>
      <c r="B1237" s="838" t="s">
        <v>69</v>
      </c>
      <c r="C1237" s="838"/>
      <c r="D1237" s="44" t="s">
        <v>51</v>
      </c>
      <c r="E1237" s="104">
        <f>H1237/H1230</f>
        <v>6.1538461538461541E-4</v>
      </c>
      <c r="F1237" s="238">
        <f>SUMIF('Cjenik VSO'!$B$9:$B$85,$B1237,'Cjenik VSO'!$C$9:$C$85)</f>
        <v>179.6</v>
      </c>
      <c r="G1237" s="46">
        <f t="shared" si="10"/>
        <v>0.11052307692307692</v>
      </c>
      <c r="H1237" s="560">
        <v>8</v>
      </c>
      <c r="I1237" s="56"/>
      <c r="J1237" s="834" t="s">
        <v>69</v>
      </c>
      <c r="K1237" s="834"/>
      <c r="L1237" s="57" t="s">
        <v>51</v>
      </c>
      <c r="M1237" s="58">
        <v>5.1900000000000004E-4</v>
      </c>
      <c r="N1237" s="263">
        <f>SUMIF('Cjenik VSO'!$B$9:$B$85,$B1237,'Cjenik VSO'!$C$9:$C$85)</f>
        <v>179.6</v>
      </c>
      <c r="O1237" s="60">
        <f t="shared" si="11"/>
        <v>9.3212400000000001E-2</v>
      </c>
    </row>
    <row r="1238" spans="1:15" ht="25.15" customHeight="1">
      <c r="A1238" s="16"/>
      <c r="B1238" s="838" t="s">
        <v>478</v>
      </c>
      <c r="C1238" s="838"/>
      <c r="D1238" s="44" t="s">
        <v>51</v>
      </c>
      <c r="E1238" s="104">
        <f>H1238/H1230</f>
        <v>2.3076923076923076E-4</v>
      </c>
      <c r="F1238" s="238">
        <f>SUMIF('Cjenik VSO'!$B$9:$B$85,$B1238,'Cjenik VSO'!$C$9:$C$85)</f>
        <v>123.97</v>
      </c>
      <c r="G1238" s="46">
        <f t="shared" si="10"/>
        <v>2.8608461538461537E-2</v>
      </c>
      <c r="H1238" s="560">
        <v>3</v>
      </c>
      <c r="I1238" s="51"/>
      <c r="J1238" s="863"/>
      <c r="K1238" s="863"/>
      <c r="L1238" s="52"/>
      <c r="M1238" s="53"/>
      <c r="N1238" s="260"/>
      <c r="O1238" s="55">
        <f t="shared" si="11"/>
        <v>0</v>
      </c>
    </row>
    <row r="1239" spans="1:15" ht="25.15" customHeight="1">
      <c r="A1239" s="16"/>
      <c r="B1239" s="838" t="s">
        <v>60</v>
      </c>
      <c r="C1239" s="838"/>
      <c r="D1239" s="44" t="s">
        <v>51</v>
      </c>
      <c r="E1239" s="104">
        <f>H1239/H1230</f>
        <v>3.076923076923077E-4</v>
      </c>
      <c r="F1239" s="238">
        <f>SUMIF('Cjenik VSO'!$B$9:$B$85,$B1239,'Cjenik VSO'!$C$9:$C$85)</f>
        <v>328.73</v>
      </c>
      <c r="G1239" s="46">
        <f t="shared" si="10"/>
        <v>0.10114769230769231</v>
      </c>
      <c r="H1239" s="560">
        <v>4</v>
      </c>
      <c r="I1239" s="56"/>
      <c r="J1239" s="834" t="s">
        <v>60</v>
      </c>
      <c r="K1239" s="834"/>
      <c r="L1239" s="57" t="s">
        <v>51</v>
      </c>
      <c r="M1239" s="58">
        <v>2.31E-4</v>
      </c>
      <c r="N1239" s="263">
        <f>SUMIF('Cjenik VSO'!$B$9:$B$85,$B1239,'Cjenik VSO'!$C$9:$C$85)</f>
        <v>328.73</v>
      </c>
      <c r="O1239" s="60">
        <f t="shared" si="11"/>
        <v>7.5936630000000005E-2</v>
      </c>
    </row>
    <row r="1240" spans="1:15" ht="25.15" customHeight="1">
      <c r="A1240" s="16"/>
      <c r="B1240" s="838" t="s">
        <v>61</v>
      </c>
      <c r="C1240" s="838"/>
      <c r="D1240" s="44" t="s">
        <v>51</v>
      </c>
      <c r="E1240" s="104">
        <f>H1240/H1230</f>
        <v>3.076923076923077E-4</v>
      </c>
      <c r="F1240" s="238">
        <f>SUMIF('Cjenik VSO'!$B$9:$B$85,$B1240,'Cjenik VSO'!$C$9:$C$85)</f>
        <v>62.67</v>
      </c>
      <c r="G1240" s="46">
        <f t="shared" si="10"/>
        <v>1.9283076923076924E-2</v>
      </c>
      <c r="H1240" s="560">
        <v>4</v>
      </c>
      <c r="I1240" s="61"/>
      <c r="J1240" s="864" t="s">
        <v>61</v>
      </c>
      <c r="K1240" s="864"/>
      <c r="L1240" s="62" t="s">
        <v>51</v>
      </c>
      <c r="M1240" s="63">
        <v>2.0000000000000001E-4</v>
      </c>
      <c r="N1240" s="261">
        <f>SUMIF('Cjenik VSO'!$B$9:$B$85,$B1240,'Cjenik VSO'!$C$9:$C$85)</f>
        <v>62.67</v>
      </c>
      <c r="O1240" s="65">
        <f t="shared" si="11"/>
        <v>1.2534000000000002E-2</v>
      </c>
    </row>
    <row r="1241" spans="1:15" ht="25.15" customHeight="1">
      <c r="A1241" s="16"/>
      <c r="B1241" s="837" t="str">
        <f>'Obrazac kalkulacije'!$B$15</f>
        <v>Materijali:</v>
      </c>
      <c r="C1241" s="837"/>
      <c r="D1241" s="16"/>
      <c r="E1241" s="16"/>
      <c r="F1241" s="238"/>
      <c r="G1241" s="18">
        <f>SUM(G1242:G1244)</f>
        <v>0</v>
      </c>
      <c r="I1241" s="16"/>
      <c r="J1241" s="837" t="str">
        <f>'Obrazac kalkulacije'!$B$15</f>
        <v>Materijali:</v>
      </c>
      <c r="K1241" s="837"/>
      <c r="L1241" s="16"/>
      <c r="M1241" s="16"/>
      <c r="N1241" s="238"/>
      <c r="O1241" s="18">
        <f>SUM(O1242:O1244)</f>
        <v>0</v>
      </c>
    </row>
    <row r="1242" spans="1:15" ht="25.15" customHeight="1">
      <c r="A1242" s="16"/>
      <c r="B1242" s="838">
        <f>'Cjenik M'!$B$72</f>
        <v>0</v>
      </c>
      <c r="C1242" s="838"/>
      <c r="D1242" s="44">
        <f>'Cjenik M'!$C$72</f>
        <v>0</v>
      </c>
      <c r="E1242" s="45">
        <v>5.5800000000000002E-2</v>
      </c>
      <c r="F1242" s="238">
        <f>'Cjenik M'!$D$72</f>
        <v>0</v>
      </c>
      <c r="G1242" s="46">
        <f>E1242*F1242</f>
        <v>0</v>
      </c>
      <c r="I1242" s="51"/>
      <c r="J1242" s="863">
        <f>'Cjenik M'!$B$72</f>
        <v>0</v>
      </c>
      <c r="K1242" s="863"/>
      <c r="L1242" s="52">
        <f>'Cjenik M'!$C$72</f>
        <v>0</v>
      </c>
      <c r="M1242" s="53">
        <v>5.5800000000000002E-2</v>
      </c>
      <c r="N1242" s="260">
        <f>'Cjenik M'!$D$72</f>
        <v>0</v>
      </c>
      <c r="O1242" s="55">
        <f>M1242*N1242</f>
        <v>0</v>
      </c>
    </row>
    <row r="1243" spans="1:15" ht="25.15" customHeight="1">
      <c r="A1243" s="16"/>
      <c r="B1243" s="838">
        <f>'Cjenik M'!$B$103</f>
        <v>0</v>
      </c>
      <c r="C1243" s="838"/>
      <c r="D1243" s="44">
        <f>'Cjenik M'!$C$103</f>
        <v>0</v>
      </c>
      <c r="E1243" s="45">
        <v>3.5999999999999997E-2</v>
      </c>
      <c r="F1243" s="238">
        <f>'Cjenik M'!$D$103</f>
        <v>0</v>
      </c>
      <c r="G1243" s="46">
        <f>E1243*F1243</f>
        <v>0</v>
      </c>
      <c r="I1243" s="56"/>
      <c r="J1243" s="834">
        <f>'Cjenik M'!$B$103</f>
        <v>0</v>
      </c>
      <c r="K1243" s="834"/>
      <c r="L1243" s="57">
        <f>'Cjenik M'!$C$103</f>
        <v>0</v>
      </c>
      <c r="M1243" s="58">
        <v>3.5999999999999997E-2</v>
      </c>
      <c r="N1243" s="263">
        <f>'Cjenik M'!$D$103</f>
        <v>0</v>
      </c>
      <c r="O1243" s="60">
        <f>M1243*N1243</f>
        <v>0</v>
      </c>
    </row>
    <row r="1244" spans="1:15" ht="25.15" customHeight="1" thickBot="1">
      <c r="A1244" s="16"/>
      <c r="B1244" s="838">
        <f>'Cjenik M'!$B$74</f>
        <v>0</v>
      </c>
      <c r="C1244" s="838"/>
      <c r="D1244" s="44">
        <f>'Cjenik M'!$C$74</f>
        <v>0</v>
      </c>
      <c r="E1244" s="45">
        <v>6.4729999999999996E-3</v>
      </c>
      <c r="F1244" s="238">
        <f>'Cjenik M'!$D$74</f>
        <v>0</v>
      </c>
      <c r="G1244" s="46">
        <f>E1244*F1244</f>
        <v>0</v>
      </c>
      <c r="I1244" s="66"/>
      <c r="J1244" s="834">
        <f>'Cjenik M'!$B$74</f>
        <v>0</v>
      </c>
      <c r="K1244" s="834"/>
      <c r="L1244" s="57">
        <f>'Cjenik M'!$C$74</f>
        <v>0</v>
      </c>
      <c r="M1244" s="58">
        <v>6.4729999999999996E-3</v>
      </c>
      <c r="N1244" s="263">
        <f>'Cjenik M'!$D$74</f>
        <v>0</v>
      </c>
      <c r="O1244" s="60">
        <f>M1244*N1244</f>
        <v>0</v>
      </c>
    </row>
    <row r="1245" spans="1:15" ht="25.15" customHeight="1" thickTop="1" thickBot="1">
      <c r="E1245" s="868" t="str">
        <f>'Obrazac kalkulacije'!$E$18</f>
        <v>Ukupno (kn):</v>
      </c>
      <c r="F1245" s="868"/>
      <c r="G1245" s="71">
        <f>ROUND(SUM(G1232+G1234+G1241),2)</f>
        <v>0.67</v>
      </c>
      <c r="H1245" s="269" t="e">
        <f>SUMIF(#REF!,$B1228,#REF!)</f>
        <v>#REF!</v>
      </c>
      <c r="J1245" s="47"/>
      <c r="K1245" s="24"/>
      <c r="L1245" s="25"/>
      <c r="M1245" s="850" t="str">
        <f>'Obrazac kalkulacije'!$E$18</f>
        <v>Ukupno (kn):</v>
      </c>
      <c r="N1245" s="850"/>
      <c r="O1245" s="26">
        <f>ROUND(SUM(O1232+O1234+O1241),2)</f>
        <v>0.45</v>
      </c>
    </row>
    <row r="1246" spans="1:15" ht="25.15" customHeight="1" thickTop="1" thickBot="1">
      <c r="E1246" s="27" t="str">
        <f>'Obrazac kalkulacije'!$E$19</f>
        <v>PDV:</v>
      </c>
      <c r="F1246" s="259">
        <f>'Obrazac kalkulacije'!$F$19</f>
        <v>0.25</v>
      </c>
      <c r="G1246" s="29">
        <f>G1245*F1246</f>
        <v>0.16750000000000001</v>
      </c>
      <c r="H1246" s="270" t="e">
        <f>H1245-G1245</f>
        <v>#REF!</v>
      </c>
      <c r="M1246" s="27" t="str">
        <f>'Obrazac kalkulacije'!$E$19</f>
        <v>PDV:</v>
      </c>
      <c r="N1246" s="259">
        <f>'Obrazac kalkulacije'!$F$19</f>
        <v>0.25</v>
      </c>
      <c r="O1246" s="29">
        <f>O1245*N1246</f>
        <v>0.1125</v>
      </c>
    </row>
    <row r="1247" spans="1:15" ht="25.15" customHeight="1" thickTop="1" thickBot="1">
      <c r="E1247" s="840" t="str">
        <f>'Obrazac kalkulacije'!$E$20</f>
        <v>Sveukupno (kn):</v>
      </c>
      <c r="F1247" s="840"/>
      <c r="G1247" s="29">
        <f>ROUND(SUM(G1245:G1246),2)</f>
        <v>0.84</v>
      </c>
      <c r="H1247" s="271" t="e">
        <f>G1235+H1246</f>
        <v>#REF!</v>
      </c>
      <c r="M1247" s="840" t="str">
        <f>'Obrazac kalkulacije'!$E$20</f>
        <v>Sveukupno (kn):</v>
      </c>
      <c r="N1247" s="840"/>
      <c r="O1247" s="29">
        <f>ROUND(SUM(O1245:O1246),2)</f>
        <v>0.56000000000000005</v>
      </c>
    </row>
    <row r="1248" spans="1:15" ht="15" customHeight="1" thickTop="1"/>
    <row r="1249" spans="1:15" ht="15" customHeight="1"/>
    <row r="1250" spans="1:15" ht="15" customHeight="1"/>
    <row r="1251" spans="1:15" ht="15" customHeight="1">
      <c r="C1251" s="3" t="str">
        <f>'Obrazac kalkulacije'!$C$24</f>
        <v>IZVODITELJ:</v>
      </c>
      <c r="F1251" s="841" t="str">
        <f>'Obrazac kalkulacije'!$F$24</f>
        <v>NARUČITELJ:</v>
      </c>
      <c r="G1251" s="841"/>
      <c r="K1251" s="3" t="str">
        <f>'Obrazac kalkulacije'!$C$24</f>
        <v>IZVODITELJ:</v>
      </c>
      <c r="N1251" s="841" t="str">
        <f>'Obrazac kalkulacije'!$F$24</f>
        <v>NARUČITELJ:</v>
      </c>
      <c r="O1251" s="841"/>
    </row>
    <row r="1252" spans="1:15" ht="25.15" customHeight="1">
      <c r="C1252" s="3" t="str">
        <f>'Obrazac kalkulacije'!$C$25</f>
        <v>__________________</v>
      </c>
      <c r="F1252" s="841" t="str">
        <f>'Obrazac kalkulacije'!$F$25</f>
        <v>___________________</v>
      </c>
      <c r="G1252" s="841"/>
      <c r="K1252" s="3" t="str">
        <f>'Obrazac kalkulacije'!$C$25</f>
        <v>__________________</v>
      </c>
      <c r="N1252" s="841" t="str">
        <f>'Obrazac kalkulacije'!$F$25</f>
        <v>___________________</v>
      </c>
      <c r="O1252" s="841"/>
    </row>
    <row r="1253" spans="1:15" ht="15" customHeight="1">
      <c r="F1253" s="841"/>
      <c r="G1253" s="841"/>
      <c r="N1253" s="841"/>
      <c r="O1253" s="841"/>
    </row>
    <row r="1254" spans="1:15" ht="15" customHeight="1"/>
    <row r="1255" spans="1:15" ht="15" customHeight="1">
      <c r="A1255" s="144"/>
      <c r="B1255" s="145" t="s">
        <v>39</v>
      </c>
      <c r="C1255" s="836" t="s">
        <v>360</v>
      </c>
      <c r="D1255" s="836"/>
      <c r="E1255" s="836"/>
      <c r="F1255" s="836"/>
      <c r="G1255" s="836"/>
      <c r="I1255" s="144"/>
      <c r="J1255" s="145" t="s">
        <v>39</v>
      </c>
      <c r="K1255" s="836" t="s">
        <v>360</v>
      </c>
      <c r="L1255" s="836"/>
      <c r="M1255" s="836"/>
      <c r="N1255" s="836"/>
      <c r="O1255" s="836"/>
    </row>
    <row r="1256" spans="1:15" ht="15" customHeight="1">
      <c r="A1256" s="38"/>
      <c r="B1256" s="39" t="s">
        <v>46</v>
      </c>
      <c r="C1256" s="860" t="s">
        <v>470</v>
      </c>
      <c r="D1256" s="860"/>
      <c r="E1256" s="860"/>
      <c r="F1256" s="860"/>
      <c r="G1256" s="860"/>
      <c r="I1256" s="38"/>
      <c r="J1256" s="39" t="s">
        <v>46</v>
      </c>
      <c r="K1256" s="860" t="s">
        <v>470</v>
      </c>
      <c r="L1256" s="860"/>
      <c r="M1256" s="860"/>
      <c r="N1256" s="860"/>
      <c r="O1256" s="860"/>
    </row>
    <row r="1257" spans="1:15" ht="15" customHeight="1">
      <c r="A1257" s="48"/>
      <c r="B1257" s="49" t="s">
        <v>47</v>
      </c>
      <c r="C1257" s="883" t="s">
        <v>471</v>
      </c>
      <c r="D1257" s="883"/>
      <c r="E1257" s="883"/>
      <c r="F1257" s="883"/>
      <c r="G1257" s="883"/>
      <c r="I1257" s="48"/>
      <c r="J1257" s="49" t="s">
        <v>47</v>
      </c>
      <c r="K1257" s="883" t="s">
        <v>471</v>
      </c>
      <c r="L1257" s="883"/>
      <c r="M1257" s="883"/>
      <c r="N1257" s="883"/>
      <c r="O1257" s="883"/>
    </row>
    <row r="1258" spans="1:15" ht="15" customHeight="1">
      <c r="A1258" s="95"/>
      <c r="B1258" s="96" t="s">
        <v>496</v>
      </c>
      <c r="C1258" s="882" t="s">
        <v>497</v>
      </c>
      <c r="D1258" s="882"/>
      <c r="E1258" s="882"/>
      <c r="F1258" s="882"/>
      <c r="G1258" s="882"/>
      <c r="I1258" s="95"/>
      <c r="J1258" s="96" t="s">
        <v>496</v>
      </c>
      <c r="K1258" s="882" t="s">
        <v>497</v>
      </c>
      <c r="L1258" s="882"/>
      <c r="M1258" s="882"/>
      <c r="N1258" s="882"/>
      <c r="O1258" s="882"/>
    </row>
    <row r="1259" spans="1:15" ht="150" customHeight="1">
      <c r="A1259" s="40"/>
      <c r="B1259" s="556" t="s">
        <v>508</v>
      </c>
      <c r="C1259" s="852" t="s">
        <v>513</v>
      </c>
      <c r="D1259" s="852"/>
      <c r="E1259" s="852"/>
      <c r="F1259" s="852"/>
      <c r="G1259" s="852"/>
      <c r="I1259" s="40"/>
      <c r="J1259" s="41" t="s">
        <v>514</v>
      </c>
      <c r="K1259" s="869" t="s">
        <v>513</v>
      </c>
      <c r="L1259" s="869"/>
      <c r="M1259" s="869"/>
      <c r="N1259" s="869"/>
      <c r="O1259" s="869"/>
    </row>
    <row r="1260" spans="1:15" ht="15" customHeight="1" thickBot="1"/>
    <row r="1261" spans="1:15" ht="30" customHeight="1" thickTop="1" thickBot="1">
      <c r="A1261" s="10"/>
      <c r="B1261" s="835" t="str">
        <f>'Obrazac kalkulacije'!$B$6:$C$6</f>
        <v>Opis</v>
      </c>
      <c r="C1261" s="835"/>
      <c r="D1261" s="10" t="str">
        <f>'Obrazac kalkulacije'!$D$6</f>
        <v>Jed.
mjere</v>
      </c>
      <c r="E1261" s="10" t="str">
        <f>'Obrazac kalkulacije'!$E$6</f>
        <v>Normativ</v>
      </c>
      <c r="F1261" s="10" t="str">
        <f>'Obrazac kalkulacije'!$F$6</f>
        <v>Jed.
cijena</v>
      </c>
      <c r="G1261" s="10" t="str">
        <f>'Obrazac kalkulacije'!$G$6</f>
        <v>Iznos</v>
      </c>
      <c r="H1261" s="622">
        <v>13000</v>
      </c>
      <c r="I1261" s="10"/>
      <c r="J1261" s="835" t="e">
        <f>'Obrazac kalkulacije'!$B$6:$C$6</f>
        <v>#VALUE!</v>
      </c>
      <c r="K1261" s="835"/>
      <c r="L1261" s="10" t="str">
        <f>'Obrazac kalkulacije'!$D$6</f>
        <v>Jed.
mjere</v>
      </c>
      <c r="M1261" s="10" t="str">
        <f>'Obrazac kalkulacije'!$E$6</f>
        <v>Normativ</v>
      </c>
      <c r="N1261" s="10" t="str">
        <f>'Obrazac kalkulacije'!$F$6</f>
        <v>Jed.
cijena</v>
      </c>
      <c r="O1261" s="10" t="str">
        <f>'Obrazac kalkulacije'!$G$6</f>
        <v>Iznos</v>
      </c>
    </row>
    <row r="1262" spans="1:15" ht="4.5" customHeight="1" thickTop="1">
      <c r="B1262" s="42"/>
      <c r="C1262" s="1"/>
      <c r="D1262" s="11"/>
      <c r="E1262" s="13"/>
      <c r="F1262" s="258"/>
      <c r="G1262" s="15"/>
      <c r="H1262" s="3"/>
      <c r="J1262" s="42"/>
      <c r="K1262" s="1"/>
      <c r="L1262" s="11"/>
      <c r="M1262" s="13"/>
      <c r="N1262" s="258"/>
      <c r="O1262" s="15"/>
    </row>
    <row r="1263" spans="1:15" ht="25.15" customHeight="1">
      <c r="A1263" s="16"/>
      <c r="B1263" s="837" t="str">
        <f>'Obrazac kalkulacije'!$B$8</f>
        <v>Radna snaga:</v>
      </c>
      <c r="C1263" s="837"/>
      <c r="D1263" s="16"/>
      <c r="E1263" s="16"/>
      <c r="F1263" s="44"/>
      <c r="G1263" s="18">
        <f>SUM(G1264:G1264)</f>
        <v>0.29085230769230769</v>
      </c>
      <c r="H1263" s="3"/>
      <c r="I1263" s="16"/>
      <c r="J1263" s="837" t="str">
        <f>'Obrazac kalkulacije'!$B$8</f>
        <v>Radna snaga:</v>
      </c>
      <c r="K1263" s="837"/>
      <c r="L1263" s="16"/>
      <c r="M1263" s="16"/>
      <c r="N1263" s="44"/>
      <c r="O1263" s="18">
        <f>SUM(O1264:O1264)</f>
        <v>0.14000499</v>
      </c>
    </row>
    <row r="1264" spans="1:15" ht="25.15" customHeight="1">
      <c r="A1264" s="32"/>
      <c r="B1264" s="854" t="s">
        <v>57</v>
      </c>
      <c r="C1264" s="854"/>
      <c r="D1264" s="637" t="s">
        <v>51</v>
      </c>
      <c r="E1264" s="104">
        <f>H1264/H1261</f>
        <v>2.7692307692307691E-3</v>
      </c>
      <c r="F1264" s="238">
        <f>SUMIF('Cjenik RS'!$C$11:$C$26,$B1264,'Cjenik RS'!$D$11:$D$90)</f>
        <v>105.03</v>
      </c>
      <c r="G1264" s="46">
        <f>+F1264*E1264</f>
        <v>0.29085230769230769</v>
      </c>
      <c r="H1264" s="560">
        <v>36</v>
      </c>
      <c r="I1264" s="32"/>
      <c r="J1264" s="854" t="s">
        <v>57</v>
      </c>
      <c r="K1264" s="854"/>
      <c r="L1264" s="33" t="s">
        <v>51</v>
      </c>
      <c r="M1264" s="34">
        <v>1.333E-3</v>
      </c>
      <c r="N1264" s="44">
        <f>SUMIF('Cjenik RS'!$C$11:$C$26,J1264,'Cjenik RS'!$D$11:$D$90)</f>
        <v>105.03</v>
      </c>
      <c r="O1264" s="35">
        <f>+N1264*M1264</f>
        <v>0.14000499</v>
      </c>
    </row>
    <row r="1265" spans="1:15" ht="25.15" customHeight="1">
      <c r="A1265" s="16"/>
      <c r="B1265" s="837" t="str">
        <f>'Obrazac kalkulacije'!$B$11</f>
        <v>Vozila, strojevi i oprema:</v>
      </c>
      <c r="C1265" s="837"/>
      <c r="D1265" s="16"/>
      <c r="E1265" s="16"/>
      <c r="F1265" s="238">
        <f>'Obrazac kalkulacije'!$F$11</f>
        <v>0</v>
      </c>
      <c r="G1265" s="18">
        <f>SUM(G1266:G1271)</f>
        <v>0.37775461538461541</v>
      </c>
      <c r="I1265" s="16"/>
      <c r="J1265" s="837" t="str">
        <f>'Obrazac kalkulacije'!$B$11</f>
        <v>Vozila, strojevi i oprema:</v>
      </c>
      <c r="K1265" s="837"/>
      <c r="L1265" s="16"/>
      <c r="M1265" s="16"/>
      <c r="N1265" s="238">
        <f>'Obrazac kalkulacije'!$F$11</f>
        <v>0</v>
      </c>
      <c r="O1265" s="18">
        <f>SUM(O1266:O1271)</f>
        <v>0.31328793000000005</v>
      </c>
    </row>
    <row r="1266" spans="1:15" ht="25.15" customHeight="1">
      <c r="A1266" s="16"/>
      <c r="B1266" s="838" t="s">
        <v>477</v>
      </c>
      <c r="C1266" s="838"/>
      <c r="D1266" s="44" t="s">
        <v>51</v>
      </c>
      <c r="E1266" s="104">
        <f>H1266/H1261</f>
        <v>3.8461538461538462E-4</v>
      </c>
      <c r="F1266" s="238">
        <f>SUMIF('Cjenik VSO'!$B$9:$B$85,$B1266,'Cjenik VSO'!$C$9:$C$85)</f>
        <v>290.85000000000002</v>
      </c>
      <c r="G1266" s="46">
        <f t="shared" ref="G1266:G1271" si="12">E1266*F1266</f>
        <v>0.11186538461538463</v>
      </c>
      <c r="H1266" s="560">
        <v>5</v>
      </c>
      <c r="I1266" s="51"/>
      <c r="J1266" s="863" t="s">
        <v>477</v>
      </c>
      <c r="K1266" s="863"/>
      <c r="L1266" s="52" t="s">
        <v>51</v>
      </c>
      <c r="M1266" s="53">
        <v>4.44E-4</v>
      </c>
      <c r="N1266" s="260">
        <f>SUMIF('Cjenik VSO'!$B$9:$B$85,$B1266,'Cjenik VSO'!$C$9:$C$85)</f>
        <v>290.85000000000002</v>
      </c>
      <c r="O1266" s="55">
        <f t="shared" ref="O1266:O1271" si="13">M1266*N1266</f>
        <v>0.12913740000000001</v>
      </c>
    </row>
    <row r="1267" spans="1:15" ht="25.15" customHeight="1">
      <c r="A1267" s="16"/>
      <c r="B1267" s="838" t="s">
        <v>183</v>
      </c>
      <c r="C1267" s="838"/>
      <c r="D1267" s="44" t="s">
        <v>51</v>
      </c>
      <c r="E1267" s="104">
        <f>H1267/H1261</f>
        <v>1.9230769230769231E-4</v>
      </c>
      <c r="F1267" s="238">
        <f>SUMIF('Cjenik VSO'!$B$9:$B$85,$B1267,'Cjenik VSO'!$C$9:$C$85)</f>
        <v>32.9</v>
      </c>
      <c r="G1267" s="46">
        <f t="shared" si="12"/>
        <v>6.3269230769230763E-3</v>
      </c>
      <c r="H1267" s="560">
        <v>2.5</v>
      </c>
      <c r="I1267" s="56"/>
      <c r="J1267" s="834" t="s">
        <v>183</v>
      </c>
      <c r="K1267" s="834"/>
      <c r="L1267" s="57" t="s">
        <v>51</v>
      </c>
      <c r="M1267" s="58">
        <v>7.4999999999999993E-5</v>
      </c>
      <c r="N1267" s="263">
        <f>SUMIF('Cjenik VSO'!$B$9:$B$85,$B1267,'Cjenik VSO'!$C$9:$C$85)</f>
        <v>32.9</v>
      </c>
      <c r="O1267" s="60">
        <f t="shared" si="13"/>
        <v>2.4674999999999996E-3</v>
      </c>
    </row>
    <row r="1268" spans="1:15" ht="25.15" customHeight="1">
      <c r="A1268" s="16"/>
      <c r="B1268" s="838" t="s">
        <v>69</v>
      </c>
      <c r="C1268" s="838"/>
      <c r="D1268" s="44" t="s">
        <v>51</v>
      </c>
      <c r="E1268" s="104">
        <f>H1268/H1261</f>
        <v>6.1538461538461541E-4</v>
      </c>
      <c r="F1268" s="238">
        <f>SUMIF('Cjenik VSO'!$B$9:$B$85,$B1268,'Cjenik VSO'!$C$9:$C$85)</f>
        <v>179.6</v>
      </c>
      <c r="G1268" s="46">
        <f t="shared" si="12"/>
        <v>0.11052307692307692</v>
      </c>
      <c r="H1268" s="560">
        <v>8</v>
      </c>
      <c r="I1268" s="56"/>
      <c r="J1268" s="834" t="s">
        <v>69</v>
      </c>
      <c r="K1268" s="834"/>
      <c r="L1268" s="57" t="s">
        <v>51</v>
      </c>
      <c r="M1268" s="58">
        <v>5.1900000000000004E-4</v>
      </c>
      <c r="N1268" s="263">
        <f>SUMIF('Cjenik VSO'!$B$9:$B$85,$B1268,'Cjenik VSO'!$C$9:$C$85)</f>
        <v>179.6</v>
      </c>
      <c r="O1268" s="60">
        <f t="shared" si="13"/>
        <v>9.3212400000000001E-2</v>
      </c>
    </row>
    <row r="1269" spans="1:15" ht="25.15" customHeight="1">
      <c r="A1269" s="16"/>
      <c r="B1269" s="838" t="s">
        <v>478</v>
      </c>
      <c r="C1269" s="838"/>
      <c r="D1269" s="44" t="s">
        <v>51</v>
      </c>
      <c r="E1269" s="104">
        <f>H1269/H1261</f>
        <v>2.3076923076923076E-4</v>
      </c>
      <c r="F1269" s="238">
        <f>SUMIF('Cjenik VSO'!$B$9:$B$85,$B1269,'Cjenik VSO'!$C$9:$C$85)</f>
        <v>123.97</v>
      </c>
      <c r="G1269" s="46">
        <f t="shared" si="12"/>
        <v>2.8608461538461537E-2</v>
      </c>
      <c r="H1269" s="560">
        <v>3</v>
      </c>
      <c r="I1269" s="51"/>
      <c r="J1269" s="863"/>
      <c r="K1269" s="863"/>
      <c r="L1269" s="52"/>
      <c r="M1269" s="53"/>
      <c r="N1269" s="260"/>
      <c r="O1269" s="55">
        <f t="shared" si="13"/>
        <v>0</v>
      </c>
    </row>
    <row r="1270" spans="1:15" ht="25.15" customHeight="1">
      <c r="A1270" s="16"/>
      <c r="B1270" s="838" t="s">
        <v>60</v>
      </c>
      <c r="C1270" s="838"/>
      <c r="D1270" s="44" t="s">
        <v>51</v>
      </c>
      <c r="E1270" s="104">
        <f>H1270/H1261</f>
        <v>3.076923076923077E-4</v>
      </c>
      <c r="F1270" s="238">
        <f>SUMIF('Cjenik VSO'!$B$9:$B$85,$B1270,'Cjenik VSO'!$C$9:$C$85)</f>
        <v>328.73</v>
      </c>
      <c r="G1270" s="46">
        <f t="shared" si="12"/>
        <v>0.10114769230769231</v>
      </c>
      <c r="H1270" s="560">
        <v>4</v>
      </c>
      <c r="I1270" s="56"/>
      <c r="J1270" s="834" t="s">
        <v>60</v>
      </c>
      <c r="K1270" s="834"/>
      <c r="L1270" s="57" t="s">
        <v>51</v>
      </c>
      <c r="M1270" s="58">
        <v>2.31E-4</v>
      </c>
      <c r="N1270" s="263">
        <f>SUMIF('Cjenik VSO'!$B$9:$B$85,$B1270,'Cjenik VSO'!$C$9:$C$85)</f>
        <v>328.73</v>
      </c>
      <c r="O1270" s="60">
        <f t="shared" si="13"/>
        <v>7.5936630000000005E-2</v>
      </c>
    </row>
    <row r="1271" spans="1:15" ht="25.15" customHeight="1">
      <c r="A1271" s="16"/>
      <c r="B1271" s="838" t="s">
        <v>61</v>
      </c>
      <c r="C1271" s="838"/>
      <c r="D1271" s="44" t="s">
        <v>51</v>
      </c>
      <c r="E1271" s="104">
        <f>H1271/H1261</f>
        <v>3.076923076923077E-4</v>
      </c>
      <c r="F1271" s="238">
        <f>SUMIF('Cjenik VSO'!$B$9:$B$85,$B1271,'Cjenik VSO'!$C$9:$C$85)</f>
        <v>62.67</v>
      </c>
      <c r="G1271" s="46">
        <f t="shared" si="12"/>
        <v>1.9283076923076924E-2</v>
      </c>
      <c r="H1271" s="560">
        <v>4</v>
      </c>
      <c r="I1271" s="61"/>
      <c r="J1271" s="864" t="s">
        <v>61</v>
      </c>
      <c r="K1271" s="864"/>
      <c r="L1271" s="62" t="s">
        <v>51</v>
      </c>
      <c r="M1271" s="63">
        <v>2.0000000000000001E-4</v>
      </c>
      <c r="N1271" s="261">
        <f>SUMIF('Cjenik VSO'!$B$9:$B$85,$B1271,'Cjenik VSO'!$C$9:$C$85)</f>
        <v>62.67</v>
      </c>
      <c r="O1271" s="65">
        <f t="shared" si="13"/>
        <v>1.2534000000000002E-2</v>
      </c>
    </row>
    <row r="1272" spans="1:15" ht="25.15" customHeight="1">
      <c r="A1272" s="16"/>
      <c r="B1272" s="837" t="str">
        <f>'Obrazac kalkulacije'!$B$15</f>
        <v>Materijali:</v>
      </c>
      <c r="C1272" s="837"/>
      <c r="D1272" s="16"/>
      <c r="E1272" s="16"/>
      <c r="F1272" s="238"/>
      <c r="G1272" s="18">
        <f>SUM(G1273:G1275)</f>
        <v>0</v>
      </c>
      <c r="I1272" s="16"/>
      <c r="J1272" s="837" t="str">
        <f>'Obrazac kalkulacije'!$B$15</f>
        <v>Materijali:</v>
      </c>
      <c r="K1272" s="837"/>
      <c r="L1272" s="16"/>
      <c r="M1272" s="16"/>
      <c r="N1272" s="238"/>
      <c r="O1272" s="18">
        <f>SUM(O1273:O1275)</f>
        <v>0</v>
      </c>
    </row>
    <row r="1273" spans="1:15" ht="25.15" customHeight="1">
      <c r="A1273" s="16"/>
      <c r="B1273" s="838">
        <f>'Cjenik M'!$B$72</f>
        <v>0</v>
      </c>
      <c r="C1273" s="838"/>
      <c r="D1273" s="44">
        <f>'Cjenik M'!$C$72</f>
        <v>0</v>
      </c>
      <c r="E1273" s="45">
        <v>4.9599999999999998E-2</v>
      </c>
      <c r="F1273" s="238">
        <f>'Cjenik M'!$D$72</f>
        <v>0</v>
      </c>
      <c r="G1273" s="46">
        <f>E1273*F1273</f>
        <v>0</v>
      </c>
      <c r="I1273" s="51"/>
      <c r="J1273" s="863">
        <f>'Cjenik M'!$B$72</f>
        <v>0</v>
      </c>
      <c r="K1273" s="863"/>
      <c r="L1273" s="52">
        <f>'Cjenik M'!$C$72</f>
        <v>0</v>
      </c>
      <c r="M1273" s="53">
        <v>4.9599999999999998E-2</v>
      </c>
      <c r="N1273" s="260">
        <f>'Cjenik M'!$D$72</f>
        <v>0</v>
      </c>
      <c r="O1273" s="55">
        <f>M1273*N1273</f>
        <v>0</v>
      </c>
    </row>
    <row r="1274" spans="1:15" ht="25.15" customHeight="1">
      <c r="A1274" s="16"/>
      <c r="B1274" s="838">
        <f>'Cjenik M'!$B$102</f>
        <v>0</v>
      </c>
      <c r="C1274" s="838"/>
      <c r="D1274" s="44">
        <f>'Cjenik M'!$C$102</f>
        <v>0</v>
      </c>
      <c r="E1274" s="45">
        <v>2.5999999999999999E-2</v>
      </c>
      <c r="F1274" s="238">
        <f>'Cjenik M'!$D$102</f>
        <v>0</v>
      </c>
      <c r="G1274" s="46">
        <f>E1274*F1274</f>
        <v>0</v>
      </c>
      <c r="I1274" s="56"/>
      <c r="J1274" s="834">
        <f>'Cjenik M'!$B$102</f>
        <v>0</v>
      </c>
      <c r="K1274" s="834"/>
      <c r="L1274" s="57">
        <f>'Cjenik M'!$C$102</f>
        <v>0</v>
      </c>
      <c r="M1274" s="58">
        <v>2.5999999999999999E-2</v>
      </c>
      <c r="N1274" s="263">
        <f>'Cjenik M'!$D$102</f>
        <v>0</v>
      </c>
      <c r="O1274" s="60">
        <f>M1274*N1274</f>
        <v>0</v>
      </c>
    </row>
    <row r="1275" spans="1:15" ht="25.15" customHeight="1" thickBot="1">
      <c r="A1275" s="16"/>
      <c r="B1275" s="838">
        <f>'Cjenik M'!$B$74</f>
        <v>0</v>
      </c>
      <c r="C1275" s="838"/>
      <c r="D1275" s="44">
        <f>'Cjenik M'!$C$74</f>
        <v>0</v>
      </c>
      <c r="E1275" s="45">
        <v>5.8469999999999998E-3</v>
      </c>
      <c r="F1275" s="238">
        <f>'Cjenik M'!$D$74</f>
        <v>0</v>
      </c>
      <c r="G1275" s="46">
        <f>E1275*F1275</f>
        <v>0</v>
      </c>
      <c r="I1275" s="66"/>
      <c r="J1275" s="834">
        <f>'Cjenik M'!$B$74</f>
        <v>0</v>
      </c>
      <c r="K1275" s="834"/>
      <c r="L1275" s="57">
        <f>'Cjenik M'!$C$74</f>
        <v>0</v>
      </c>
      <c r="M1275" s="58">
        <v>5.8469999999999998E-3</v>
      </c>
      <c r="N1275" s="263">
        <f>'Cjenik M'!$D$74</f>
        <v>0</v>
      </c>
      <c r="O1275" s="60">
        <f>M1275*N1275</f>
        <v>0</v>
      </c>
    </row>
    <row r="1276" spans="1:15" ht="25.15" customHeight="1" thickTop="1" thickBot="1">
      <c r="E1276" s="868" t="str">
        <f>'Obrazac kalkulacije'!$E$18</f>
        <v>Ukupno (kn):</v>
      </c>
      <c r="F1276" s="868"/>
      <c r="G1276" s="71">
        <f>ROUND(SUM(G1263+G1265+G1272),2)</f>
        <v>0.67</v>
      </c>
      <c r="H1276" s="269" t="e">
        <f>SUMIF(#REF!,$B1259,#REF!)</f>
        <v>#REF!</v>
      </c>
      <c r="J1276" s="47"/>
      <c r="K1276" s="24"/>
      <c r="L1276" s="25"/>
      <c r="M1276" s="850" t="str">
        <f>'Obrazac kalkulacije'!$E$18</f>
        <v>Ukupno (kn):</v>
      </c>
      <c r="N1276" s="850"/>
      <c r="O1276" s="26">
        <f>ROUND(SUM(O1263+O1265+O1272),2)</f>
        <v>0.45</v>
      </c>
    </row>
    <row r="1277" spans="1:15" ht="25.15" customHeight="1" thickTop="1" thickBot="1">
      <c r="E1277" s="27" t="str">
        <f>'Obrazac kalkulacije'!$E$19</f>
        <v>PDV:</v>
      </c>
      <c r="F1277" s="259">
        <f>'Obrazac kalkulacije'!$F$19</f>
        <v>0.25</v>
      </c>
      <c r="G1277" s="29">
        <f>G1276*F1277</f>
        <v>0.16750000000000001</v>
      </c>
      <c r="H1277" s="270" t="e">
        <f>H1276-G1276</f>
        <v>#REF!</v>
      </c>
      <c r="M1277" s="27" t="str">
        <f>'Obrazac kalkulacije'!$E$19</f>
        <v>PDV:</v>
      </c>
      <c r="N1277" s="259">
        <f>'Obrazac kalkulacije'!$F$19</f>
        <v>0.25</v>
      </c>
      <c r="O1277" s="29">
        <f>O1276*N1277</f>
        <v>0.1125</v>
      </c>
    </row>
    <row r="1278" spans="1:15" ht="25.15" customHeight="1" thickTop="1" thickBot="1">
      <c r="E1278" s="840" t="str">
        <f>'Obrazac kalkulacije'!$E$20</f>
        <v>Sveukupno (kn):</v>
      </c>
      <c r="F1278" s="840"/>
      <c r="G1278" s="29">
        <f>ROUND(SUM(G1276:G1277),2)</f>
        <v>0.84</v>
      </c>
      <c r="H1278" s="271" t="e">
        <f>G1266+H1277</f>
        <v>#REF!</v>
      </c>
      <c r="M1278" s="840" t="str">
        <f>'Obrazac kalkulacije'!$E$20</f>
        <v>Sveukupno (kn):</v>
      </c>
      <c r="N1278" s="840"/>
      <c r="O1278" s="29">
        <f>ROUND(SUM(O1276:O1277),2)</f>
        <v>0.56000000000000005</v>
      </c>
    </row>
    <row r="1279" spans="1:15" ht="15" customHeight="1" thickTop="1"/>
    <row r="1280" spans="1:15" ht="15" customHeight="1"/>
    <row r="1281" spans="1:15" ht="15" customHeight="1"/>
    <row r="1282" spans="1:15" ht="15" customHeight="1">
      <c r="C1282" s="3" t="str">
        <f>'Obrazac kalkulacije'!$C$24</f>
        <v>IZVODITELJ:</v>
      </c>
      <c r="F1282" s="841" t="str">
        <f>'Obrazac kalkulacije'!$F$24</f>
        <v>NARUČITELJ:</v>
      </c>
      <c r="G1282" s="841"/>
      <c r="K1282" s="3" t="str">
        <f>'Obrazac kalkulacije'!$C$24</f>
        <v>IZVODITELJ:</v>
      </c>
      <c r="N1282" s="841" t="str">
        <f>'Obrazac kalkulacije'!$F$24</f>
        <v>NARUČITELJ:</v>
      </c>
      <c r="O1282" s="841"/>
    </row>
    <row r="1283" spans="1:15" ht="25.15" customHeight="1">
      <c r="C1283" s="3" t="str">
        <f>'Obrazac kalkulacije'!$C$25</f>
        <v>__________________</v>
      </c>
      <c r="F1283" s="841" t="str">
        <f>'Obrazac kalkulacije'!$F$25</f>
        <v>___________________</v>
      </c>
      <c r="G1283" s="841"/>
      <c r="K1283" s="3" t="str">
        <f>'Obrazac kalkulacije'!$C$25</f>
        <v>__________________</v>
      </c>
      <c r="N1283" s="841" t="str">
        <f>'Obrazac kalkulacije'!$F$25</f>
        <v>___________________</v>
      </c>
      <c r="O1283" s="841"/>
    </row>
    <row r="1284" spans="1:15" ht="15" customHeight="1">
      <c r="F1284" s="841"/>
      <c r="G1284" s="841"/>
      <c r="N1284" s="841"/>
      <c r="O1284" s="841"/>
    </row>
    <row r="1285" spans="1:15" ht="15" customHeight="1">
      <c r="F1285" s="841"/>
      <c r="G1285" s="841"/>
      <c r="N1285" s="841"/>
      <c r="O1285" s="841"/>
    </row>
    <row r="1286" spans="1:15" ht="15" customHeight="1">
      <c r="A1286" s="144"/>
      <c r="B1286" s="145" t="s">
        <v>39</v>
      </c>
      <c r="C1286" s="836" t="s">
        <v>360</v>
      </c>
      <c r="D1286" s="836"/>
      <c r="E1286" s="836"/>
      <c r="F1286" s="836"/>
      <c r="G1286" s="836"/>
      <c r="I1286" s="144"/>
      <c r="J1286" s="145" t="s">
        <v>39</v>
      </c>
      <c r="K1286" s="836" t="s">
        <v>360</v>
      </c>
      <c r="L1286" s="836"/>
      <c r="M1286" s="836"/>
      <c r="N1286" s="836"/>
      <c r="O1286" s="836"/>
    </row>
    <row r="1287" spans="1:15" ht="15" customHeight="1">
      <c r="A1287" s="38"/>
      <c r="B1287" s="39" t="s">
        <v>46</v>
      </c>
      <c r="C1287" s="860" t="s">
        <v>470</v>
      </c>
      <c r="D1287" s="860"/>
      <c r="E1287" s="860"/>
      <c r="F1287" s="860"/>
      <c r="G1287" s="860"/>
      <c r="I1287" s="38"/>
      <c r="J1287" s="39" t="s">
        <v>46</v>
      </c>
      <c r="K1287" s="860" t="s">
        <v>470</v>
      </c>
      <c r="L1287" s="860"/>
      <c r="M1287" s="860"/>
      <c r="N1287" s="860"/>
      <c r="O1287" s="860"/>
    </row>
    <row r="1288" spans="1:15" ht="15" customHeight="1">
      <c r="A1288" s="48"/>
      <c r="B1288" s="49" t="s">
        <v>515</v>
      </c>
      <c r="C1288" s="883" t="s">
        <v>516</v>
      </c>
      <c r="D1288" s="883"/>
      <c r="E1288" s="883"/>
      <c r="F1288" s="883"/>
      <c r="G1288" s="883"/>
      <c r="I1288" s="48"/>
      <c r="J1288" s="49" t="s">
        <v>515</v>
      </c>
      <c r="K1288" s="883" t="s">
        <v>516</v>
      </c>
      <c r="L1288" s="883"/>
      <c r="M1288" s="883"/>
      <c r="N1288" s="883"/>
      <c r="O1288" s="883"/>
    </row>
    <row r="1289" spans="1:15" ht="150" customHeight="1">
      <c r="A1289" s="40"/>
      <c r="B1289" s="556" t="s">
        <v>517</v>
      </c>
      <c r="C1289" s="852" t="s">
        <v>518</v>
      </c>
      <c r="D1289" s="852"/>
      <c r="E1289" s="852"/>
      <c r="F1289" s="852"/>
      <c r="G1289" s="852"/>
      <c r="I1289" s="40"/>
      <c r="J1289" s="41" t="s">
        <v>519</v>
      </c>
      <c r="K1289" s="869" t="s">
        <v>518</v>
      </c>
      <c r="L1289" s="869"/>
      <c r="M1289" s="869"/>
      <c r="N1289" s="869"/>
      <c r="O1289" s="869"/>
    </row>
    <row r="1290" spans="1:15" ht="15" customHeight="1" thickBot="1"/>
    <row r="1291" spans="1:15" ht="30" customHeight="1" thickTop="1" thickBot="1">
      <c r="A1291" s="10"/>
      <c r="B1291" s="835" t="str">
        <f>'Obrazac kalkulacije'!$B$6:$C$6</f>
        <v>Opis</v>
      </c>
      <c r="C1291" s="835"/>
      <c r="D1291" s="10" t="str">
        <f>'Obrazac kalkulacije'!$D$6</f>
        <v>Jed.
mjere</v>
      </c>
      <c r="E1291" s="10" t="str">
        <f>'Obrazac kalkulacije'!$E$6</f>
        <v>Normativ</v>
      </c>
      <c r="F1291" s="10" t="str">
        <f>'Obrazac kalkulacije'!$F$6</f>
        <v>Jed.
cijena</v>
      </c>
      <c r="G1291" s="10" t="str">
        <f>'Obrazac kalkulacije'!$G$6</f>
        <v>Iznos</v>
      </c>
      <c r="H1291" s="622">
        <v>350</v>
      </c>
      <c r="I1291" s="10"/>
      <c r="J1291" s="835" t="e">
        <f>'Obrazac kalkulacije'!$B$6:$C$6</f>
        <v>#VALUE!</v>
      </c>
      <c r="K1291" s="835"/>
      <c r="L1291" s="10" t="str">
        <f>'Obrazac kalkulacije'!$D$6</f>
        <v>Jed.
mjere</v>
      </c>
      <c r="M1291" s="10" t="str">
        <f>'Obrazac kalkulacije'!$E$6</f>
        <v>Normativ</v>
      </c>
      <c r="N1291" s="10" t="str">
        <f>'Obrazac kalkulacije'!$F$6</f>
        <v>Jed.
cijena</v>
      </c>
      <c r="O1291" s="10" t="str">
        <f>'Obrazac kalkulacije'!$G$6</f>
        <v>Iznos</v>
      </c>
    </row>
    <row r="1292" spans="1:15" ht="4.5" customHeight="1" thickTop="1">
      <c r="B1292" s="42"/>
      <c r="C1292" s="1"/>
      <c r="D1292" s="11"/>
      <c r="E1292" s="13"/>
      <c r="F1292" s="258"/>
      <c r="G1292" s="15"/>
      <c r="H1292" s="3"/>
      <c r="J1292" s="42"/>
      <c r="K1292" s="1"/>
      <c r="L1292" s="11"/>
      <c r="M1292" s="13"/>
      <c r="N1292" s="258"/>
      <c r="O1292" s="15"/>
    </row>
    <row r="1293" spans="1:15" ht="25.15" customHeight="1">
      <c r="A1293" s="16"/>
      <c r="B1293" s="837" t="str">
        <f>'Obrazac kalkulacije'!$B$8</f>
        <v>Radna snaga:</v>
      </c>
      <c r="C1293" s="837"/>
      <c r="D1293" s="16"/>
      <c r="E1293" s="16"/>
      <c r="F1293" s="44"/>
      <c r="G1293" s="18">
        <f>SUM(G1294:G1294)</f>
        <v>7.2020571428571429</v>
      </c>
      <c r="H1293" s="3"/>
      <c r="I1293" s="16"/>
      <c r="J1293" s="837" t="str">
        <f>'Obrazac kalkulacije'!$B$8</f>
        <v>Radna snaga:</v>
      </c>
      <c r="K1293" s="837"/>
      <c r="L1293" s="16"/>
      <c r="M1293" s="16"/>
      <c r="N1293" s="44"/>
      <c r="O1293" s="18">
        <f>SUM(O1294:O1294)</f>
        <v>7.0020350100000002</v>
      </c>
    </row>
    <row r="1294" spans="1:15" ht="25.15" customHeight="1">
      <c r="A1294" s="32"/>
      <c r="B1294" s="854" t="s">
        <v>57</v>
      </c>
      <c r="C1294" s="854"/>
      <c r="D1294" s="33" t="s">
        <v>51</v>
      </c>
      <c r="E1294" s="34">
        <f>H1294/H1291</f>
        <v>6.8571428571428575E-2</v>
      </c>
      <c r="F1294" s="238">
        <f>SUMIF('Cjenik RS'!$C$11:$C$26,$B1294,'Cjenik RS'!$D$11:$D$90)</f>
        <v>105.03</v>
      </c>
      <c r="G1294" s="35">
        <f>+F1294*E1294</f>
        <v>7.2020571428571429</v>
      </c>
      <c r="H1294" s="560">
        <v>24</v>
      </c>
      <c r="I1294" s="32"/>
      <c r="J1294" s="854" t="s">
        <v>57</v>
      </c>
      <c r="K1294" s="854"/>
      <c r="L1294" s="33" t="s">
        <v>51</v>
      </c>
      <c r="M1294" s="34">
        <v>6.6667000000000004E-2</v>
      </c>
      <c r="N1294" s="44">
        <f>SUMIF('Cjenik RS'!$C$11:$C$26,J1294,'Cjenik RS'!$D$11:$D$90)</f>
        <v>105.03</v>
      </c>
      <c r="O1294" s="35">
        <f>+N1294*M1294</f>
        <v>7.0020350100000002</v>
      </c>
    </row>
    <row r="1295" spans="1:15" ht="25.15" customHeight="1">
      <c r="A1295" s="16"/>
      <c r="B1295" s="837" t="str">
        <f>'Obrazac kalkulacije'!$B$11</f>
        <v>Vozila, strojevi i oprema:</v>
      </c>
      <c r="C1295" s="837"/>
      <c r="D1295" s="16"/>
      <c r="E1295" s="16"/>
      <c r="F1295" s="238">
        <f>'Obrazac kalkulacije'!$F$11</f>
        <v>0</v>
      </c>
      <c r="G1295" s="18">
        <f>SUM(G1296:G1297)</f>
        <v>6.6792857142857134</v>
      </c>
      <c r="I1295" s="16"/>
      <c r="J1295" s="837" t="str">
        <f>'Obrazac kalkulacije'!$B$11</f>
        <v>Vozila, strojevi i oprema:</v>
      </c>
      <c r="K1295" s="837"/>
      <c r="L1295" s="16"/>
      <c r="M1295" s="16"/>
      <c r="N1295" s="238">
        <f>'Obrazac kalkulacije'!$F$11</f>
        <v>0</v>
      </c>
      <c r="O1295" s="18">
        <f>SUM(O1296:O1297)</f>
        <v>4.9908599300000001</v>
      </c>
    </row>
    <row r="1296" spans="1:15" ht="25.15" customHeight="1">
      <c r="A1296" s="51"/>
      <c r="B1296" s="863" t="s">
        <v>520</v>
      </c>
      <c r="C1296" s="863"/>
      <c r="D1296" s="52" t="s">
        <v>51</v>
      </c>
      <c r="E1296" s="53">
        <f>H1296/H1291</f>
        <v>1.4285714285714285E-2</v>
      </c>
      <c r="F1296" s="260">
        <f>SUMIF('Cjenik VSO'!$B$9:$B$85,$B1296,'Cjenik VSO'!$C$9:$C$85)</f>
        <v>180.19</v>
      </c>
      <c r="G1296" s="55">
        <f>E1296*F1296</f>
        <v>2.5741428571428568</v>
      </c>
      <c r="H1296" s="560">
        <v>5</v>
      </c>
      <c r="I1296" s="51"/>
      <c r="J1296" s="863" t="s">
        <v>520</v>
      </c>
      <c r="K1296" s="863"/>
      <c r="L1296" s="52" t="s">
        <v>51</v>
      </c>
      <c r="M1296" s="53">
        <v>1.6667000000000001E-2</v>
      </c>
      <c r="N1296" s="260">
        <f>SUMIF('Cjenik VSO'!$B$9:$B$85,$B1296,'Cjenik VSO'!$C$9:$C$85)</f>
        <v>180.19</v>
      </c>
      <c r="O1296" s="55">
        <f>M1296*N1296</f>
        <v>3.0032267300000002</v>
      </c>
    </row>
    <row r="1297" spans="1:15" ht="25.15" customHeight="1">
      <c r="A1297" s="61"/>
      <c r="B1297" s="864" t="s">
        <v>69</v>
      </c>
      <c r="C1297" s="864"/>
      <c r="D1297" s="62" t="s">
        <v>51</v>
      </c>
      <c r="E1297" s="63">
        <f>H1297/H1291</f>
        <v>2.2857142857142857E-2</v>
      </c>
      <c r="F1297" s="261">
        <f>SUMIF('Cjenik VSO'!$B$9:$B$85,$B1297,'Cjenik VSO'!$C$9:$C$85)</f>
        <v>179.6</v>
      </c>
      <c r="G1297" s="65">
        <f>E1297*F1297</f>
        <v>4.105142857142857</v>
      </c>
      <c r="H1297" s="560">
        <v>8</v>
      </c>
      <c r="I1297" s="61"/>
      <c r="J1297" s="864" t="s">
        <v>69</v>
      </c>
      <c r="K1297" s="864"/>
      <c r="L1297" s="62" t="s">
        <v>51</v>
      </c>
      <c r="M1297" s="63">
        <v>1.1067E-2</v>
      </c>
      <c r="N1297" s="261">
        <f>SUMIF('Cjenik VSO'!$B$9:$B$85,$B1297,'Cjenik VSO'!$C$9:$C$85)</f>
        <v>179.6</v>
      </c>
      <c r="O1297" s="65">
        <f>M1297*N1297</f>
        <v>1.9876332000000001</v>
      </c>
    </row>
    <row r="1298" spans="1:15" ht="25.15" customHeight="1">
      <c r="A1298" s="16"/>
      <c r="B1298" s="837" t="str">
        <f>'Obrazac kalkulacije'!$B$15</f>
        <v>Materijali:</v>
      </c>
      <c r="C1298" s="837"/>
      <c r="D1298" s="16"/>
      <c r="E1298" s="16"/>
      <c r="F1298" s="238"/>
      <c r="G1298" s="18">
        <f>SUM(G1299:G1301)</f>
        <v>0</v>
      </c>
      <c r="H1298" s="560">
        <f>E1298*H1291</f>
        <v>0</v>
      </c>
      <c r="I1298" s="16"/>
      <c r="J1298" s="837" t="str">
        <f>'Obrazac kalkulacije'!$B$15</f>
        <v>Materijali:</v>
      </c>
      <c r="K1298" s="837"/>
      <c r="L1298" s="16"/>
      <c r="M1298" s="16"/>
      <c r="N1298" s="238"/>
      <c r="O1298" s="18">
        <f>SUM(O1299:O1301)</f>
        <v>0</v>
      </c>
    </row>
    <row r="1299" spans="1:15" ht="25.15" customHeight="1">
      <c r="A1299" s="51"/>
      <c r="B1299" s="863">
        <f>'Cjenik M'!$B$72</f>
        <v>0</v>
      </c>
      <c r="C1299" s="863"/>
      <c r="D1299" s="52">
        <f>'Cjenik M'!$C$72</f>
        <v>0</v>
      </c>
      <c r="E1299" s="53">
        <v>0.31</v>
      </c>
      <c r="F1299" s="260">
        <f>'Cjenik M'!$D$72</f>
        <v>0</v>
      </c>
      <c r="G1299" s="55">
        <f>E1299*F1299</f>
        <v>0</v>
      </c>
      <c r="H1299" s="560"/>
      <c r="I1299" s="51"/>
      <c r="J1299" s="863">
        <f>'Cjenik M'!$B$72</f>
        <v>0</v>
      </c>
      <c r="K1299" s="863"/>
      <c r="L1299" s="52">
        <f>'Cjenik M'!$C$72</f>
        <v>0</v>
      </c>
      <c r="M1299" s="53">
        <v>0.31</v>
      </c>
      <c r="N1299" s="260">
        <f>'Cjenik M'!$D$72</f>
        <v>0</v>
      </c>
      <c r="O1299" s="55">
        <f>M1299*N1299</f>
        <v>0</v>
      </c>
    </row>
    <row r="1300" spans="1:15" ht="25.15" customHeight="1">
      <c r="A1300" s="56"/>
      <c r="B1300" s="834">
        <f>'Cjenik M'!$B$102</f>
        <v>0</v>
      </c>
      <c r="C1300" s="834"/>
      <c r="D1300" s="57">
        <f>'Cjenik M'!$C$102</f>
        <v>0</v>
      </c>
      <c r="E1300" s="58">
        <v>0.16250000000000001</v>
      </c>
      <c r="F1300" s="263">
        <f>'Cjenik M'!$D$102</f>
        <v>0</v>
      </c>
      <c r="G1300" s="60">
        <f>E1300*F1300</f>
        <v>0</v>
      </c>
      <c r="H1300" s="560"/>
      <c r="I1300" s="56"/>
      <c r="J1300" s="834">
        <f>'Cjenik M'!$B$102</f>
        <v>0</v>
      </c>
      <c r="K1300" s="834"/>
      <c r="L1300" s="57">
        <f>'Cjenik M'!$C$102</f>
        <v>0</v>
      </c>
      <c r="M1300" s="58">
        <v>0.16250000000000001</v>
      </c>
      <c r="N1300" s="263">
        <f>'Cjenik M'!$D$102</f>
        <v>0</v>
      </c>
      <c r="O1300" s="60">
        <f>M1300*N1300</f>
        <v>0</v>
      </c>
    </row>
    <row r="1301" spans="1:15" ht="25.15" customHeight="1" thickBot="1">
      <c r="A1301" s="66"/>
      <c r="B1301" s="834">
        <f>'Cjenik M'!$B$74</f>
        <v>0</v>
      </c>
      <c r="C1301" s="834"/>
      <c r="D1301" s="57">
        <f>'Cjenik M'!$C$74</f>
        <v>0</v>
      </c>
      <c r="E1301" s="58">
        <v>3.5963000000000002E-2</v>
      </c>
      <c r="F1301" s="263">
        <f>'Cjenik M'!$D$74</f>
        <v>0</v>
      </c>
      <c r="G1301" s="60">
        <f>E1301*F1301</f>
        <v>0</v>
      </c>
      <c r="I1301" s="66"/>
      <c r="J1301" s="834">
        <f>'Cjenik M'!$B$74</f>
        <v>0</v>
      </c>
      <c r="K1301" s="834"/>
      <c r="L1301" s="57">
        <f>'Cjenik M'!$C$74</f>
        <v>0</v>
      </c>
      <c r="M1301" s="58">
        <v>3.5963000000000002E-2</v>
      </c>
      <c r="N1301" s="263">
        <f>'Cjenik M'!$D$74</f>
        <v>0</v>
      </c>
      <c r="O1301" s="60">
        <f>M1301*N1301</f>
        <v>0</v>
      </c>
    </row>
    <row r="1302" spans="1:15" ht="25.15" customHeight="1" thickTop="1" thickBot="1">
      <c r="B1302" s="47"/>
      <c r="C1302" s="24"/>
      <c r="D1302" s="25"/>
      <c r="E1302" s="850" t="str">
        <f>'Obrazac kalkulacije'!$E$18</f>
        <v>Ukupno (kn):</v>
      </c>
      <c r="F1302" s="850"/>
      <c r="G1302" s="26">
        <f>ROUND(SUM(G1293+G1295+G1298),2)</f>
        <v>13.88</v>
      </c>
      <c r="H1302" s="269" t="e">
        <f>SUMIF(#REF!,$B1289,#REF!)</f>
        <v>#REF!</v>
      </c>
      <c r="J1302" s="47"/>
      <c r="K1302" s="24"/>
      <c r="L1302" s="25"/>
      <c r="M1302" s="850" t="str">
        <f>'Obrazac kalkulacije'!$E$18</f>
        <v>Ukupno (kn):</v>
      </c>
      <c r="N1302" s="850"/>
      <c r="O1302" s="26">
        <f>ROUND(SUM(O1293+O1295+O1298),2)</f>
        <v>11.99</v>
      </c>
    </row>
    <row r="1303" spans="1:15" ht="25.15" customHeight="1" thickTop="1" thickBot="1">
      <c r="E1303" s="27" t="str">
        <f>'Obrazac kalkulacije'!$E$19</f>
        <v>PDV:</v>
      </c>
      <c r="F1303" s="259">
        <f>'Obrazac kalkulacije'!$F$19</f>
        <v>0.25</v>
      </c>
      <c r="G1303" s="29">
        <f>G1302*F1303</f>
        <v>3.47</v>
      </c>
      <c r="H1303" s="270" t="e">
        <f>H1302-G1302</f>
        <v>#REF!</v>
      </c>
      <c r="M1303" s="27" t="str">
        <f>'Obrazac kalkulacije'!$E$19</f>
        <v>PDV:</v>
      </c>
      <c r="N1303" s="259">
        <f>'Obrazac kalkulacije'!$F$19</f>
        <v>0.25</v>
      </c>
      <c r="O1303" s="29">
        <f>O1302*N1303</f>
        <v>2.9975000000000001</v>
      </c>
    </row>
    <row r="1304" spans="1:15" ht="25.15" customHeight="1" thickTop="1" thickBot="1">
      <c r="E1304" s="840" t="str">
        <f>'Obrazac kalkulacije'!$E$20</f>
        <v>Sveukupno (kn):</v>
      </c>
      <c r="F1304" s="840"/>
      <c r="G1304" s="29">
        <f>ROUND(SUM(G1302:G1303),2)</f>
        <v>17.350000000000001</v>
      </c>
      <c r="H1304" s="271" t="e">
        <f>G1296+H1303</f>
        <v>#REF!</v>
      </c>
      <c r="M1304" s="840" t="str">
        <f>'Obrazac kalkulacije'!$E$20</f>
        <v>Sveukupno (kn):</v>
      </c>
      <c r="N1304" s="840"/>
      <c r="O1304" s="29">
        <f>ROUND(SUM(O1302:O1303),2)</f>
        <v>14.99</v>
      </c>
    </row>
    <row r="1305" spans="1:15" ht="15" customHeight="1" thickTop="1"/>
    <row r="1306" spans="1:15" ht="15" customHeight="1"/>
    <row r="1307" spans="1:15" ht="15" customHeight="1"/>
    <row r="1308" spans="1:15" ht="15" customHeight="1">
      <c r="C1308" s="3" t="str">
        <f>'Obrazac kalkulacije'!$C$24</f>
        <v>IZVODITELJ:</v>
      </c>
      <c r="F1308" s="841" t="str">
        <f>'Obrazac kalkulacije'!$F$24</f>
        <v>NARUČITELJ:</v>
      </c>
      <c r="G1308" s="841"/>
      <c r="K1308" s="3" t="str">
        <f>'Obrazac kalkulacije'!$C$24</f>
        <v>IZVODITELJ:</v>
      </c>
      <c r="N1308" s="841" t="str">
        <f>'Obrazac kalkulacije'!$F$24</f>
        <v>NARUČITELJ:</v>
      </c>
      <c r="O1308" s="841"/>
    </row>
    <row r="1309" spans="1:15" ht="25.15" customHeight="1">
      <c r="C1309" s="3" t="str">
        <f>'Obrazac kalkulacije'!$C$25</f>
        <v>__________________</v>
      </c>
      <c r="F1309" s="841" t="str">
        <f>'Obrazac kalkulacije'!$F$25</f>
        <v>___________________</v>
      </c>
      <c r="G1309" s="841"/>
      <c r="K1309" s="3" t="str">
        <f>'Obrazac kalkulacije'!$C$25</f>
        <v>__________________</v>
      </c>
      <c r="N1309" s="841" t="str">
        <f>'Obrazac kalkulacije'!$F$25</f>
        <v>___________________</v>
      </c>
      <c r="O1309" s="841"/>
    </row>
    <row r="1310" spans="1:15" ht="15" customHeight="1">
      <c r="C1310" s="3"/>
      <c r="G1310" s="30"/>
      <c r="K1310" s="3"/>
      <c r="O1310" s="30"/>
    </row>
    <row r="1311" spans="1:15" ht="15" customHeight="1">
      <c r="F1311" s="841"/>
      <c r="G1311" s="841"/>
      <c r="N1311" s="841"/>
      <c r="O1311" s="841"/>
    </row>
    <row r="1312" spans="1:15" ht="15" customHeight="1">
      <c r="A1312" s="144"/>
      <c r="B1312" s="145" t="s">
        <v>39</v>
      </c>
      <c r="C1312" s="836" t="s">
        <v>360</v>
      </c>
      <c r="D1312" s="836"/>
      <c r="E1312" s="836"/>
      <c r="F1312" s="836"/>
      <c r="G1312" s="836"/>
      <c r="I1312" s="144"/>
      <c r="J1312" s="145" t="s">
        <v>39</v>
      </c>
      <c r="K1312" s="836" t="s">
        <v>360</v>
      </c>
      <c r="L1312" s="836"/>
      <c r="M1312" s="836"/>
      <c r="N1312" s="836"/>
      <c r="O1312" s="836"/>
    </row>
    <row r="1313" spans="1:15" ht="15" customHeight="1">
      <c r="A1313" s="38"/>
      <c r="B1313" s="39" t="s">
        <v>46</v>
      </c>
      <c r="C1313" s="860" t="s">
        <v>470</v>
      </c>
      <c r="D1313" s="860"/>
      <c r="E1313" s="860"/>
      <c r="F1313" s="860"/>
      <c r="G1313" s="860"/>
      <c r="I1313" s="38"/>
      <c r="J1313" s="39" t="s">
        <v>46</v>
      </c>
      <c r="K1313" s="860" t="s">
        <v>470</v>
      </c>
      <c r="L1313" s="860"/>
      <c r="M1313" s="860"/>
      <c r="N1313" s="860"/>
      <c r="O1313" s="860"/>
    </row>
    <row r="1314" spans="1:15" ht="15" customHeight="1">
      <c r="A1314" s="48"/>
      <c r="B1314" s="49" t="s">
        <v>515</v>
      </c>
      <c r="C1314" s="883" t="s">
        <v>516</v>
      </c>
      <c r="D1314" s="883"/>
      <c r="E1314" s="883"/>
      <c r="F1314" s="883"/>
      <c r="G1314" s="883"/>
      <c r="I1314" s="48"/>
      <c r="J1314" s="49" t="s">
        <v>515</v>
      </c>
      <c r="K1314" s="883" t="s">
        <v>516</v>
      </c>
      <c r="L1314" s="883"/>
      <c r="M1314" s="883"/>
      <c r="N1314" s="883"/>
      <c r="O1314" s="883"/>
    </row>
    <row r="1315" spans="1:15" ht="150" customHeight="1">
      <c r="A1315" s="40"/>
      <c r="B1315" s="556" t="s">
        <v>519</v>
      </c>
      <c r="C1315" s="852" t="s">
        <v>521</v>
      </c>
      <c r="D1315" s="852"/>
      <c r="E1315" s="852"/>
      <c r="F1315" s="852"/>
      <c r="G1315" s="852"/>
      <c r="I1315" s="40"/>
      <c r="J1315" s="41" t="s">
        <v>522</v>
      </c>
      <c r="K1315" s="869" t="s">
        <v>521</v>
      </c>
      <c r="L1315" s="869"/>
      <c r="M1315" s="869"/>
      <c r="N1315" s="869"/>
      <c r="O1315" s="869"/>
    </row>
    <row r="1316" spans="1:15" ht="15" customHeight="1" thickBot="1"/>
    <row r="1317" spans="1:15" ht="30" customHeight="1" thickTop="1" thickBot="1">
      <c r="A1317" s="10"/>
      <c r="B1317" s="835" t="str">
        <f>'Obrazac kalkulacije'!$B$6:$C$6</f>
        <v>Opis</v>
      </c>
      <c r="C1317" s="835"/>
      <c r="D1317" s="10" t="str">
        <f>'Obrazac kalkulacije'!$D$6</f>
        <v>Jed.
mjere</v>
      </c>
      <c r="E1317" s="10" t="str">
        <f>'Obrazac kalkulacije'!$E$6</f>
        <v>Normativ</v>
      </c>
      <c r="F1317" s="10" t="str">
        <f>'Obrazac kalkulacije'!$F$6</f>
        <v>Jed.
cijena</v>
      </c>
      <c r="G1317" s="10" t="str">
        <f>'Obrazac kalkulacije'!$G$6</f>
        <v>Iznos</v>
      </c>
      <c r="H1317" s="622">
        <v>350</v>
      </c>
      <c r="I1317" s="10"/>
      <c r="J1317" s="835" t="e">
        <f>'Obrazac kalkulacije'!$B$6:$C$6</f>
        <v>#VALUE!</v>
      </c>
      <c r="K1317" s="835"/>
      <c r="L1317" s="10" t="str">
        <f>'Obrazac kalkulacije'!$D$6</f>
        <v>Jed.
mjere</v>
      </c>
      <c r="M1317" s="10" t="str">
        <f>'Obrazac kalkulacije'!$E$6</f>
        <v>Normativ</v>
      </c>
      <c r="N1317" s="10" t="str">
        <f>'Obrazac kalkulacije'!$F$6</f>
        <v>Jed.
cijena</v>
      </c>
      <c r="O1317" s="10" t="str">
        <f>'Obrazac kalkulacije'!$G$6</f>
        <v>Iznos</v>
      </c>
    </row>
    <row r="1318" spans="1:15" ht="4.5" customHeight="1" thickTop="1">
      <c r="B1318" s="42"/>
      <c r="C1318" s="1"/>
      <c r="D1318" s="11"/>
      <c r="E1318" s="13"/>
      <c r="F1318" s="258"/>
      <c r="G1318" s="15"/>
      <c r="H1318" s="3"/>
      <c r="J1318" s="42"/>
      <c r="K1318" s="1"/>
      <c r="L1318" s="11"/>
      <c r="M1318" s="13"/>
      <c r="N1318" s="258"/>
      <c r="O1318" s="15"/>
    </row>
    <row r="1319" spans="1:15" ht="25.15" customHeight="1">
      <c r="A1319" s="16"/>
      <c r="B1319" s="837" t="str">
        <f>'Obrazac kalkulacije'!$B$8</f>
        <v>Radna snaga:</v>
      </c>
      <c r="C1319" s="837"/>
      <c r="D1319" s="16"/>
      <c r="E1319" s="16"/>
      <c r="F1319" s="44"/>
      <c r="G1319" s="18">
        <f>SUM(G1320:G1320)</f>
        <v>7.2020571428571429</v>
      </c>
      <c r="H1319" s="3"/>
      <c r="I1319" s="16"/>
      <c r="J1319" s="837" t="str">
        <f>'Obrazac kalkulacije'!$B$8</f>
        <v>Radna snaga:</v>
      </c>
      <c r="K1319" s="837"/>
      <c r="L1319" s="16"/>
      <c r="M1319" s="16"/>
      <c r="N1319" s="44"/>
      <c r="O1319" s="18">
        <f>SUM(O1320:O1320)</f>
        <v>7.0020350100000002</v>
      </c>
    </row>
    <row r="1320" spans="1:15" ht="25.15" customHeight="1">
      <c r="A1320" s="32"/>
      <c r="B1320" s="854" t="s">
        <v>57</v>
      </c>
      <c r="C1320" s="854"/>
      <c r="D1320" s="33" t="s">
        <v>51</v>
      </c>
      <c r="E1320" s="34">
        <f>H1320/H1317</f>
        <v>6.8571428571428575E-2</v>
      </c>
      <c r="F1320" s="238">
        <f>SUMIF('Cjenik RS'!$C$11:$C$26,$B1320,'Cjenik RS'!$D$11:$D$90)</f>
        <v>105.03</v>
      </c>
      <c r="G1320" s="35">
        <f>+F1320*E1320</f>
        <v>7.2020571428571429</v>
      </c>
      <c r="H1320" s="560">
        <v>24</v>
      </c>
      <c r="I1320" s="32"/>
      <c r="J1320" s="854" t="s">
        <v>57</v>
      </c>
      <c r="K1320" s="854"/>
      <c r="L1320" s="33" t="s">
        <v>51</v>
      </c>
      <c r="M1320" s="34">
        <v>6.6667000000000004E-2</v>
      </c>
      <c r="N1320" s="44">
        <f>SUMIF('Cjenik RS'!$C$11:$C$26,J1320,'Cjenik RS'!$D$11:$D$90)</f>
        <v>105.03</v>
      </c>
      <c r="O1320" s="35">
        <f>+N1320*M1320</f>
        <v>7.0020350100000002</v>
      </c>
    </row>
    <row r="1321" spans="1:15" ht="25.15" customHeight="1">
      <c r="A1321" s="16"/>
      <c r="B1321" s="837" t="str">
        <f>'Obrazac kalkulacije'!$B$11</f>
        <v>Vozila, strojevi i oprema:</v>
      </c>
      <c r="C1321" s="837"/>
      <c r="D1321" s="16"/>
      <c r="E1321" s="16"/>
      <c r="F1321" s="238">
        <f>'Obrazac kalkulacije'!$F$11</f>
        <v>0</v>
      </c>
      <c r="G1321" s="18">
        <f>SUM(G1322:G1323)</f>
        <v>6.6792857142857134</v>
      </c>
      <c r="I1321" s="16"/>
      <c r="J1321" s="837" t="str">
        <f>'Obrazac kalkulacije'!$B$11</f>
        <v>Vozila, strojevi i oprema:</v>
      </c>
      <c r="K1321" s="837"/>
      <c r="L1321" s="16"/>
      <c r="M1321" s="16"/>
      <c r="N1321" s="238">
        <f>'Obrazac kalkulacije'!$F$11</f>
        <v>0</v>
      </c>
      <c r="O1321" s="18">
        <f>SUM(O1322:O1323)</f>
        <v>4.9908599300000001</v>
      </c>
    </row>
    <row r="1322" spans="1:15" ht="25.15" customHeight="1">
      <c r="A1322" s="51"/>
      <c r="B1322" s="863" t="s">
        <v>520</v>
      </c>
      <c r="C1322" s="863"/>
      <c r="D1322" s="52" t="s">
        <v>51</v>
      </c>
      <c r="E1322" s="53">
        <f>H1322/H1317</f>
        <v>1.4285714285714285E-2</v>
      </c>
      <c r="F1322" s="260">
        <f>SUMIF('Cjenik VSO'!$B$9:$B$85,$B1322,'Cjenik VSO'!$C$9:$C$85)</f>
        <v>180.19</v>
      </c>
      <c r="G1322" s="55">
        <f>E1322*F1322</f>
        <v>2.5741428571428568</v>
      </c>
      <c r="H1322" s="560">
        <v>5</v>
      </c>
      <c r="I1322" s="51"/>
      <c r="J1322" s="863" t="s">
        <v>520</v>
      </c>
      <c r="K1322" s="863"/>
      <c r="L1322" s="52" t="s">
        <v>51</v>
      </c>
      <c r="M1322" s="53">
        <v>1.6667000000000001E-2</v>
      </c>
      <c r="N1322" s="260">
        <f>SUMIF('Cjenik VSO'!$B$9:$B$85,$B1322,'Cjenik VSO'!$C$9:$C$85)</f>
        <v>180.19</v>
      </c>
      <c r="O1322" s="55">
        <f>M1322*N1322</f>
        <v>3.0032267300000002</v>
      </c>
    </row>
    <row r="1323" spans="1:15" ht="25.15" customHeight="1">
      <c r="A1323" s="61"/>
      <c r="B1323" s="864" t="s">
        <v>69</v>
      </c>
      <c r="C1323" s="864"/>
      <c r="D1323" s="62" t="s">
        <v>51</v>
      </c>
      <c r="E1323" s="63">
        <f>H1323/H1317</f>
        <v>2.2857142857142857E-2</v>
      </c>
      <c r="F1323" s="261">
        <f>SUMIF('Cjenik VSO'!$B$9:$B$85,$B1323,'Cjenik VSO'!$C$9:$C$85)</f>
        <v>179.6</v>
      </c>
      <c r="G1323" s="65">
        <f>E1323*F1323</f>
        <v>4.105142857142857</v>
      </c>
      <c r="H1323" s="560">
        <v>8</v>
      </c>
      <c r="I1323" s="61"/>
      <c r="J1323" s="864" t="s">
        <v>69</v>
      </c>
      <c r="K1323" s="864"/>
      <c r="L1323" s="62" t="s">
        <v>51</v>
      </c>
      <c r="M1323" s="63">
        <v>1.1067E-2</v>
      </c>
      <c r="N1323" s="261">
        <f>SUMIF('Cjenik VSO'!$B$9:$B$85,$B1323,'Cjenik VSO'!$C$9:$C$85)</f>
        <v>179.6</v>
      </c>
      <c r="O1323" s="65">
        <f>M1323*N1323</f>
        <v>1.9876332000000001</v>
      </c>
    </row>
    <row r="1324" spans="1:15" ht="25.15" customHeight="1">
      <c r="A1324" s="16"/>
      <c r="B1324" s="837" t="str">
        <f>'Obrazac kalkulacije'!$B$15</f>
        <v>Materijali:</v>
      </c>
      <c r="C1324" s="837"/>
      <c r="D1324" s="16"/>
      <c r="E1324" s="16"/>
      <c r="F1324" s="238"/>
      <c r="G1324" s="18">
        <f>SUM(G1325:G1327)</f>
        <v>0</v>
      </c>
      <c r="H1324" s="560">
        <f>E1324*H1317</f>
        <v>0</v>
      </c>
      <c r="I1324" s="16"/>
      <c r="J1324" s="837" t="str">
        <f>'Obrazac kalkulacije'!$B$15</f>
        <v>Materijali:</v>
      </c>
      <c r="K1324" s="837"/>
      <c r="L1324" s="16"/>
      <c r="M1324" s="16"/>
      <c r="N1324" s="238"/>
      <c r="O1324" s="18">
        <f>SUM(O1325:O1327)</f>
        <v>0</v>
      </c>
    </row>
    <row r="1325" spans="1:15" ht="25.15" customHeight="1">
      <c r="A1325" s="51"/>
      <c r="B1325" s="863">
        <f>'Cjenik M'!$B$72</f>
        <v>0</v>
      </c>
      <c r="C1325" s="863"/>
      <c r="D1325" s="52">
        <f>'Cjenik M'!$C$72</f>
        <v>0</v>
      </c>
      <c r="E1325" s="53">
        <v>0.46500000000000002</v>
      </c>
      <c r="F1325" s="260">
        <f>'Cjenik M'!$D$72</f>
        <v>0</v>
      </c>
      <c r="G1325" s="55">
        <f>E1325*F1325</f>
        <v>0</v>
      </c>
      <c r="H1325" s="560"/>
      <c r="I1325" s="51"/>
      <c r="J1325" s="863">
        <f>'Cjenik M'!$B$72</f>
        <v>0</v>
      </c>
      <c r="K1325" s="863"/>
      <c r="L1325" s="52">
        <f>'Cjenik M'!$C$72</f>
        <v>0</v>
      </c>
      <c r="M1325" s="53">
        <v>0.62</v>
      </c>
      <c r="N1325" s="260">
        <f>'Cjenik M'!$D$72</f>
        <v>0</v>
      </c>
      <c r="O1325" s="55">
        <f>M1325*N1325</f>
        <v>0</v>
      </c>
    </row>
    <row r="1326" spans="1:15" ht="25.15" customHeight="1">
      <c r="A1326" s="56"/>
      <c r="B1326" s="834">
        <f>'Cjenik M'!$B$103</f>
        <v>0</v>
      </c>
      <c r="C1326" s="834"/>
      <c r="D1326" s="57">
        <f>'Cjenik M'!$C$102</f>
        <v>0</v>
      </c>
      <c r="E1326" s="58">
        <v>0.3</v>
      </c>
      <c r="F1326" s="263">
        <f>'Cjenik M'!$D$103</f>
        <v>0</v>
      </c>
      <c r="G1326" s="60">
        <f>E1326*F1326</f>
        <v>0</v>
      </c>
      <c r="H1326" s="560"/>
      <c r="I1326" s="56"/>
      <c r="J1326" s="834">
        <f>'Cjenik M'!$B$102</f>
        <v>0</v>
      </c>
      <c r="K1326" s="834"/>
      <c r="L1326" s="57">
        <f>'Cjenik M'!$C$102</f>
        <v>0</v>
      </c>
      <c r="M1326" s="58">
        <v>0.32500000000000001</v>
      </c>
      <c r="N1326" s="263">
        <f>'Cjenik M'!$D$102</f>
        <v>0</v>
      </c>
      <c r="O1326" s="60">
        <f>M1326*N1326</f>
        <v>0</v>
      </c>
    </row>
    <row r="1327" spans="1:15" ht="25.15" customHeight="1" thickBot="1">
      <c r="A1327" s="66"/>
      <c r="B1327" s="834">
        <f>'Cjenik M'!$B$74</f>
        <v>0</v>
      </c>
      <c r="C1327" s="834"/>
      <c r="D1327" s="57">
        <f>'Cjenik M'!$C$74</f>
        <v>0</v>
      </c>
      <c r="E1327" s="58">
        <v>5.3249999999999999E-2</v>
      </c>
      <c r="F1327" s="263">
        <f>'Cjenik M'!$D$74</f>
        <v>0</v>
      </c>
      <c r="G1327" s="60">
        <f>E1327*F1327</f>
        <v>0</v>
      </c>
      <c r="I1327" s="66"/>
      <c r="J1327" s="834">
        <f>'Cjenik M'!$B$74</f>
        <v>0</v>
      </c>
      <c r="K1327" s="834"/>
      <c r="L1327" s="57">
        <f>'Cjenik M'!$C$74</f>
        <v>0</v>
      </c>
      <c r="M1327" s="58">
        <v>7.1926000000000004E-2</v>
      </c>
      <c r="N1327" s="263">
        <f>'Cjenik M'!$D$74</f>
        <v>0</v>
      </c>
      <c r="O1327" s="60">
        <f>M1327*N1327</f>
        <v>0</v>
      </c>
    </row>
    <row r="1328" spans="1:15" ht="25.15" customHeight="1" thickTop="1" thickBot="1">
      <c r="B1328" s="47"/>
      <c r="C1328" s="24"/>
      <c r="D1328" s="25"/>
      <c r="E1328" s="850" t="str">
        <f>'Obrazac kalkulacije'!$E$18</f>
        <v>Ukupno (kn):</v>
      </c>
      <c r="F1328" s="850"/>
      <c r="G1328" s="26">
        <f>ROUND(SUM(G1319+G1321+G1324),2)</f>
        <v>13.88</v>
      </c>
      <c r="H1328" s="269" t="e">
        <f>SUMIF(#REF!,$B1315,#REF!)</f>
        <v>#REF!</v>
      </c>
      <c r="J1328" s="47"/>
      <c r="K1328" s="24"/>
      <c r="L1328" s="25"/>
      <c r="M1328" s="850" t="str">
        <f>'Obrazac kalkulacije'!$E$18</f>
        <v>Ukupno (kn):</v>
      </c>
      <c r="N1328" s="850"/>
      <c r="O1328" s="26">
        <f>ROUND(SUM(O1319+O1321+O1324),2)</f>
        <v>11.99</v>
      </c>
    </row>
    <row r="1329" spans="1:15" ht="25.15" customHeight="1" thickTop="1" thickBot="1">
      <c r="E1329" s="27" t="str">
        <f>'Obrazac kalkulacije'!$E$19</f>
        <v>PDV:</v>
      </c>
      <c r="F1329" s="259">
        <f>'Obrazac kalkulacije'!$F$19</f>
        <v>0.25</v>
      </c>
      <c r="G1329" s="29">
        <f>G1328*F1329</f>
        <v>3.47</v>
      </c>
      <c r="H1329" s="270" t="e">
        <f>H1328-G1328</f>
        <v>#REF!</v>
      </c>
      <c r="M1329" s="27" t="str">
        <f>'Obrazac kalkulacije'!$E$19</f>
        <v>PDV:</v>
      </c>
      <c r="N1329" s="259">
        <f>'Obrazac kalkulacije'!$F$19</f>
        <v>0.25</v>
      </c>
      <c r="O1329" s="29">
        <f>O1328*N1329</f>
        <v>2.9975000000000001</v>
      </c>
    </row>
    <row r="1330" spans="1:15" ht="25.15" customHeight="1" thickTop="1" thickBot="1">
      <c r="E1330" s="840" t="str">
        <f>'Obrazac kalkulacije'!$E$20</f>
        <v>Sveukupno (kn):</v>
      </c>
      <c r="F1330" s="840"/>
      <c r="G1330" s="29">
        <f>ROUND(SUM(G1328:G1329),2)</f>
        <v>17.350000000000001</v>
      </c>
      <c r="H1330" s="271" t="e">
        <f>G1322+H1329</f>
        <v>#REF!</v>
      </c>
      <c r="M1330" s="840" t="str">
        <f>'Obrazac kalkulacije'!$E$20</f>
        <v>Sveukupno (kn):</v>
      </c>
      <c r="N1330" s="840"/>
      <c r="O1330" s="29">
        <f>ROUND(SUM(O1328:O1329),2)</f>
        <v>14.99</v>
      </c>
    </row>
    <row r="1331" spans="1:15" ht="15" customHeight="1" thickTop="1"/>
    <row r="1332" spans="1:15" ht="15" customHeight="1"/>
    <row r="1333" spans="1:15" ht="15" customHeight="1"/>
    <row r="1334" spans="1:15" ht="15" customHeight="1">
      <c r="C1334" s="3" t="str">
        <f>'Obrazac kalkulacije'!$C$24</f>
        <v>IZVODITELJ:</v>
      </c>
      <c r="F1334" s="841" t="str">
        <f>'Obrazac kalkulacije'!$F$24</f>
        <v>NARUČITELJ:</v>
      </c>
      <c r="G1334" s="841"/>
      <c r="K1334" s="3" t="str">
        <f>'Obrazac kalkulacije'!$C$24</f>
        <v>IZVODITELJ:</v>
      </c>
      <c r="N1334" s="841" t="str">
        <f>'Obrazac kalkulacije'!$F$24</f>
        <v>NARUČITELJ:</v>
      </c>
      <c r="O1334" s="841"/>
    </row>
    <row r="1335" spans="1:15" ht="25.15" customHeight="1">
      <c r="C1335" s="3" t="str">
        <f>'Obrazac kalkulacije'!$C$25</f>
        <v>__________________</v>
      </c>
      <c r="F1335" s="841" t="str">
        <f>'Obrazac kalkulacije'!$F$25</f>
        <v>___________________</v>
      </c>
      <c r="G1335" s="841"/>
      <c r="K1335" s="3" t="str">
        <f>'Obrazac kalkulacije'!$C$25</f>
        <v>__________________</v>
      </c>
      <c r="N1335" s="841" t="str">
        <f>'Obrazac kalkulacije'!$F$25</f>
        <v>___________________</v>
      </c>
      <c r="O1335" s="841"/>
    </row>
    <row r="1336" spans="1:15" ht="15" customHeight="1">
      <c r="C1336" s="3"/>
      <c r="G1336" s="30"/>
      <c r="K1336" s="3"/>
      <c r="O1336" s="30"/>
    </row>
    <row r="1337" spans="1:15" ht="15" customHeight="1">
      <c r="F1337" s="841"/>
      <c r="G1337" s="841"/>
      <c r="N1337" s="841"/>
      <c r="O1337" s="841"/>
    </row>
    <row r="1338" spans="1:15" ht="15" customHeight="1">
      <c r="A1338" s="144"/>
      <c r="B1338" s="145" t="s">
        <v>39</v>
      </c>
      <c r="C1338" s="836" t="s">
        <v>360</v>
      </c>
      <c r="D1338" s="836"/>
      <c r="E1338" s="836"/>
      <c r="F1338" s="836"/>
      <c r="G1338" s="836"/>
      <c r="I1338" s="144"/>
      <c r="J1338" s="145" t="s">
        <v>39</v>
      </c>
      <c r="K1338" s="836" t="s">
        <v>360</v>
      </c>
      <c r="L1338" s="836"/>
      <c r="M1338" s="836"/>
      <c r="N1338" s="836"/>
      <c r="O1338" s="836"/>
    </row>
    <row r="1339" spans="1:15" ht="15" customHeight="1">
      <c r="A1339" s="38"/>
      <c r="B1339" s="39" t="s">
        <v>46</v>
      </c>
      <c r="C1339" s="860" t="s">
        <v>470</v>
      </c>
      <c r="D1339" s="860"/>
      <c r="E1339" s="860"/>
      <c r="F1339" s="860"/>
      <c r="G1339" s="860"/>
      <c r="I1339" s="38"/>
      <c r="J1339" s="39" t="s">
        <v>46</v>
      </c>
      <c r="K1339" s="860" t="s">
        <v>470</v>
      </c>
      <c r="L1339" s="860"/>
      <c r="M1339" s="860"/>
      <c r="N1339" s="860"/>
      <c r="O1339" s="860"/>
    </row>
    <row r="1340" spans="1:15" ht="15" customHeight="1">
      <c r="A1340" s="48"/>
      <c r="B1340" s="49" t="s">
        <v>515</v>
      </c>
      <c r="C1340" s="883" t="s">
        <v>516</v>
      </c>
      <c r="D1340" s="883"/>
      <c r="E1340" s="883"/>
      <c r="F1340" s="883"/>
      <c r="G1340" s="883"/>
      <c r="I1340" s="48"/>
      <c r="J1340" s="49" t="s">
        <v>515</v>
      </c>
      <c r="K1340" s="883" t="s">
        <v>516</v>
      </c>
      <c r="L1340" s="883"/>
      <c r="M1340" s="883"/>
      <c r="N1340" s="883"/>
      <c r="O1340" s="883"/>
    </row>
    <row r="1341" spans="1:15" ht="150" customHeight="1">
      <c r="A1341" s="40"/>
      <c r="B1341" s="556" t="s">
        <v>522</v>
      </c>
      <c r="C1341" s="852" t="s">
        <v>523</v>
      </c>
      <c r="D1341" s="852"/>
      <c r="E1341" s="852"/>
      <c r="F1341" s="852"/>
      <c r="G1341" s="852"/>
      <c r="I1341" s="40"/>
      <c r="J1341" s="41" t="s">
        <v>524</v>
      </c>
      <c r="K1341" s="869" t="s">
        <v>523</v>
      </c>
      <c r="L1341" s="869"/>
      <c r="M1341" s="869"/>
      <c r="N1341" s="869"/>
      <c r="O1341" s="869"/>
    </row>
    <row r="1342" spans="1:15" ht="15" customHeight="1" thickBot="1"/>
    <row r="1343" spans="1:15" ht="30" customHeight="1" thickTop="1" thickBot="1">
      <c r="A1343" s="10"/>
      <c r="B1343" s="835" t="str">
        <f>'Obrazac kalkulacije'!$B$6:$C$6</f>
        <v>Opis</v>
      </c>
      <c r="C1343" s="835"/>
      <c r="D1343" s="10" t="str">
        <f>'Obrazac kalkulacije'!$D$6</f>
        <v>Jed.
mjere</v>
      </c>
      <c r="E1343" s="10" t="str">
        <f>'Obrazac kalkulacije'!$E$6</f>
        <v>Normativ</v>
      </c>
      <c r="F1343" s="10" t="str">
        <f>'Obrazac kalkulacije'!$F$6</f>
        <v>Jed.
cijena</v>
      </c>
      <c r="G1343" s="10" t="str">
        <f>'Obrazac kalkulacije'!$G$6</f>
        <v>Iznos</v>
      </c>
      <c r="H1343" s="622">
        <v>240</v>
      </c>
      <c r="I1343" s="10"/>
      <c r="J1343" s="835" t="e">
        <f>'Obrazac kalkulacije'!$B$6:$C$6</f>
        <v>#VALUE!</v>
      </c>
      <c r="K1343" s="835"/>
      <c r="L1343" s="10" t="str">
        <f>'Obrazac kalkulacije'!$D$6</f>
        <v>Jed.
mjere</v>
      </c>
      <c r="M1343" s="10" t="str">
        <f>'Obrazac kalkulacije'!$E$6</f>
        <v>Normativ</v>
      </c>
      <c r="N1343" s="10" t="str">
        <f>'Obrazac kalkulacije'!$F$6</f>
        <v>Jed.
cijena</v>
      </c>
      <c r="O1343" s="10" t="str">
        <f>'Obrazac kalkulacije'!$G$6</f>
        <v>Iznos</v>
      </c>
    </row>
    <row r="1344" spans="1:15" ht="4.5" customHeight="1" thickTop="1">
      <c r="B1344" s="42"/>
      <c r="C1344" s="1"/>
      <c r="D1344" s="11"/>
      <c r="E1344" s="13"/>
      <c r="F1344" s="258"/>
      <c r="G1344" s="15"/>
      <c r="H1344" s="3"/>
      <c r="J1344" s="42"/>
      <c r="K1344" s="1"/>
      <c r="L1344" s="11"/>
      <c r="M1344" s="13"/>
      <c r="N1344" s="258"/>
      <c r="O1344" s="15"/>
    </row>
    <row r="1345" spans="1:15" ht="25.15" customHeight="1">
      <c r="A1345" s="16"/>
      <c r="B1345" s="837" t="str">
        <f>'Obrazac kalkulacije'!$B$8</f>
        <v>Radna snaga:</v>
      </c>
      <c r="C1345" s="837"/>
      <c r="D1345" s="16"/>
      <c r="E1345" s="16"/>
      <c r="F1345" s="44"/>
      <c r="G1345" s="18">
        <f>SUM(G1346:G1346)</f>
        <v>10.503</v>
      </c>
      <c r="H1345" s="3"/>
      <c r="I1345" s="16"/>
      <c r="J1345" s="837" t="str">
        <f>'Obrazac kalkulacije'!$B$8</f>
        <v>Radna snaga:</v>
      </c>
      <c r="K1345" s="837"/>
      <c r="L1345" s="16"/>
      <c r="M1345" s="16"/>
      <c r="N1345" s="44"/>
      <c r="O1345" s="18">
        <f>SUM(O1346:O1346)</f>
        <v>14.00396499</v>
      </c>
    </row>
    <row r="1346" spans="1:15" ht="25.15" customHeight="1">
      <c r="A1346" s="32"/>
      <c r="B1346" s="854" t="s">
        <v>57</v>
      </c>
      <c r="C1346" s="854"/>
      <c r="D1346" s="33" t="s">
        <v>51</v>
      </c>
      <c r="E1346" s="34">
        <f>H1346/H1343</f>
        <v>0.1</v>
      </c>
      <c r="F1346" s="238">
        <f>SUMIF('Cjenik RS'!$C$11:$C$26,$B1346,'Cjenik RS'!$D$11:$D$90)</f>
        <v>105.03</v>
      </c>
      <c r="G1346" s="35">
        <f>+F1346*E1346</f>
        <v>10.503</v>
      </c>
      <c r="H1346" s="560">
        <v>24</v>
      </c>
      <c r="I1346" s="32"/>
      <c r="J1346" s="854" t="s">
        <v>57</v>
      </c>
      <c r="K1346" s="854"/>
      <c r="L1346" s="33" t="s">
        <v>51</v>
      </c>
      <c r="M1346" s="34">
        <v>0.13333300000000001</v>
      </c>
      <c r="N1346" s="44">
        <f>SUMIF('Cjenik RS'!$C$11:$C$26,J1346,'Cjenik RS'!$D$11:$D$90)</f>
        <v>105.03</v>
      </c>
      <c r="O1346" s="35">
        <f>+N1346*M1346</f>
        <v>14.00396499</v>
      </c>
    </row>
    <row r="1347" spans="1:15" ht="25.15" customHeight="1">
      <c r="A1347" s="16"/>
      <c r="B1347" s="837" t="str">
        <f>'Obrazac kalkulacije'!$B$11</f>
        <v>Vozila, strojevi i oprema:</v>
      </c>
      <c r="C1347" s="837"/>
      <c r="D1347" s="16"/>
      <c r="E1347" s="16"/>
      <c r="F1347" s="238">
        <f>'Obrazac kalkulacije'!$F$11</f>
        <v>0</v>
      </c>
      <c r="G1347" s="18">
        <f>SUM(G1348:G1349)</f>
        <v>9.7406249999999996</v>
      </c>
      <c r="I1347" s="16"/>
      <c r="J1347" s="837" t="str">
        <f>'Obrazac kalkulacije'!$B$11</f>
        <v>Vozila, strojevi i oprema:</v>
      </c>
      <c r="K1347" s="837"/>
      <c r="L1347" s="16"/>
      <c r="M1347" s="16"/>
      <c r="N1347" s="238">
        <f>'Obrazac kalkulacije'!$F$11</f>
        <v>0</v>
      </c>
      <c r="O1347" s="18">
        <f>SUM(O1348:O1349)</f>
        <v>9.7712280699999994</v>
      </c>
    </row>
    <row r="1348" spans="1:15" ht="25.15" customHeight="1">
      <c r="A1348" s="51"/>
      <c r="B1348" s="863" t="s">
        <v>520</v>
      </c>
      <c r="C1348" s="863"/>
      <c r="D1348" s="52" t="s">
        <v>51</v>
      </c>
      <c r="E1348" s="53">
        <f>H1348/H1343</f>
        <v>2.0833333333333332E-2</v>
      </c>
      <c r="F1348" s="260">
        <f>SUMIF('Cjenik VSO'!$B$9:$B$85,$B1348,'Cjenik VSO'!$C$9:$C$85)</f>
        <v>180.19</v>
      </c>
      <c r="G1348" s="55">
        <f>E1348*F1348</f>
        <v>3.7539583333333333</v>
      </c>
      <c r="H1348" s="560">
        <v>5</v>
      </c>
      <c r="I1348" s="51"/>
      <c r="J1348" s="863" t="s">
        <v>520</v>
      </c>
      <c r="K1348" s="863"/>
      <c r="L1348" s="52" t="s">
        <v>51</v>
      </c>
      <c r="M1348" s="53">
        <v>3.3333000000000002E-2</v>
      </c>
      <c r="N1348" s="260">
        <f>SUMIF('Cjenik VSO'!$B$9:$B$85,$B1348,'Cjenik VSO'!$C$9:$C$85)</f>
        <v>180.19</v>
      </c>
      <c r="O1348" s="55">
        <f>M1348*N1348</f>
        <v>6.0062732700000003</v>
      </c>
    </row>
    <row r="1349" spans="1:15" ht="25.15" customHeight="1">
      <c r="A1349" s="61"/>
      <c r="B1349" s="864" t="s">
        <v>69</v>
      </c>
      <c r="C1349" s="864"/>
      <c r="D1349" s="62" t="s">
        <v>51</v>
      </c>
      <c r="E1349" s="63">
        <f>H1349/H1343</f>
        <v>3.3333333333333333E-2</v>
      </c>
      <c r="F1349" s="261">
        <f>SUMIF('Cjenik VSO'!$B$9:$B$85,$B1349,'Cjenik VSO'!$C$9:$C$85)</f>
        <v>179.6</v>
      </c>
      <c r="G1349" s="65">
        <f>E1349*F1349</f>
        <v>5.9866666666666664</v>
      </c>
      <c r="H1349" s="560">
        <v>8</v>
      </c>
      <c r="I1349" s="61"/>
      <c r="J1349" s="864" t="s">
        <v>69</v>
      </c>
      <c r="K1349" s="864"/>
      <c r="L1349" s="62" t="s">
        <v>51</v>
      </c>
      <c r="M1349" s="63">
        <v>2.0962999999999999E-2</v>
      </c>
      <c r="N1349" s="261">
        <f>SUMIF('Cjenik VSO'!$B$9:$B$85,$B1349,'Cjenik VSO'!$C$9:$C$85)</f>
        <v>179.6</v>
      </c>
      <c r="O1349" s="65">
        <f>M1349*N1349</f>
        <v>3.7649547999999995</v>
      </c>
    </row>
    <row r="1350" spans="1:15" ht="25.15" customHeight="1">
      <c r="A1350" s="16"/>
      <c r="B1350" s="837" t="str">
        <f>'Obrazac kalkulacije'!$B$15</f>
        <v>Materijali:</v>
      </c>
      <c r="C1350" s="837"/>
      <c r="D1350" s="16"/>
      <c r="E1350" s="16"/>
      <c r="F1350" s="238"/>
      <c r="G1350" s="18">
        <f>SUM(G1351:G1353)</f>
        <v>0</v>
      </c>
      <c r="H1350" s="560">
        <f>E1350*H1343</f>
        <v>0</v>
      </c>
      <c r="I1350" s="16"/>
      <c r="J1350" s="837" t="str">
        <f>'Obrazac kalkulacije'!$B$15</f>
        <v>Materijali:</v>
      </c>
      <c r="K1350" s="837"/>
      <c r="L1350" s="16"/>
      <c r="M1350" s="16"/>
      <c r="N1350" s="238"/>
      <c r="O1350" s="18">
        <f>SUM(O1351:O1353)</f>
        <v>0</v>
      </c>
    </row>
    <row r="1351" spans="1:15" ht="25.15" customHeight="1">
      <c r="A1351" s="51"/>
      <c r="B1351" s="863">
        <f>'Cjenik M'!$B$72</f>
        <v>0</v>
      </c>
      <c r="C1351" s="863"/>
      <c r="D1351" s="52">
        <f>'Cjenik M'!$C$72</f>
        <v>0</v>
      </c>
      <c r="E1351" s="53">
        <v>0.62</v>
      </c>
      <c r="F1351" s="260">
        <f>'Cjenik M'!$D$72</f>
        <v>0</v>
      </c>
      <c r="G1351" s="55">
        <f>E1351*F1351</f>
        <v>0</v>
      </c>
      <c r="H1351" s="560"/>
      <c r="I1351" s="51"/>
      <c r="J1351" s="863">
        <f>'Cjenik M'!$B$72</f>
        <v>0</v>
      </c>
      <c r="K1351" s="863"/>
      <c r="L1351" s="52">
        <f>'Cjenik M'!$C$72</f>
        <v>0</v>
      </c>
      <c r="M1351" s="53">
        <v>0.46500000000000002</v>
      </c>
      <c r="N1351" s="260">
        <f>'Cjenik M'!$D$72</f>
        <v>0</v>
      </c>
      <c r="O1351" s="55">
        <f>M1351*N1351</f>
        <v>0</v>
      </c>
    </row>
    <row r="1352" spans="1:15" ht="25.15" customHeight="1">
      <c r="A1352" s="56"/>
      <c r="B1352" s="834">
        <f>'Cjenik M'!$B$102</f>
        <v>0</v>
      </c>
      <c r="C1352" s="834"/>
      <c r="D1352" s="57">
        <f>'Cjenik M'!$C$102</f>
        <v>0</v>
      </c>
      <c r="E1352" s="58">
        <v>0.32500000000000001</v>
      </c>
      <c r="F1352" s="263">
        <f>'Cjenik M'!$D$102</f>
        <v>0</v>
      </c>
      <c r="G1352" s="60">
        <f>E1352*F1352</f>
        <v>0</v>
      </c>
      <c r="H1352" s="560"/>
      <c r="I1352" s="56"/>
      <c r="J1352" s="834">
        <f>'Cjenik M'!$B$102</f>
        <v>0</v>
      </c>
      <c r="K1352" s="834"/>
      <c r="L1352" s="57">
        <f>'Cjenik M'!$C$102</f>
        <v>0</v>
      </c>
      <c r="M1352" s="58">
        <v>0.2</v>
      </c>
      <c r="N1352" s="263">
        <f>'Cjenik M'!$D$102</f>
        <v>0</v>
      </c>
      <c r="O1352" s="60">
        <f>M1352*N1352</f>
        <v>0</v>
      </c>
    </row>
    <row r="1353" spans="1:15" ht="25.15" customHeight="1" thickBot="1">
      <c r="A1353" s="66"/>
      <c r="B1353" s="834">
        <f>'Cjenik M'!$B$74</f>
        <v>0</v>
      </c>
      <c r="C1353" s="834"/>
      <c r="D1353" s="57">
        <f>'Cjenik M'!$C$74</f>
        <v>0</v>
      </c>
      <c r="E1353" s="58">
        <v>7.1926000000000004E-2</v>
      </c>
      <c r="F1353" s="263">
        <f>'Cjenik M'!$D$74</f>
        <v>0</v>
      </c>
      <c r="G1353" s="60">
        <f>E1353*F1353</f>
        <v>0</v>
      </c>
      <c r="I1353" s="66"/>
      <c r="J1353" s="834">
        <f>'Cjenik M'!$B$74</f>
        <v>0</v>
      </c>
      <c r="K1353" s="834"/>
      <c r="L1353" s="57">
        <f>'Cjenik M'!$C$74</f>
        <v>0</v>
      </c>
      <c r="M1353" s="58">
        <v>5.3943999999999999E-2</v>
      </c>
      <c r="N1353" s="263">
        <f>'Cjenik M'!$D$74</f>
        <v>0</v>
      </c>
      <c r="O1353" s="60">
        <f>M1353*N1353</f>
        <v>0</v>
      </c>
    </row>
    <row r="1354" spans="1:15" ht="25.15" customHeight="1" thickTop="1" thickBot="1">
      <c r="B1354" s="47"/>
      <c r="C1354" s="24"/>
      <c r="D1354" s="25"/>
      <c r="E1354" s="850" t="str">
        <f>'Obrazac kalkulacije'!$E$18</f>
        <v>Ukupno (kn):</v>
      </c>
      <c r="F1354" s="850"/>
      <c r="G1354" s="26">
        <f>ROUND(SUM(G1345+G1347+G1350),2)</f>
        <v>20.239999999999998</v>
      </c>
      <c r="H1354" s="269" t="e">
        <f>SUMIF(#REF!,$B1341,#REF!)</f>
        <v>#REF!</v>
      </c>
      <c r="J1354" s="47"/>
      <c r="K1354" s="24"/>
      <c r="L1354" s="25"/>
      <c r="M1354" s="850" t="str">
        <f>'Obrazac kalkulacije'!$E$18</f>
        <v>Ukupno (kn):</v>
      </c>
      <c r="N1354" s="850"/>
      <c r="O1354" s="26">
        <f>ROUND(SUM(O1345+O1347+O1350),2)</f>
        <v>23.78</v>
      </c>
    </row>
    <row r="1355" spans="1:15" ht="25.15" customHeight="1" thickTop="1" thickBot="1">
      <c r="E1355" s="27" t="str">
        <f>'Obrazac kalkulacije'!$E$19</f>
        <v>PDV:</v>
      </c>
      <c r="F1355" s="259">
        <f>'Obrazac kalkulacije'!$F$19</f>
        <v>0.25</v>
      </c>
      <c r="G1355" s="29">
        <f>G1354*F1355</f>
        <v>5.0599999999999996</v>
      </c>
      <c r="H1355" s="270" t="e">
        <f>H1354-G1354</f>
        <v>#REF!</v>
      </c>
      <c r="M1355" s="27" t="str">
        <f>'Obrazac kalkulacije'!$E$19</f>
        <v>PDV:</v>
      </c>
      <c r="N1355" s="259">
        <f>'Obrazac kalkulacije'!$F$19</f>
        <v>0.25</v>
      </c>
      <c r="O1355" s="29">
        <f>O1354*N1355</f>
        <v>5.9450000000000003</v>
      </c>
    </row>
    <row r="1356" spans="1:15" ht="25.15" customHeight="1" thickTop="1" thickBot="1">
      <c r="E1356" s="840" t="str">
        <f>'Obrazac kalkulacije'!$E$20</f>
        <v>Sveukupno (kn):</v>
      </c>
      <c r="F1356" s="840"/>
      <c r="G1356" s="29">
        <f>ROUND(SUM(G1354:G1355),2)</f>
        <v>25.3</v>
      </c>
      <c r="H1356" s="271" t="e">
        <f>G1348+H1355</f>
        <v>#REF!</v>
      </c>
      <c r="M1356" s="840" t="str">
        <f>'Obrazac kalkulacije'!$E$20</f>
        <v>Sveukupno (kn):</v>
      </c>
      <c r="N1356" s="840"/>
      <c r="O1356" s="29">
        <f>ROUND(SUM(O1354:O1355),2)</f>
        <v>29.73</v>
      </c>
    </row>
    <row r="1357" spans="1:15" ht="15" customHeight="1" thickTop="1"/>
    <row r="1358" spans="1:15" ht="15" customHeight="1"/>
    <row r="1359" spans="1:15" ht="15" customHeight="1"/>
    <row r="1360" spans="1:15" ht="15" customHeight="1">
      <c r="C1360" s="3" t="str">
        <f>'Obrazac kalkulacije'!$C$24</f>
        <v>IZVODITELJ:</v>
      </c>
      <c r="F1360" s="841" t="str">
        <f>'Obrazac kalkulacije'!$F$24</f>
        <v>NARUČITELJ:</v>
      </c>
      <c r="G1360" s="841"/>
      <c r="K1360" s="3" t="str">
        <f>'Obrazac kalkulacije'!$C$24</f>
        <v>IZVODITELJ:</v>
      </c>
      <c r="N1360" s="841" t="str">
        <f>'Obrazac kalkulacije'!$F$24</f>
        <v>NARUČITELJ:</v>
      </c>
      <c r="O1360" s="841"/>
    </row>
    <row r="1361" spans="1:15" ht="25.15" customHeight="1">
      <c r="C1361" s="3" t="str">
        <f>'Obrazac kalkulacije'!$C$25</f>
        <v>__________________</v>
      </c>
      <c r="F1361" s="841" t="str">
        <f>'Obrazac kalkulacije'!$F$25</f>
        <v>___________________</v>
      </c>
      <c r="G1361" s="841"/>
      <c r="K1361" s="3" t="str">
        <f>'Obrazac kalkulacije'!$C$25</f>
        <v>__________________</v>
      </c>
      <c r="N1361" s="841" t="str">
        <f>'Obrazac kalkulacije'!$F$25</f>
        <v>___________________</v>
      </c>
      <c r="O1361" s="841"/>
    </row>
    <row r="1362" spans="1:15" ht="15" customHeight="1">
      <c r="C1362" s="3"/>
      <c r="G1362" s="30"/>
      <c r="K1362" s="3"/>
      <c r="O1362" s="30"/>
    </row>
    <row r="1363" spans="1:15" ht="15" customHeight="1">
      <c r="F1363" s="841"/>
      <c r="G1363" s="841"/>
      <c r="N1363" s="841"/>
      <c r="O1363" s="841"/>
    </row>
    <row r="1364" spans="1:15" ht="15" customHeight="1">
      <c r="A1364" s="144"/>
      <c r="B1364" s="145" t="s">
        <v>39</v>
      </c>
      <c r="C1364" s="836" t="s">
        <v>360</v>
      </c>
      <c r="D1364" s="836"/>
      <c r="E1364" s="836"/>
      <c r="F1364" s="836"/>
      <c r="G1364" s="836"/>
      <c r="I1364" s="144"/>
      <c r="J1364" s="145" t="s">
        <v>39</v>
      </c>
      <c r="K1364" s="836" t="s">
        <v>360</v>
      </c>
      <c r="L1364" s="836"/>
      <c r="M1364" s="836"/>
      <c r="N1364" s="836"/>
      <c r="O1364" s="836"/>
    </row>
    <row r="1365" spans="1:15" ht="15" customHeight="1">
      <c r="A1365" s="38"/>
      <c r="B1365" s="39" t="s">
        <v>46</v>
      </c>
      <c r="C1365" s="860" t="s">
        <v>470</v>
      </c>
      <c r="D1365" s="860"/>
      <c r="E1365" s="860"/>
      <c r="F1365" s="860"/>
      <c r="G1365" s="860"/>
      <c r="I1365" s="38"/>
      <c r="J1365" s="39" t="s">
        <v>46</v>
      </c>
      <c r="K1365" s="860" t="s">
        <v>470</v>
      </c>
      <c r="L1365" s="860"/>
      <c r="M1365" s="860"/>
      <c r="N1365" s="860"/>
      <c r="O1365" s="860"/>
    </row>
    <row r="1366" spans="1:15" ht="15" customHeight="1">
      <c r="A1366" s="48"/>
      <c r="B1366" s="49" t="s">
        <v>515</v>
      </c>
      <c r="C1366" s="883" t="s">
        <v>516</v>
      </c>
      <c r="D1366" s="883"/>
      <c r="E1366" s="883"/>
      <c r="F1366" s="883"/>
      <c r="G1366" s="883"/>
      <c r="I1366" s="48"/>
      <c r="J1366" s="49" t="s">
        <v>515</v>
      </c>
      <c r="K1366" s="883" t="s">
        <v>516</v>
      </c>
      <c r="L1366" s="883"/>
      <c r="M1366" s="883"/>
      <c r="N1366" s="883"/>
      <c r="O1366" s="883"/>
    </row>
    <row r="1367" spans="1:15" ht="150" customHeight="1">
      <c r="A1367" s="40"/>
      <c r="B1367" s="556" t="s">
        <v>524</v>
      </c>
      <c r="C1367" s="852" t="s">
        <v>525</v>
      </c>
      <c r="D1367" s="852"/>
      <c r="E1367" s="852"/>
      <c r="F1367" s="852"/>
      <c r="G1367" s="852"/>
      <c r="I1367" s="40"/>
      <c r="J1367" s="41" t="s">
        <v>526</v>
      </c>
      <c r="K1367" s="869" t="s">
        <v>525</v>
      </c>
      <c r="L1367" s="869"/>
      <c r="M1367" s="869"/>
      <c r="N1367" s="869"/>
      <c r="O1367" s="869"/>
    </row>
    <row r="1368" spans="1:15" ht="15" customHeight="1" thickBot="1"/>
    <row r="1369" spans="1:15" ht="30" customHeight="1" thickTop="1" thickBot="1">
      <c r="A1369" s="10"/>
      <c r="B1369" s="835" t="str">
        <f>'Obrazac kalkulacije'!$B$6:$C$6</f>
        <v>Opis</v>
      </c>
      <c r="C1369" s="835"/>
      <c r="D1369" s="10" t="str">
        <f>'Obrazac kalkulacije'!$D$6</f>
        <v>Jed.
mjere</v>
      </c>
      <c r="E1369" s="10" t="str">
        <f>'Obrazac kalkulacije'!$E$6</f>
        <v>Normativ</v>
      </c>
      <c r="F1369" s="10" t="str">
        <f>'Obrazac kalkulacije'!$F$6</f>
        <v>Jed.
cijena</v>
      </c>
      <c r="G1369" s="10" t="str">
        <f>'Obrazac kalkulacije'!$G$6</f>
        <v>Iznos</v>
      </c>
      <c r="H1369" s="622">
        <v>240</v>
      </c>
      <c r="I1369" s="10"/>
      <c r="J1369" s="835" t="e">
        <f>'Obrazac kalkulacije'!$B$6:$C$6</f>
        <v>#VALUE!</v>
      </c>
      <c r="K1369" s="835"/>
      <c r="L1369" s="10" t="str">
        <f>'Obrazac kalkulacije'!$D$6</f>
        <v>Jed.
mjere</v>
      </c>
      <c r="M1369" s="10" t="str">
        <f>'Obrazac kalkulacije'!$E$6</f>
        <v>Normativ</v>
      </c>
      <c r="N1369" s="10" t="str">
        <f>'Obrazac kalkulacije'!$F$6</f>
        <v>Jed.
cijena</v>
      </c>
      <c r="O1369" s="10" t="str">
        <f>'Obrazac kalkulacije'!$G$6</f>
        <v>Iznos</v>
      </c>
    </row>
    <row r="1370" spans="1:15" ht="4.5" customHeight="1" thickTop="1">
      <c r="B1370" s="42"/>
      <c r="C1370" s="1"/>
      <c r="D1370" s="11"/>
      <c r="E1370" s="13"/>
      <c r="F1370" s="258"/>
      <c r="G1370" s="15"/>
      <c r="H1370" s="3"/>
      <c r="J1370" s="42"/>
      <c r="K1370" s="1"/>
      <c r="L1370" s="11"/>
      <c r="M1370" s="13"/>
      <c r="N1370" s="258"/>
      <c r="O1370" s="15"/>
    </row>
    <row r="1371" spans="1:15" ht="25.15" customHeight="1">
      <c r="A1371" s="16"/>
      <c r="B1371" s="837" t="str">
        <f>'Obrazac kalkulacije'!$B$8</f>
        <v>Radna snaga:</v>
      </c>
      <c r="C1371" s="837"/>
      <c r="D1371" s="16"/>
      <c r="E1371" s="16"/>
      <c r="F1371" s="44"/>
      <c r="G1371" s="18">
        <f>SUM(G1372:G1372)</f>
        <v>10.503</v>
      </c>
      <c r="H1371" s="3"/>
      <c r="I1371" s="16"/>
      <c r="J1371" s="837" t="str">
        <f>'Obrazac kalkulacije'!$B$8</f>
        <v>Radna snaga:</v>
      </c>
      <c r="K1371" s="837"/>
      <c r="L1371" s="16"/>
      <c r="M1371" s="16"/>
      <c r="N1371" s="44"/>
      <c r="O1371" s="18">
        <f>SUM(O1372:O1372)</f>
        <v>14.00396499</v>
      </c>
    </row>
    <row r="1372" spans="1:15" ht="25.15" customHeight="1">
      <c r="A1372" s="32"/>
      <c r="B1372" s="854" t="s">
        <v>57</v>
      </c>
      <c r="C1372" s="854"/>
      <c r="D1372" s="33" t="s">
        <v>51</v>
      </c>
      <c r="E1372" s="34">
        <f>H1372/H1369</f>
        <v>0.1</v>
      </c>
      <c r="F1372" s="238">
        <f>SUMIF('Cjenik RS'!$C$11:$C$26,$B1372,'Cjenik RS'!$D$11:$D$90)</f>
        <v>105.03</v>
      </c>
      <c r="G1372" s="35">
        <f>+F1372*E1372</f>
        <v>10.503</v>
      </c>
      <c r="H1372" s="560">
        <v>24</v>
      </c>
      <c r="I1372" s="32"/>
      <c r="J1372" s="854" t="s">
        <v>57</v>
      </c>
      <c r="K1372" s="854"/>
      <c r="L1372" s="33" t="s">
        <v>51</v>
      </c>
      <c r="M1372" s="34">
        <v>0.13333300000000001</v>
      </c>
      <c r="N1372" s="44">
        <f>SUMIF('Cjenik RS'!$C$11:$C$26,J1372,'Cjenik RS'!$D$11:$D$90)</f>
        <v>105.03</v>
      </c>
      <c r="O1372" s="35">
        <f>+N1372*M1372</f>
        <v>14.00396499</v>
      </c>
    </row>
    <row r="1373" spans="1:15" ht="25.15" customHeight="1">
      <c r="A1373" s="16"/>
      <c r="B1373" s="837" t="str">
        <f>'Obrazac kalkulacije'!$B$11</f>
        <v>Vozila, strojevi i oprema:</v>
      </c>
      <c r="C1373" s="837"/>
      <c r="D1373" s="16"/>
      <c r="E1373" s="16"/>
      <c r="F1373" s="238">
        <f>'Obrazac kalkulacije'!$F$11</f>
        <v>0</v>
      </c>
      <c r="G1373" s="18">
        <f>SUM(G1374:G1375)</f>
        <v>9.7406249999999996</v>
      </c>
      <c r="I1373" s="16"/>
      <c r="J1373" s="837" t="str">
        <f>'Obrazac kalkulacije'!$B$11</f>
        <v>Vozila, strojevi i oprema:</v>
      </c>
      <c r="K1373" s="837"/>
      <c r="L1373" s="16"/>
      <c r="M1373" s="16"/>
      <c r="N1373" s="238">
        <f>'Obrazac kalkulacije'!$F$11</f>
        <v>0</v>
      </c>
      <c r="O1373" s="18">
        <f>SUM(O1374:O1375)</f>
        <v>9.7712280699999994</v>
      </c>
    </row>
    <row r="1374" spans="1:15" ht="25.15" customHeight="1">
      <c r="A1374" s="51"/>
      <c r="B1374" s="863" t="s">
        <v>520</v>
      </c>
      <c r="C1374" s="863"/>
      <c r="D1374" s="52" t="s">
        <v>51</v>
      </c>
      <c r="E1374" s="53">
        <f>H1374/H1369</f>
        <v>2.0833333333333332E-2</v>
      </c>
      <c r="F1374" s="260">
        <f>SUMIF('Cjenik VSO'!$B$9:$B$85,$B1374,'Cjenik VSO'!$C$9:$C$85)</f>
        <v>180.19</v>
      </c>
      <c r="G1374" s="55">
        <f>E1374*F1374</f>
        <v>3.7539583333333333</v>
      </c>
      <c r="H1374" s="560">
        <v>5</v>
      </c>
      <c r="I1374" s="51"/>
      <c r="J1374" s="863" t="s">
        <v>520</v>
      </c>
      <c r="K1374" s="863"/>
      <c r="L1374" s="52" t="s">
        <v>51</v>
      </c>
      <c r="M1374" s="53">
        <v>3.3333000000000002E-2</v>
      </c>
      <c r="N1374" s="260">
        <f>SUMIF('Cjenik VSO'!$B$9:$B$85,$B1374,'Cjenik VSO'!$C$9:$C$85)</f>
        <v>180.19</v>
      </c>
      <c r="O1374" s="55">
        <f>M1374*N1374</f>
        <v>6.0062732700000003</v>
      </c>
    </row>
    <row r="1375" spans="1:15" ht="25.15" customHeight="1">
      <c r="A1375" s="61"/>
      <c r="B1375" s="864" t="s">
        <v>69</v>
      </c>
      <c r="C1375" s="864"/>
      <c r="D1375" s="62" t="s">
        <v>51</v>
      </c>
      <c r="E1375" s="63">
        <f>H1375/H1369</f>
        <v>3.3333333333333333E-2</v>
      </c>
      <c r="F1375" s="261">
        <f>SUMIF('Cjenik VSO'!$B$9:$B$85,$B1375,'Cjenik VSO'!$C$9:$C$85)</f>
        <v>179.6</v>
      </c>
      <c r="G1375" s="65">
        <f>E1375*F1375</f>
        <v>5.9866666666666664</v>
      </c>
      <c r="H1375" s="560">
        <v>8</v>
      </c>
      <c r="I1375" s="61"/>
      <c r="J1375" s="864" t="s">
        <v>69</v>
      </c>
      <c r="K1375" s="864"/>
      <c r="L1375" s="62" t="s">
        <v>51</v>
      </c>
      <c r="M1375" s="63">
        <v>2.0962999999999999E-2</v>
      </c>
      <c r="N1375" s="261">
        <f>SUMIF('Cjenik VSO'!$B$9:$B$85,$B1375,'Cjenik VSO'!$C$9:$C$85)</f>
        <v>179.6</v>
      </c>
      <c r="O1375" s="65">
        <f>M1375*N1375</f>
        <v>3.7649547999999995</v>
      </c>
    </row>
    <row r="1376" spans="1:15" ht="25.15" customHeight="1">
      <c r="A1376" s="16"/>
      <c r="B1376" s="837" t="str">
        <f>'Obrazac kalkulacije'!$B$15</f>
        <v>Materijali:</v>
      </c>
      <c r="C1376" s="837"/>
      <c r="D1376" s="16"/>
      <c r="E1376" s="16"/>
      <c r="F1376" s="238"/>
      <c r="G1376" s="18">
        <f>SUM(G1377:G1379)</f>
        <v>0</v>
      </c>
      <c r="H1376" s="560">
        <f>E1376*H1369</f>
        <v>0</v>
      </c>
      <c r="I1376" s="16"/>
      <c r="J1376" s="837" t="str">
        <f>'Obrazac kalkulacije'!$B$15</f>
        <v>Materijali:</v>
      </c>
      <c r="K1376" s="837"/>
      <c r="L1376" s="16"/>
      <c r="M1376" s="16"/>
      <c r="N1376" s="238"/>
      <c r="O1376" s="18">
        <f>SUM(O1377:O1379)</f>
        <v>0</v>
      </c>
    </row>
    <row r="1377" spans="1:15" ht="25.15" customHeight="1">
      <c r="A1377" s="51"/>
      <c r="B1377" s="863">
        <f>'Cjenik M'!$B$72</f>
        <v>0</v>
      </c>
      <c r="C1377" s="863"/>
      <c r="D1377" s="52">
        <f>'Cjenik M'!$C$72</f>
        <v>0</v>
      </c>
      <c r="E1377" s="53">
        <v>0.93</v>
      </c>
      <c r="F1377" s="260">
        <f>'Cjenik M'!$D$72</f>
        <v>0</v>
      </c>
      <c r="G1377" s="55">
        <f>E1377*F1377</f>
        <v>0</v>
      </c>
      <c r="H1377" s="560"/>
      <c r="I1377" s="51"/>
      <c r="J1377" s="863">
        <f>'Cjenik M'!$B$72</f>
        <v>0</v>
      </c>
      <c r="K1377" s="863"/>
      <c r="L1377" s="52">
        <f>'Cjenik M'!$C$72</f>
        <v>0</v>
      </c>
      <c r="M1377" s="53">
        <v>0.93</v>
      </c>
      <c r="N1377" s="260">
        <f>'Cjenik M'!$D$72</f>
        <v>0</v>
      </c>
      <c r="O1377" s="55">
        <f>M1377*N1377</f>
        <v>0</v>
      </c>
    </row>
    <row r="1378" spans="1:15" ht="25.15" customHeight="1">
      <c r="A1378" s="56"/>
      <c r="B1378" s="834">
        <f>'Cjenik M'!$B$103</f>
        <v>0</v>
      </c>
      <c r="C1378" s="834"/>
      <c r="D1378" s="57">
        <f>'Cjenik M'!$C$102</f>
        <v>0</v>
      </c>
      <c r="E1378" s="58">
        <v>0.6</v>
      </c>
      <c r="F1378" s="263">
        <f>'Cjenik M'!$D$103</f>
        <v>0</v>
      </c>
      <c r="G1378" s="60">
        <f>E1378*F1378</f>
        <v>0</v>
      </c>
      <c r="H1378" s="560">
        <f>E1378*H1369</f>
        <v>144</v>
      </c>
      <c r="I1378" s="56"/>
      <c r="J1378" s="834">
        <f>'Cjenik M'!$B$102</f>
        <v>0</v>
      </c>
      <c r="K1378" s="834"/>
      <c r="L1378" s="57">
        <f>'Cjenik M'!$C$102</f>
        <v>0</v>
      </c>
      <c r="M1378" s="58">
        <v>0.6</v>
      </c>
      <c r="N1378" s="263">
        <f>'Cjenik M'!$D$102</f>
        <v>0</v>
      </c>
      <c r="O1378" s="60">
        <f>M1378*N1378</f>
        <v>0</v>
      </c>
    </row>
    <row r="1379" spans="1:15" ht="25.15" customHeight="1" thickBot="1">
      <c r="A1379" s="66"/>
      <c r="B1379" s="834">
        <f>'Cjenik M'!$B$74</f>
        <v>0</v>
      </c>
      <c r="C1379" s="834"/>
      <c r="D1379" s="57">
        <f>'Cjenik M'!$C$74</f>
        <v>0</v>
      </c>
      <c r="E1379" s="58">
        <v>0.107889</v>
      </c>
      <c r="F1379" s="263">
        <f>'Cjenik M'!$D$74</f>
        <v>0</v>
      </c>
      <c r="G1379" s="60">
        <f>E1379*F1379</f>
        <v>0</v>
      </c>
      <c r="I1379" s="66"/>
      <c r="J1379" s="834">
        <f>'Cjenik M'!$B$74</f>
        <v>0</v>
      </c>
      <c r="K1379" s="834"/>
      <c r="L1379" s="57">
        <f>'Cjenik M'!$C$74</f>
        <v>0</v>
      </c>
      <c r="M1379" s="58">
        <v>0.107889</v>
      </c>
      <c r="N1379" s="263">
        <f>'Cjenik M'!$D$74</f>
        <v>0</v>
      </c>
      <c r="O1379" s="60">
        <f>M1379*N1379</f>
        <v>0</v>
      </c>
    </row>
    <row r="1380" spans="1:15" ht="25.15" customHeight="1" thickTop="1" thickBot="1">
      <c r="B1380" s="47"/>
      <c r="C1380" s="24"/>
      <c r="D1380" s="25"/>
      <c r="E1380" s="850" t="str">
        <f>'Obrazac kalkulacije'!$E$18</f>
        <v>Ukupno (kn):</v>
      </c>
      <c r="F1380" s="850"/>
      <c r="G1380" s="26">
        <f>ROUND(SUM(G1371+G1373+G1376),2)</f>
        <v>20.239999999999998</v>
      </c>
      <c r="H1380" s="269" t="e">
        <f>SUMIF(#REF!,$B1367,#REF!)</f>
        <v>#REF!</v>
      </c>
      <c r="J1380" s="47"/>
      <c r="K1380" s="24"/>
      <c r="L1380" s="25"/>
      <c r="M1380" s="850" t="str">
        <f>'Obrazac kalkulacije'!$E$18</f>
        <v>Ukupno (kn):</v>
      </c>
      <c r="N1380" s="850"/>
      <c r="O1380" s="26">
        <f>ROUND(SUM(O1371+O1373+O1376),2)</f>
        <v>23.78</v>
      </c>
    </row>
    <row r="1381" spans="1:15" ht="25.15" customHeight="1" thickTop="1" thickBot="1">
      <c r="E1381" s="27" t="str">
        <f>'Obrazac kalkulacije'!$E$19</f>
        <v>PDV:</v>
      </c>
      <c r="F1381" s="259">
        <f>'Obrazac kalkulacije'!$F$19</f>
        <v>0.25</v>
      </c>
      <c r="G1381" s="29">
        <f>G1380*F1381</f>
        <v>5.0599999999999996</v>
      </c>
      <c r="H1381" s="270" t="e">
        <f>H1380-G1380</f>
        <v>#REF!</v>
      </c>
      <c r="M1381" s="27" t="str">
        <f>'Obrazac kalkulacije'!$E$19</f>
        <v>PDV:</v>
      </c>
      <c r="N1381" s="259">
        <f>'Obrazac kalkulacije'!$F$19</f>
        <v>0.25</v>
      </c>
      <c r="O1381" s="29">
        <f>O1380*N1381</f>
        <v>5.9450000000000003</v>
      </c>
    </row>
    <row r="1382" spans="1:15" ht="25.15" customHeight="1" thickTop="1" thickBot="1">
      <c r="E1382" s="840" t="str">
        <f>'Obrazac kalkulacije'!$E$20</f>
        <v>Sveukupno (kn):</v>
      </c>
      <c r="F1382" s="840"/>
      <c r="G1382" s="29">
        <f>ROUND(SUM(G1380:G1381),2)</f>
        <v>25.3</v>
      </c>
      <c r="H1382" s="271" t="e">
        <f>G1374+H1381</f>
        <v>#REF!</v>
      </c>
      <c r="M1382" s="840" t="str">
        <f>'Obrazac kalkulacije'!$E$20</f>
        <v>Sveukupno (kn):</v>
      </c>
      <c r="N1382" s="840"/>
      <c r="O1382" s="29">
        <f>ROUND(SUM(O1380:O1381),2)</f>
        <v>29.73</v>
      </c>
    </row>
    <row r="1383" spans="1:15" ht="15" customHeight="1" thickTop="1"/>
    <row r="1384" spans="1:15" ht="15" customHeight="1"/>
    <row r="1385" spans="1:15" ht="15" customHeight="1"/>
    <row r="1386" spans="1:15" ht="15" customHeight="1">
      <c r="C1386" s="3" t="str">
        <f>'Obrazac kalkulacije'!$C$24</f>
        <v>IZVODITELJ:</v>
      </c>
      <c r="F1386" s="841" t="str">
        <f>'Obrazac kalkulacije'!$F$24</f>
        <v>NARUČITELJ:</v>
      </c>
      <c r="G1386" s="841"/>
      <c r="K1386" s="3" t="str">
        <f>'Obrazac kalkulacije'!$C$24</f>
        <v>IZVODITELJ:</v>
      </c>
      <c r="N1386" s="841" t="str">
        <f>'Obrazac kalkulacije'!$F$24</f>
        <v>NARUČITELJ:</v>
      </c>
      <c r="O1386" s="841"/>
    </row>
    <row r="1387" spans="1:15" ht="25.15" customHeight="1">
      <c r="C1387" s="3" t="str">
        <f>'Obrazac kalkulacije'!$C$25</f>
        <v>__________________</v>
      </c>
      <c r="F1387" s="841" t="str">
        <f>'Obrazac kalkulacije'!$F$25</f>
        <v>___________________</v>
      </c>
      <c r="G1387" s="841"/>
      <c r="K1387" s="3" t="str">
        <f>'Obrazac kalkulacije'!$C$25</f>
        <v>__________________</v>
      </c>
      <c r="N1387" s="841" t="str">
        <f>'Obrazac kalkulacije'!$F$25</f>
        <v>___________________</v>
      </c>
      <c r="O1387" s="841"/>
    </row>
    <row r="1388" spans="1:15" ht="15" customHeight="1">
      <c r="C1388" s="3"/>
      <c r="G1388" s="30"/>
      <c r="K1388" s="3"/>
      <c r="O1388" s="30"/>
    </row>
    <row r="1389" spans="1:15" ht="15" customHeight="1">
      <c r="F1389" s="841"/>
      <c r="G1389" s="841"/>
      <c r="N1389" s="841"/>
      <c r="O1389" s="841"/>
    </row>
    <row r="1390" spans="1:15" ht="15" customHeight="1">
      <c r="A1390" s="144"/>
      <c r="B1390" s="145" t="s">
        <v>39</v>
      </c>
      <c r="C1390" s="836" t="s">
        <v>360</v>
      </c>
      <c r="D1390" s="836"/>
      <c r="E1390" s="836"/>
      <c r="F1390" s="836"/>
      <c r="G1390" s="836"/>
      <c r="I1390" s="144"/>
      <c r="J1390" s="145" t="s">
        <v>39</v>
      </c>
      <c r="K1390" s="836" t="s">
        <v>360</v>
      </c>
      <c r="L1390" s="836"/>
      <c r="M1390" s="836"/>
      <c r="N1390" s="836"/>
      <c r="O1390" s="836"/>
    </row>
    <row r="1391" spans="1:15" ht="15" customHeight="1">
      <c r="A1391" s="38"/>
      <c r="B1391" s="39" t="s">
        <v>46</v>
      </c>
      <c r="C1391" s="860" t="s">
        <v>470</v>
      </c>
      <c r="D1391" s="860"/>
      <c r="E1391" s="860"/>
      <c r="F1391" s="860"/>
      <c r="G1391" s="860"/>
      <c r="I1391" s="38"/>
      <c r="J1391" s="39" t="s">
        <v>46</v>
      </c>
      <c r="K1391" s="860" t="s">
        <v>470</v>
      </c>
      <c r="L1391" s="860"/>
      <c r="M1391" s="860"/>
      <c r="N1391" s="860"/>
      <c r="O1391" s="860"/>
    </row>
    <row r="1392" spans="1:15" ht="15" customHeight="1">
      <c r="A1392" s="48"/>
      <c r="B1392" s="49" t="s">
        <v>515</v>
      </c>
      <c r="C1392" s="883" t="s">
        <v>516</v>
      </c>
      <c r="D1392" s="883"/>
      <c r="E1392" s="883"/>
      <c r="F1392" s="883"/>
      <c r="G1392" s="883"/>
      <c r="I1392" s="48"/>
      <c r="J1392" s="49" t="s">
        <v>515</v>
      </c>
      <c r="K1392" s="883" t="s">
        <v>516</v>
      </c>
      <c r="L1392" s="883"/>
      <c r="M1392" s="883"/>
      <c r="N1392" s="883"/>
      <c r="O1392" s="883"/>
    </row>
    <row r="1393" spans="1:15" ht="150" customHeight="1">
      <c r="A1393" s="40"/>
      <c r="B1393" s="556" t="s">
        <v>526</v>
      </c>
      <c r="C1393" s="852" t="s">
        <v>527</v>
      </c>
      <c r="D1393" s="852"/>
      <c r="E1393" s="852"/>
      <c r="F1393" s="852"/>
      <c r="G1393" s="852"/>
      <c r="I1393" s="40"/>
      <c r="J1393" s="41" t="s">
        <v>528</v>
      </c>
      <c r="K1393" s="869" t="s">
        <v>527</v>
      </c>
      <c r="L1393" s="869"/>
      <c r="M1393" s="869"/>
      <c r="N1393" s="869"/>
      <c r="O1393" s="869"/>
    </row>
    <row r="1394" spans="1:15" ht="15" customHeight="1" thickBot="1"/>
    <row r="1395" spans="1:15" ht="30" customHeight="1" thickTop="1" thickBot="1">
      <c r="A1395" s="10"/>
      <c r="B1395" s="835" t="str">
        <f>'Obrazac kalkulacije'!$B$6:$C$6</f>
        <v>Opis</v>
      </c>
      <c r="C1395" s="835"/>
      <c r="D1395" s="10" t="str">
        <f>'Obrazac kalkulacije'!$D$6</f>
        <v>Jed.
mjere</v>
      </c>
      <c r="E1395" s="10" t="str">
        <f>'Obrazac kalkulacije'!$E$6</f>
        <v>Normativ</v>
      </c>
      <c r="F1395" s="10" t="str">
        <f>'Obrazac kalkulacije'!$F$6</f>
        <v>Jed.
cijena</v>
      </c>
      <c r="G1395" s="10" t="str">
        <f>'Obrazac kalkulacije'!$G$6</f>
        <v>Iznos</v>
      </c>
      <c r="H1395" s="622">
        <v>350</v>
      </c>
      <c r="I1395" s="10"/>
      <c r="J1395" s="835" t="e">
        <f>'Obrazac kalkulacije'!$B$6:$C$6</f>
        <v>#VALUE!</v>
      </c>
      <c r="K1395" s="835"/>
      <c r="L1395" s="10" t="str">
        <f>'Obrazac kalkulacije'!$D$6</f>
        <v>Jed.
mjere</v>
      </c>
      <c r="M1395" s="10" t="str">
        <f>'Obrazac kalkulacije'!$E$6</f>
        <v>Normativ</v>
      </c>
      <c r="N1395" s="10" t="str">
        <f>'Obrazac kalkulacije'!$F$6</f>
        <v>Jed.
cijena</v>
      </c>
      <c r="O1395" s="10" t="str">
        <f>'Obrazac kalkulacije'!$G$6</f>
        <v>Iznos</v>
      </c>
    </row>
    <row r="1396" spans="1:15" ht="4.5" customHeight="1" thickTop="1">
      <c r="B1396" s="42"/>
      <c r="C1396" s="1"/>
      <c r="D1396" s="11"/>
      <c r="E1396" s="13"/>
      <c r="F1396" s="258"/>
      <c r="G1396" s="15"/>
      <c r="H1396" s="3"/>
      <c r="J1396" s="42"/>
      <c r="K1396" s="1"/>
      <c r="L1396" s="11"/>
      <c r="M1396" s="13"/>
      <c r="N1396" s="258"/>
      <c r="O1396" s="15"/>
    </row>
    <row r="1397" spans="1:15" ht="25.15" customHeight="1">
      <c r="A1397" s="16"/>
      <c r="B1397" s="837" t="str">
        <f>'Obrazac kalkulacije'!$B$8</f>
        <v>Radna snaga:</v>
      </c>
      <c r="C1397" s="837"/>
      <c r="D1397" s="16"/>
      <c r="E1397" s="16"/>
      <c r="F1397" s="44"/>
      <c r="G1397" s="18">
        <f>SUM(G1398:G1398)</f>
        <v>7.2020571428571429</v>
      </c>
      <c r="H1397" s="3"/>
      <c r="I1397" s="16"/>
      <c r="J1397" s="837" t="str">
        <f>'Obrazac kalkulacije'!$B$8</f>
        <v>Radna snaga:</v>
      </c>
      <c r="K1397" s="837"/>
      <c r="L1397" s="16"/>
      <c r="M1397" s="16"/>
      <c r="N1397" s="44"/>
      <c r="O1397" s="18">
        <f>SUM(O1398:O1398)</f>
        <v>7.0020350100000002</v>
      </c>
    </row>
    <row r="1398" spans="1:15" ht="25.15" customHeight="1">
      <c r="A1398" s="32"/>
      <c r="B1398" s="854" t="s">
        <v>57</v>
      </c>
      <c r="C1398" s="854"/>
      <c r="D1398" s="33" t="s">
        <v>51</v>
      </c>
      <c r="E1398" s="34">
        <f>H1398/H1395</f>
        <v>6.8571428571428575E-2</v>
      </c>
      <c r="F1398" s="238">
        <f>SUMIF('Cjenik RS'!$C$11:$C$26,$B1398,'Cjenik RS'!$D$11:$D$90)</f>
        <v>105.03</v>
      </c>
      <c r="G1398" s="35">
        <f>+F1398*E1398</f>
        <v>7.2020571428571429</v>
      </c>
      <c r="H1398" s="560">
        <v>24</v>
      </c>
      <c r="I1398" s="32"/>
      <c r="J1398" s="854" t="s">
        <v>57</v>
      </c>
      <c r="K1398" s="854"/>
      <c r="L1398" s="33" t="s">
        <v>51</v>
      </c>
      <c r="M1398" s="34">
        <v>6.6667000000000004E-2</v>
      </c>
      <c r="N1398" s="44">
        <f>SUMIF('Cjenik RS'!$C$11:$C$26,J1398,'Cjenik RS'!$D$11:$D$90)</f>
        <v>105.03</v>
      </c>
      <c r="O1398" s="35">
        <f>+N1398*M1398</f>
        <v>7.0020350100000002</v>
      </c>
    </row>
    <row r="1399" spans="1:15" ht="25.15" customHeight="1">
      <c r="A1399" s="16"/>
      <c r="B1399" s="837" t="str">
        <f>'Obrazac kalkulacije'!$B$11</f>
        <v>Vozila, strojevi i oprema:</v>
      </c>
      <c r="C1399" s="837"/>
      <c r="D1399" s="16"/>
      <c r="E1399" s="16"/>
      <c r="F1399" s="238">
        <f>'Obrazac kalkulacije'!$F$11</f>
        <v>0</v>
      </c>
      <c r="G1399" s="18">
        <f>SUM(G1400:G1401)</f>
        <v>6.6792857142857134</v>
      </c>
      <c r="I1399" s="16"/>
      <c r="J1399" s="837" t="str">
        <f>'Obrazac kalkulacije'!$B$11</f>
        <v>Vozila, strojevi i oprema:</v>
      </c>
      <c r="K1399" s="837"/>
      <c r="L1399" s="16"/>
      <c r="M1399" s="16"/>
      <c r="N1399" s="238">
        <f>'Obrazac kalkulacije'!$F$11</f>
        <v>0</v>
      </c>
      <c r="O1399" s="18">
        <f>SUM(O1400:O1401)</f>
        <v>4.9908599300000001</v>
      </c>
    </row>
    <row r="1400" spans="1:15" ht="25.15" customHeight="1">
      <c r="A1400" s="51"/>
      <c r="B1400" s="863" t="s">
        <v>520</v>
      </c>
      <c r="C1400" s="863"/>
      <c r="D1400" s="52" t="s">
        <v>51</v>
      </c>
      <c r="E1400" s="53">
        <f>H1400/H1395</f>
        <v>1.4285714285714285E-2</v>
      </c>
      <c r="F1400" s="260">
        <f>SUMIF('Cjenik VSO'!$B$9:$B$85,$B1400,'Cjenik VSO'!$C$9:$C$85)</f>
        <v>180.19</v>
      </c>
      <c r="G1400" s="55">
        <f>E1400*F1400</f>
        <v>2.5741428571428568</v>
      </c>
      <c r="H1400" s="560">
        <v>5</v>
      </c>
      <c r="I1400" s="51"/>
      <c r="J1400" s="863" t="s">
        <v>520</v>
      </c>
      <c r="K1400" s="863"/>
      <c r="L1400" s="52" t="s">
        <v>51</v>
      </c>
      <c r="M1400" s="53">
        <v>1.6667000000000001E-2</v>
      </c>
      <c r="N1400" s="260">
        <f>SUMIF('Cjenik VSO'!$B$9:$B$85,$B1400,'Cjenik VSO'!$C$9:$C$85)</f>
        <v>180.19</v>
      </c>
      <c r="O1400" s="55">
        <f>M1400*N1400</f>
        <v>3.0032267300000002</v>
      </c>
    </row>
    <row r="1401" spans="1:15" ht="25.15" customHeight="1">
      <c r="A1401" s="61"/>
      <c r="B1401" s="864" t="s">
        <v>69</v>
      </c>
      <c r="C1401" s="864"/>
      <c r="D1401" s="62" t="s">
        <v>51</v>
      </c>
      <c r="E1401" s="63">
        <f>H1401/H1395</f>
        <v>2.2857142857142857E-2</v>
      </c>
      <c r="F1401" s="261">
        <f>SUMIF('Cjenik VSO'!$B$9:$B$85,$B1401,'Cjenik VSO'!$C$9:$C$85)</f>
        <v>179.6</v>
      </c>
      <c r="G1401" s="65">
        <f>E1401*F1401</f>
        <v>4.105142857142857</v>
      </c>
      <c r="H1401" s="560">
        <v>8</v>
      </c>
      <c r="I1401" s="61"/>
      <c r="J1401" s="864" t="s">
        <v>69</v>
      </c>
      <c r="K1401" s="864"/>
      <c r="L1401" s="62" t="s">
        <v>51</v>
      </c>
      <c r="M1401" s="63">
        <v>1.1067E-2</v>
      </c>
      <c r="N1401" s="261">
        <f>SUMIF('Cjenik VSO'!$B$9:$B$85,$B1401,'Cjenik VSO'!$C$9:$C$85)</f>
        <v>179.6</v>
      </c>
      <c r="O1401" s="65">
        <f>M1401*N1401</f>
        <v>1.9876332000000001</v>
      </c>
    </row>
    <row r="1402" spans="1:15" ht="25.15" customHeight="1">
      <c r="A1402" s="16"/>
      <c r="B1402" s="837" t="str">
        <f>'Obrazac kalkulacije'!$B$15</f>
        <v>Materijali:</v>
      </c>
      <c r="C1402" s="837"/>
      <c r="D1402" s="16"/>
      <c r="E1402" s="16"/>
      <c r="F1402" s="238"/>
      <c r="G1402" s="18">
        <f>SUM(G1403:G1405)</f>
        <v>0</v>
      </c>
      <c r="I1402" s="16"/>
      <c r="J1402" s="837" t="str">
        <f>'Obrazac kalkulacije'!$B$15</f>
        <v>Materijali:</v>
      </c>
      <c r="K1402" s="837"/>
      <c r="L1402" s="16"/>
      <c r="M1402" s="16"/>
      <c r="N1402" s="238"/>
      <c r="O1402" s="18">
        <f>SUM(O1403:O1405)</f>
        <v>0</v>
      </c>
    </row>
    <row r="1403" spans="1:15" ht="25.15" customHeight="1">
      <c r="A1403" s="51"/>
      <c r="B1403" s="863">
        <f>'Cjenik M'!$B$72</f>
        <v>0</v>
      </c>
      <c r="C1403" s="863"/>
      <c r="D1403" s="52">
        <f>'Cjenik M'!$C$72</f>
        <v>0</v>
      </c>
      <c r="E1403" s="53">
        <v>0.31</v>
      </c>
      <c r="F1403" s="260">
        <f>'Cjenik M'!$D$72</f>
        <v>0</v>
      </c>
      <c r="G1403" s="55">
        <f>E1403*F1403</f>
        <v>0</v>
      </c>
      <c r="I1403" s="51"/>
      <c r="J1403" s="863">
        <f>'Cjenik M'!$B$72</f>
        <v>0</v>
      </c>
      <c r="K1403" s="863"/>
      <c r="L1403" s="52">
        <f>'Cjenik M'!$C$72</f>
        <v>0</v>
      </c>
      <c r="M1403" s="53">
        <v>0.31</v>
      </c>
      <c r="N1403" s="260">
        <f>'Cjenik M'!$D$72</f>
        <v>0</v>
      </c>
      <c r="O1403" s="55">
        <f>M1403*N1403</f>
        <v>0</v>
      </c>
    </row>
    <row r="1404" spans="1:15" ht="25.15" customHeight="1">
      <c r="A1404" s="56"/>
      <c r="B1404" s="834">
        <f>'Cjenik M'!$B$102</f>
        <v>0</v>
      </c>
      <c r="C1404" s="834"/>
      <c r="D1404" s="57">
        <f>'Cjenik M'!$C$102</f>
        <v>0</v>
      </c>
      <c r="E1404" s="58">
        <v>0.16250000000000001</v>
      </c>
      <c r="F1404" s="263">
        <f>'Cjenik M'!$D$102</f>
        <v>0</v>
      </c>
      <c r="G1404" s="60">
        <f>E1404*F1404</f>
        <v>0</v>
      </c>
      <c r="I1404" s="56"/>
      <c r="J1404" s="834">
        <f>'Cjenik M'!$B$102</f>
        <v>0</v>
      </c>
      <c r="K1404" s="834"/>
      <c r="L1404" s="57">
        <f>'Cjenik M'!$C$102</f>
        <v>0</v>
      </c>
      <c r="M1404" s="58">
        <v>0.16250000000000001</v>
      </c>
      <c r="N1404" s="263">
        <f>'Cjenik M'!$D$102</f>
        <v>0</v>
      </c>
      <c r="O1404" s="60">
        <f>M1404*N1404</f>
        <v>0</v>
      </c>
    </row>
    <row r="1405" spans="1:15" ht="25.15" customHeight="1" thickBot="1">
      <c r="A1405" s="66"/>
      <c r="B1405" s="834">
        <f>'Cjenik M'!$B$74</f>
        <v>0</v>
      </c>
      <c r="C1405" s="834"/>
      <c r="D1405" s="57">
        <f>'Cjenik M'!$C$74</f>
        <v>0</v>
      </c>
      <c r="E1405" s="58">
        <v>3.5963000000000002E-2</v>
      </c>
      <c r="F1405" s="263">
        <f>'Cjenik M'!$D$74</f>
        <v>0</v>
      </c>
      <c r="G1405" s="60">
        <f>E1405*F1405</f>
        <v>0</v>
      </c>
      <c r="I1405" s="66"/>
      <c r="J1405" s="834">
        <f>'Cjenik M'!$B$74</f>
        <v>0</v>
      </c>
      <c r="K1405" s="834"/>
      <c r="L1405" s="57">
        <f>'Cjenik M'!$C$74</f>
        <v>0</v>
      </c>
      <c r="M1405" s="58">
        <v>3.5963000000000002E-2</v>
      </c>
      <c r="N1405" s="263">
        <f>'Cjenik M'!$D$74</f>
        <v>0</v>
      </c>
      <c r="O1405" s="60">
        <f>M1405*N1405</f>
        <v>0</v>
      </c>
    </row>
    <row r="1406" spans="1:15" ht="25.15" customHeight="1" thickTop="1" thickBot="1">
      <c r="B1406" s="47"/>
      <c r="C1406" s="24"/>
      <c r="D1406" s="25"/>
      <c r="E1406" s="850" t="str">
        <f>'Obrazac kalkulacije'!$E$18</f>
        <v>Ukupno (kn):</v>
      </c>
      <c r="F1406" s="850"/>
      <c r="G1406" s="26">
        <f>ROUND(SUM(G1397+G1399+G1402),2)</f>
        <v>13.88</v>
      </c>
      <c r="H1406" s="269" t="e">
        <f>SUMIF(#REF!,$B1393,#REF!)</f>
        <v>#REF!</v>
      </c>
      <c r="J1406" s="47"/>
      <c r="K1406" s="24"/>
      <c r="L1406" s="25"/>
      <c r="M1406" s="850" t="str">
        <f>'Obrazac kalkulacije'!$E$18</f>
        <v>Ukupno (kn):</v>
      </c>
      <c r="N1406" s="850"/>
      <c r="O1406" s="26">
        <f>ROUND(SUM(O1397+O1399+O1402),2)</f>
        <v>11.99</v>
      </c>
    </row>
    <row r="1407" spans="1:15" ht="25.15" customHeight="1" thickTop="1" thickBot="1">
      <c r="E1407" s="27" t="str">
        <f>'Obrazac kalkulacije'!$E$19</f>
        <v>PDV:</v>
      </c>
      <c r="F1407" s="259">
        <f>'Obrazac kalkulacije'!$F$19</f>
        <v>0.25</v>
      </c>
      <c r="G1407" s="29">
        <f>G1406*F1407</f>
        <v>3.47</v>
      </c>
      <c r="H1407" s="270" t="e">
        <f>H1406-G1406</f>
        <v>#REF!</v>
      </c>
      <c r="M1407" s="27" t="str">
        <f>'Obrazac kalkulacije'!$E$19</f>
        <v>PDV:</v>
      </c>
      <c r="N1407" s="259">
        <f>'Obrazac kalkulacije'!$F$19</f>
        <v>0.25</v>
      </c>
      <c r="O1407" s="29">
        <f>O1406*N1407</f>
        <v>2.9975000000000001</v>
      </c>
    </row>
    <row r="1408" spans="1:15" ht="25.15" customHeight="1" thickTop="1" thickBot="1">
      <c r="E1408" s="840" t="str">
        <f>'Obrazac kalkulacije'!$E$20</f>
        <v>Sveukupno (kn):</v>
      </c>
      <c r="F1408" s="840"/>
      <c r="G1408" s="29">
        <f>ROUND(SUM(G1406:G1407),2)</f>
        <v>17.350000000000001</v>
      </c>
      <c r="H1408" s="271" t="e">
        <f>G1400+H1407</f>
        <v>#REF!</v>
      </c>
      <c r="M1408" s="840" t="str">
        <f>'Obrazac kalkulacije'!$E$20</f>
        <v>Sveukupno (kn):</v>
      </c>
      <c r="N1408" s="840"/>
      <c r="O1408" s="29">
        <f>ROUND(SUM(O1406:O1407),2)</f>
        <v>14.99</v>
      </c>
    </row>
    <row r="1409" spans="1:15" ht="15" customHeight="1" thickTop="1"/>
    <row r="1410" spans="1:15" ht="15" customHeight="1"/>
    <row r="1411" spans="1:15" ht="15" customHeight="1"/>
    <row r="1412" spans="1:15" ht="15" customHeight="1">
      <c r="C1412" s="3" t="str">
        <f>'Obrazac kalkulacije'!$C$24</f>
        <v>IZVODITELJ:</v>
      </c>
      <c r="F1412" s="841" t="str">
        <f>'Obrazac kalkulacije'!$F$24</f>
        <v>NARUČITELJ:</v>
      </c>
      <c r="G1412" s="841"/>
      <c r="K1412" s="3" t="str">
        <f>'Obrazac kalkulacije'!$C$24</f>
        <v>IZVODITELJ:</v>
      </c>
      <c r="N1412" s="841" t="str">
        <f>'Obrazac kalkulacije'!$F$24</f>
        <v>NARUČITELJ:</v>
      </c>
      <c r="O1412" s="841"/>
    </row>
    <row r="1413" spans="1:15" ht="25.15" customHeight="1">
      <c r="C1413" s="3" t="str">
        <f>'Obrazac kalkulacije'!$C$25</f>
        <v>__________________</v>
      </c>
      <c r="F1413" s="841" t="str">
        <f>'Obrazac kalkulacije'!$F$25</f>
        <v>___________________</v>
      </c>
      <c r="G1413" s="841"/>
      <c r="K1413" s="3" t="str">
        <f>'Obrazac kalkulacije'!$C$25</f>
        <v>__________________</v>
      </c>
      <c r="N1413" s="841" t="str">
        <f>'Obrazac kalkulacije'!$F$25</f>
        <v>___________________</v>
      </c>
      <c r="O1413" s="841"/>
    </row>
    <row r="1414" spans="1:15" ht="15" customHeight="1">
      <c r="C1414" s="3"/>
      <c r="G1414" s="30"/>
      <c r="K1414" s="3"/>
      <c r="O1414" s="30"/>
    </row>
    <row r="1415" spans="1:15" ht="15" customHeight="1">
      <c r="F1415" s="841"/>
      <c r="G1415" s="841"/>
      <c r="N1415" s="841"/>
      <c r="O1415" s="841"/>
    </row>
    <row r="1416" spans="1:15" ht="15" customHeight="1">
      <c r="A1416" s="144"/>
      <c r="B1416" s="145" t="s">
        <v>39</v>
      </c>
      <c r="C1416" s="836" t="s">
        <v>360</v>
      </c>
      <c r="D1416" s="836"/>
      <c r="E1416" s="836"/>
      <c r="F1416" s="836"/>
      <c r="G1416" s="836"/>
      <c r="I1416" s="144"/>
      <c r="J1416" s="145" t="s">
        <v>39</v>
      </c>
      <c r="K1416" s="836" t="s">
        <v>360</v>
      </c>
      <c r="L1416" s="836"/>
      <c r="M1416" s="836"/>
      <c r="N1416" s="836"/>
      <c r="O1416" s="836"/>
    </row>
    <row r="1417" spans="1:15" ht="15" customHeight="1">
      <c r="A1417" s="38"/>
      <c r="B1417" s="39" t="s">
        <v>46</v>
      </c>
      <c r="C1417" s="860" t="s">
        <v>470</v>
      </c>
      <c r="D1417" s="860"/>
      <c r="E1417" s="860"/>
      <c r="F1417" s="860"/>
      <c r="G1417" s="860"/>
      <c r="I1417" s="38"/>
      <c r="J1417" s="39" t="s">
        <v>46</v>
      </c>
      <c r="K1417" s="860" t="s">
        <v>470</v>
      </c>
      <c r="L1417" s="860"/>
      <c r="M1417" s="860"/>
      <c r="N1417" s="860"/>
      <c r="O1417" s="860"/>
    </row>
    <row r="1418" spans="1:15" ht="15" customHeight="1">
      <c r="A1418" s="48"/>
      <c r="B1418" s="49" t="s">
        <v>515</v>
      </c>
      <c r="C1418" s="883" t="s">
        <v>516</v>
      </c>
      <c r="D1418" s="883"/>
      <c r="E1418" s="883"/>
      <c r="F1418" s="883"/>
      <c r="G1418" s="883"/>
      <c r="I1418" s="48"/>
      <c r="J1418" s="49" t="s">
        <v>515</v>
      </c>
      <c r="K1418" s="883" t="s">
        <v>516</v>
      </c>
      <c r="L1418" s="883"/>
      <c r="M1418" s="883"/>
      <c r="N1418" s="883"/>
      <c r="O1418" s="883"/>
    </row>
    <row r="1419" spans="1:15" ht="150" customHeight="1">
      <c r="A1419" s="40"/>
      <c r="B1419" s="556" t="s">
        <v>528</v>
      </c>
      <c r="C1419" s="852" t="s">
        <v>529</v>
      </c>
      <c r="D1419" s="852"/>
      <c r="E1419" s="852"/>
      <c r="F1419" s="852"/>
      <c r="G1419" s="852"/>
      <c r="I1419" s="40"/>
      <c r="J1419" s="41" t="s">
        <v>530</v>
      </c>
      <c r="K1419" s="869" t="s">
        <v>529</v>
      </c>
      <c r="L1419" s="869"/>
      <c r="M1419" s="869"/>
      <c r="N1419" s="869"/>
      <c r="O1419" s="869"/>
    </row>
    <row r="1420" spans="1:15" ht="15" customHeight="1" thickBot="1"/>
    <row r="1421" spans="1:15" ht="30" customHeight="1" thickTop="1" thickBot="1">
      <c r="A1421" s="10"/>
      <c r="B1421" s="835" t="str">
        <f>'Obrazac kalkulacije'!$B$6:$C$6</f>
        <v>Opis</v>
      </c>
      <c r="C1421" s="835"/>
      <c r="D1421" s="10" t="str">
        <f>'Obrazac kalkulacije'!$D$6</f>
        <v>Jed.
mjere</v>
      </c>
      <c r="E1421" s="10" t="str">
        <f>'Obrazac kalkulacije'!$E$6</f>
        <v>Normativ</v>
      </c>
      <c r="F1421" s="10" t="str">
        <f>'Obrazac kalkulacije'!$F$6</f>
        <v>Jed.
cijena</v>
      </c>
      <c r="G1421" s="10" t="str">
        <f>'Obrazac kalkulacije'!$G$6</f>
        <v>Iznos</v>
      </c>
      <c r="H1421" s="622">
        <v>350</v>
      </c>
      <c r="I1421" s="10"/>
      <c r="J1421" s="835" t="e">
        <f>'Obrazac kalkulacije'!$B$6:$C$6</f>
        <v>#VALUE!</v>
      </c>
      <c r="K1421" s="835"/>
      <c r="L1421" s="10" t="str">
        <f>'Obrazac kalkulacije'!$D$6</f>
        <v>Jed.
mjere</v>
      </c>
      <c r="M1421" s="10" t="str">
        <f>'Obrazac kalkulacije'!$E$6</f>
        <v>Normativ</v>
      </c>
      <c r="N1421" s="10" t="str">
        <f>'Obrazac kalkulacije'!$F$6</f>
        <v>Jed.
cijena</v>
      </c>
      <c r="O1421" s="10" t="str">
        <f>'Obrazac kalkulacije'!$G$6</f>
        <v>Iznos</v>
      </c>
    </row>
    <row r="1422" spans="1:15" ht="4.5" customHeight="1" thickTop="1">
      <c r="B1422" s="42"/>
      <c r="C1422" s="1"/>
      <c r="D1422" s="11"/>
      <c r="E1422" s="13"/>
      <c r="F1422" s="258"/>
      <c r="G1422" s="15"/>
      <c r="H1422" s="3"/>
      <c r="J1422" s="42"/>
      <c r="K1422" s="1"/>
      <c r="L1422" s="11"/>
      <c r="M1422" s="13"/>
      <c r="N1422" s="258"/>
      <c r="O1422" s="15"/>
    </row>
    <row r="1423" spans="1:15" ht="25.15" customHeight="1">
      <c r="A1423" s="16"/>
      <c r="B1423" s="837" t="str">
        <f>'Obrazac kalkulacije'!$B$8</f>
        <v>Radna snaga:</v>
      </c>
      <c r="C1423" s="837"/>
      <c r="D1423" s="16"/>
      <c r="E1423" s="16"/>
      <c r="F1423" s="44"/>
      <c r="G1423" s="18">
        <f>SUM(G1424:G1424)</f>
        <v>7.2020571428571429</v>
      </c>
      <c r="H1423" s="3"/>
      <c r="I1423" s="16"/>
      <c r="J1423" s="837" t="str">
        <f>'Obrazac kalkulacije'!$B$8</f>
        <v>Radna snaga:</v>
      </c>
      <c r="K1423" s="837"/>
      <c r="L1423" s="16"/>
      <c r="M1423" s="16"/>
      <c r="N1423" s="44"/>
      <c r="O1423" s="18">
        <f>SUM(O1424:O1424)</f>
        <v>7.0020350100000002</v>
      </c>
    </row>
    <row r="1424" spans="1:15" ht="25.15" customHeight="1">
      <c r="A1424" s="32"/>
      <c r="B1424" s="854" t="s">
        <v>57</v>
      </c>
      <c r="C1424" s="854"/>
      <c r="D1424" s="33" t="s">
        <v>51</v>
      </c>
      <c r="E1424" s="34">
        <f>H1424/H1421</f>
        <v>6.8571428571428575E-2</v>
      </c>
      <c r="F1424" s="238">
        <f>SUMIF('Cjenik RS'!$C$11:$C$26,$B1424,'Cjenik RS'!$D$11:$D$90)</f>
        <v>105.03</v>
      </c>
      <c r="G1424" s="35">
        <f>+F1424*E1424</f>
        <v>7.2020571428571429</v>
      </c>
      <c r="H1424" s="560">
        <v>24</v>
      </c>
      <c r="I1424" s="32"/>
      <c r="J1424" s="854" t="s">
        <v>57</v>
      </c>
      <c r="K1424" s="854"/>
      <c r="L1424" s="33" t="s">
        <v>51</v>
      </c>
      <c r="M1424" s="34">
        <v>6.6667000000000004E-2</v>
      </c>
      <c r="N1424" s="44">
        <f>SUMIF('Cjenik RS'!$C$11:$C$26,J1424,'Cjenik RS'!$D$11:$D$90)</f>
        <v>105.03</v>
      </c>
      <c r="O1424" s="35">
        <f>+N1424*M1424</f>
        <v>7.0020350100000002</v>
      </c>
    </row>
    <row r="1425" spans="1:15" ht="25.15" customHeight="1">
      <c r="A1425" s="16"/>
      <c r="B1425" s="837" t="str">
        <f>'Obrazac kalkulacije'!$B$11</f>
        <v>Vozila, strojevi i oprema:</v>
      </c>
      <c r="C1425" s="837"/>
      <c r="D1425" s="16"/>
      <c r="E1425" s="16"/>
      <c r="F1425" s="238">
        <f>'Obrazac kalkulacije'!$F$11</f>
        <v>0</v>
      </c>
      <c r="G1425" s="18">
        <f>SUM(G1426:G1427)</f>
        <v>6.6792857142857134</v>
      </c>
      <c r="I1425" s="16"/>
      <c r="J1425" s="837" t="str">
        <f>'Obrazac kalkulacije'!$B$11</f>
        <v>Vozila, strojevi i oprema:</v>
      </c>
      <c r="K1425" s="837"/>
      <c r="L1425" s="16"/>
      <c r="M1425" s="16"/>
      <c r="N1425" s="238">
        <f>'Obrazac kalkulacije'!$F$11</f>
        <v>0</v>
      </c>
      <c r="O1425" s="18">
        <f>SUM(O1426:O1427)</f>
        <v>4.9908599300000001</v>
      </c>
    </row>
    <row r="1426" spans="1:15" ht="25.15" customHeight="1">
      <c r="A1426" s="51"/>
      <c r="B1426" s="863" t="s">
        <v>520</v>
      </c>
      <c r="C1426" s="863"/>
      <c r="D1426" s="52" t="s">
        <v>51</v>
      </c>
      <c r="E1426" s="53">
        <f>H1426/H1421</f>
        <v>1.4285714285714285E-2</v>
      </c>
      <c r="F1426" s="260">
        <f>SUMIF('Cjenik VSO'!$B$9:$B$85,$B1426,'Cjenik VSO'!$C$9:$C$85)</f>
        <v>180.19</v>
      </c>
      <c r="G1426" s="55">
        <f>E1426*F1426</f>
        <v>2.5741428571428568</v>
      </c>
      <c r="H1426" s="560">
        <v>5</v>
      </c>
      <c r="I1426" s="51"/>
      <c r="J1426" s="863" t="s">
        <v>520</v>
      </c>
      <c r="K1426" s="863"/>
      <c r="L1426" s="52" t="s">
        <v>51</v>
      </c>
      <c r="M1426" s="53">
        <v>1.6667000000000001E-2</v>
      </c>
      <c r="N1426" s="260">
        <f>SUMIF('Cjenik VSO'!$B$9:$B$85,$B1426,'Cjenik VSO'!$C$9:$C$85)</f>
        <v>180.19</v>
      </c>
      <c r="O1426" s="55">
        <f>M1426*N1426</f>
        <v>3.0032267300000002</v>
      </c>
    </row>
    <row r="1427" spans="1:15" ht="25.15" customHeight="1">
      <c r="A1427" s="61"/>
      <c r="B1427" s="864" t="s">
        <v>69</v>
      </c>
      <c r="C1427" s="864"/>
      <c r="D1427" s="62" t="s">
        <v>51</v>
      </c>
      <c r="E1427" s="63">
        <f>H1427/H1421</f>
        <v>2.2857142857142857E-2</v>
      </c>
      <c r="F1427" s="261">
        <f>SUMIF('Cjenik VSO'!$B$9:$B$85,$B1427,'Cjenik VSO'!$C$9:$C$85)</f>
        <v>179.6</v>
      </c>
      <c r="G1427" s="65">
        <f>E1427*F1427</f>
        <v>4.105142857142857</v>
      </c>
      <c r="H1427" s="560">
        <v>8</v>
      </c>
      <c r="I1427" s="61"/>
      <c r="J1427" s="864" t="s">
        <v>69</v>
      </c>
      <c r="K1427" s="864"/>
      <c r="L1427" s="62" t="s">
        <v>51</v>
      </c>
      <c r="M1427" s="63">
        <v>1.1067E-2</v>
      </c>
      <c r="N1427" s="261">
        <f>SUMIF('Cjenik VSO'!$B$9:$B$85,$B1427,'Cjenik VSO'!$C$9:$C$85)</f>
        <v>179.6</v>
      </c>
      <c r="O1427" s="65">
        <f>M1427*N1427</f>
        <v>1.9876332000000001</v>
      </c>
    </row>
    <row r="1428" spans="1:15" ht="25.15" customHeight="1">
      <c r="A1428" s="16"/>
      <c r="B1428" s="837" t="str">
        <f>'Obrazac kalkulacije'!$B$15</f>
        <v>Materijali:</v>
      </c>
      <c r="C1428" s="837"/>
      <c r="D1428" s="16"/>
      <c r="E1428" s="16"/>
      <c r="F1428" s="238"/>
      <c r="G1428" s="18">
        <f>SUM(G1429:G1431)</f>
        <v>0</v>
      </c>
      <c r="I1428" s="16"/>
      <c r="J1428" s="837" t="str">
        <f>'Obrazac kalkulacije'!$B$15</f>
        <v>Materijali:</v>
      </c>
      <c r="K1428" s="837"/>
      <c r="L1428" s="16"/>
      <c r="M1428" s="16"/>
      <c r="N1428" s="238"/>
      <c r="O1428" s="18">
        <f>SUM(O1429:O1431)</f>
        <v>0</v>
      </c>
    </row>
    <row r="1429" spans="1:15" ht="25.15" customHeight="1">
      <c r="A1429" s="51"/>
      <c r="B1429" s="863">
        <f>'Cjenik M'!$B$72</f>
        <v>0</v>
      </c>
      <c r="C1429" s="863"/>
      <c r="D1429" s="52">
        <f>'Cjenik M'!$C$72</f>
        <v>0</v>
      </c>
      <c r="E1429" s="53">
        <v>0.46500000000000002</v>
      </c>
      <c r="F1429" s="260">
        <f>'Cjenik M'!$D$72</f>
        <v>0</v>
      </c>
      <c r="G1429" s="55">
        <f>E1429*F1429</f>
        <v>0</v>
      </c>
      <c r="I1429" s="51"/>
      <c r="J1429" s="863">
        <f>'Cjenik M'!$B$72</f>
        <v>0</v>
      </c>
      <c r="K1429" s="863"/>
      <c r="L1429" s="52">
        <f>'Cjenik M'!$C$72</f>
        <v>0</v>
      </c>
      <c r="M1429" s="53">
        <v>0.46500000000000002</v>
      </c>
      <c r="N1429" s="260">
        <f>'Cjenik M'!$D$72</f>
        <v>0</v>
      </c>
      <c r="O1429" s="55">
        <f>M1429*N1429</f>
        <v>0</v>
      </c>
    </row>
    <row r="1430" spans="1:15" ht="25.15" customHeight="1">
      <c r="A1430" s="56"/>
      <c r="B1430" s="834">
        <f>'Cjenik M'!$B$103</f>
        <v>0</v>
      </c>
      <c r="C1430" s="834"/>
      <c r="D1430" s="57">
        <f>'Cjenik M'!$C$102</f>
        <v>0</v>
      </c>
      <c r="E1430" s="58">
        <v>0.3</v>
      </c>
      <c r="F1430" s="263">
        <f>'Cjenik M'!$D$103</f>
        <v>0</v>
      </c>
      <c r="G1430" s="60">
        <f>E1430*F1430</f>
        <v>0</v>
      </c>
      <c r="I1430" s="56"/>
      <c r="J1430" s="834">
        <f>'Cjenik M'!$B$102</f>
        <v>0</v>
      </c>
      <c r="K1430" s="834"/>
      <c r="L1430" s="57">
        <f>'Cjenik M'!$C$102</f>
        <v>0</v>
      </c>
      <c r="M1430" s="58">
        <v>0.3</v>
      </c>
      <c r="N1430" s="263">
        <f>'Cjenik M'!$D$102</f>
        <v>0</v>
      </c>
      <c r="O1430" s="60">
        <f>M1430*N1430</f>
        <v>0</v>
      </c>
    </row>
    <row r="1431" spans="1:15" ht="25.15" customHeight="1" thickBot="1">
      <c r="A1431" s="66"/>
      <c r="B1431" s="834">
        <f>'Cjenik M'!$B$74</f>
        <v>0</v>
      </c>
      <c r="C1431" s="834"/>
      <c r="D1431" s="57">
        <f>'Cjenik M'!$C$74</f>
        <v>0</v>
      </c>
      <c r="E1431" s="58">
        <v>5.3943999999999999E-2</v>
      </c>
      <c r="F1431" s="263">
        <f>'Cjenik M'!$D$74</f>
        <v>0</v>
      </c>
      <c r="G1431" s="60">
        <f>E1431*F1431</f>
        <v>0</v>
      </c>
      <c r="I1431" s="66"/>
      <c r="J1431" s="834">
        <f>'Cjenik M'!$B$74</f>
        <v>0</v>
      </c>
      <c r="K1431" s="834"/>
      <c r="L1431" s="57">
        <f>'Cjenik M'!$C$74</f>
        <v>0</v>
      </c>
      <c r="M1431" s="58">
        <v>5.3943999999999999E-2</v>
      </c>
      <c r="N1431" s="263">
        <f>'Cjenik M'!$D$74</f>
        <v>0</v>
      </c>
      <c r="O1431" s="60">
        <f>M1431*N1431</f>
        <v>0</v>
      </c>
    </row>
    <row r="1432" spans="1:15" ht="25.15" customHeight="1" thickTop="1" thickBot="1">
      <c r="B1432" s="47"/>
      <c r="C1432" s="24"/>
      <c r="D1432" s="25"/>
      <c r="E1432" s="850" t="str">
        <f>'Obrazac kalkulacije'!$E$18</f>
        <v>Ukupno (kn):</v>
      </c>
      <c r="F1432" s="850"/>
      <c r="G1432" s="26">
        <f>ROUND(SUM(G1423+G1425+G1428),2)</f>
        <v>13.88</v>
      </c>
      <c r="H1432" s="269" t="e">
        <f>SUMIF(#REF!,$B1419,#REF!)</f>
        <v>#REF!</v>
      </c>
      <c r="J1432" s="47"/>
      <c r="K1432" s="24"/>
      <c r="L1432" s="25"/>
      <c r="M1432" s="850" t="str">
        <f>'Obrazac kalkulacije'!$E$18</f>
        <v>Ukupno (kn):</v>
      </c>
      <c r="N1432" s="850"/>
      <c r="O1432" s="26">
        <f>ROUND(SUM(O1423+O1425+O1428),2)</f>
        <v>11.99</v>
      </c>
    </row>
    <row r="1433" spans="1:15" ht="25.15" customHeight="1" thickTop="1" thickBot="1">
      <c r="E1433" s="27" t="str">
        <f>'Obrazac kalkulacije'!$E$19</f>
        <v>PDV:</v>
      </c>
      <c r="F1433" s="259">
        <f>'Obrazac kalkulacije'!$F$19</f>
        <v>0.25</v>
      </c>
      <c r="G1433" s="29">
        <f>G1432*F1433</f>
        <v>3.47</v>
      </c>
      <c r="H1433" s="270" t="e">
        <f>H1432-G1432</f>
        <v>#REF!</v>
      </c>
      <c r="M1433" s="27" t="str">
        <f>'Obrazac kalkulacije'!$E$19</f>
        <v>PDV:</v>
      </c>
      <c r="N1433" s="259">
        <f>'Obrazac kalkulacije'!$F$19</f>
        <v>0.25</v>
      </c>
      <c r="O1433" s="29">
        <f>O1432*N1433</f>
        <v>2.9975000000000001</v>
      </c>
    </row>
    <row r="1434" spans="1:15" ht="25.15" customHeight="1" thickTop="1" thickBot="1">
      <c r="E1434" s="840" t="str">
        <f>'Obrazac kalkulacije'!$E$20</f>
        <v>Sveukupno (kn):</v>
      </c>
      <c r="F1434" s="840"/>
      <c r="G1434" s="29">
        <f>ROUND(SUM(G1432:G1433),2)</f>
        <v>17.350000000000001</v>
      </c>
      <c r="H1434" s="271" t="e">
        <f>G1426+H1433</f>
        <v>#REF!</v>
      </c>
      <c r="M1434" s="840" t="str">
        <f>'Obrazac kalkulacije'!$E$20</f>
        <v>Sveukupno (kn):</v>
      </c>
      <c r="N1434" s="840"/>
      <c r="O1434" s="29">
        <f>ROUND(SUM(O1432:O1433),2)</f>
        <v>14.99</v>
      </c>
    </row>
    <row r="1435" spans="1:15" ht="15" customHeight="1" thickTop="1"/>
    <row r="1436" spans="1:15" ht="15" customHeight="1"/>
    <row r="1437" spans="1:15" ht="15" customHeight="1"/>
    <row r="1438" spans="1:15" ht="15" customHeight="1">
      <c r="C1438" s="3" t="str">
        <f>'Obrazac kalkulacije'!$C$24</f>
        <v>IZVODITELJ:</v>
      </c>
      <c r="F1438" s="841" t="str">
        <f>'Obrazac kalkulacije'!$F$24</f>
        <v>NARUČITELJ:</v>
      </c>
      <c r="G1438" s="841"/>
      <c r="K1438" s="3" t="str">
        <f>'Obrazac kalkulacije'!$C$24</f>
        <v>IZVODITELJ:</v>
      </c>
      <c r="N1438" s="841" t="str">
        <f>'Obrazac kalkulacije'!$F$24</f>
        <v>NARUČITELJ:</v>
      </c>
      <c r="O1438" s="841"/>
    </row>
    <row r="1439" spans="1:15" ht="25.15" customHeight="1">
      <c r="C1439" s="3" t="str">
        <f>'Obrazac kalkulacije'!$C$25</f>
        <v>__________________</v>
      </c>
      <c r="F1439" s="841" t="str">
        <f>'Obrazac kalkulacije'!$F$25</f>
        <v>___________________</v>
      </c>
      <c r="G1439" s="841"/>
      <c r="K1439" s="3" t="str">
        <f>'Obrazac kalkulacije'!$C$25</f>
        <v>__________________</v>
      </c>
      <c r="N1439" s="841" t="str">
        <f>'Obrazac kalkulacije'!$F$25</f>
        <v>___________________</v>
      </c>
      <c r="O1439" s="841"/>
    </row>
    <row r="1440" spans="1:15" ht="15" customHeight="1">
      <c r="C1440" s="3"/>
      <c r="G1440" s="30"/>
      <c r="K1440" s="3"/>
      <c r="O1440" s="30"/>
    </row>
    <row r="1441" spans="1:15" ht="15" customHeight="1">
      <c r="F1441" s="841"/>
      <c r="G1441" s="841"/>
      <c r="N1441" s="841"/>
      <c r="O1441" s="841"/>
    </row>
    <row r="1442" spans="1:15" ht="15" customHeight="1">
      <c r="A1442" s="144"/>
      <c r="B1442" s="145" t="s">
        <v>39</v>
      </c>
      <c r="C1442" s="836" t="s">
        <v>360</v>
      </c>
      <c r="D1442" s="836"/>
      <c r="E1442" s="836"/>
      <c r="F1442" s="836"/>
      <c r="G1442" s="836"/>
      <c r="I1442" s="144"/>
      <c r="J1442" s="145" t="s">
        <v>39</v>
      </c>
      <c r="K1442" s="836" t="s">
        <v>360</v>
      </c>
      <c r="L1442" s="836"/>
      <c r="M1442" s="836"/>
      <c r="N1442" s="836"/>
      <c r="O1442" s="836"/>
    </row>
    <row r="1443" spans="1:15" ht="15" customHeight="1">
      <c r="A1443" s="38"/>
      <c r="B1443" s="39" t="s">
        <v>46</v>
      </c>
      <c r="C1443" s="860" t="s">
        <v>470</v>
      </c>
      <c r="D1443" s="860"/>
      <c r="E1443" s="860"/>
      <c r="F1443" s="860"/>
      <c r="G1443" s="860"/>
      <c r="I1443" s="38"/>
      <c r="J1443" s="39" t="s">
        <v>46</v>
      </c>
      <c r="K1443" s="860" t="s">
        <v>470</v>
      </c>
      <c r="L1443" s="860"/>
      <c r="M1443" s="860"/>
      <c r="N1443" s="860"/>
      <c r="O1443" s="860"/>
    </row>
    <row r="1444" spans="1:15" ht="15" customHeight="1">
      <c r="A1444" s="48"/>
      <c r="B1444" s="49" t="s">
        <v>531</v>
      </c>
      <c r="C1444" s="883" t="s">
        <v>532</v>
      </c>
      <c r="D1444" s="883"/>
      <c r="E1444" s="883"/>
      <c r="F1444" s="883"/>
      <c r="G1444" s="883"/>
      <c r="I1444" s="48"/>
      <c r="J1444" s="49" t="s">
        <v>531</v>
      </c>
      <c r="K1444" s="883" t="s">
        <v>532</v>
      </c>
      <c r="L1444" s="883"/>
      <c r="M1444" s="883"/>
      <c r="N1444" s="883"/>
      <c r="O1444" s="883"/>
    </row>
    <row r="1445" spans="1:15" ht="150" customHeight="1">
      <c r="A1445" s="40"/>
      <c r="B1445" s="556" t="s">
        <v>533</v>
      </c>
      <c r="C1445" s="852" t="s">
        <v>534</v>
      </c>
      <c r="D1445" s="852"/>
      <c r="E1445" s="852"/>
      <c r="F1445" s="852"/>
      <c r="G1445" s="852"/>
      <c r="I1445" s="40"/>
      <c r="J1445" s="41" t="s">
        <v>533</v>
      </c>
      <c r="K1445" s="869" t="s">
        <v>534</v>
      </c>
      <c r="L1445" s="869"/>
      <c r="M1445" s="869"/>
      <c r="N1445" s="869"/>
      <c r="O1445" s="869"/>
    </row>
    <row r="1446" spans="1:15" ht="15" customHeight="1" thickBot="1"/>
    <row r="1447" spans="1:15" ht="30" customHeight="1" thickTop="1" thickBot="1">
      <c r="A1447" s="10"/>
      <c r="B1447" s="835" t="str">
        <f>'Obrazac kalkulacije'!$B$6:$C$6</f>
        <v>Opis</v>
      </c>
      <c r="C1447" s="835"/>
      <c r="D1447" s="10" t="str">
        <f>'Obrazac kalkulacije'!$D$6</f>
        <v>Jed.
mjere</v>
      </c>
      <c r="E1447" s="10" t="str">
        <f>'Obrazac kalkulacije'!$E$6</f>
        <v>Normativ</v>
      </c>
      <c r="F1447" s="10" t="str">
        <f>'Obrazac kalkulacije'!$F$6</f>
        <v>Jed.
cijena</v>
      </c>
      <c r="G1447" s="10" t="str">
        <f>'Obrazac kalkulacije'!$G$6</f>
        <v>Iznos</v>
      </c>
      <c r="H1447" s="622">
        <v>200</v>
      </c>
      <c r="I1447" s="10"/>
      <c r="J1447" s="835" t="e">
        <f>'Obrazac kalkulacije'!$B$6:$C$6</f>
        <v>#VALUE!</v>
      </c>
      <c r="K1447" s="835"/>
      <c r="L1447" s="10" t="str">
        <f>'Obrazac kalkulacije'!$D$6</f>
        <v>Jed.
mjere</v>
      </c>
      <c r="M1447" s="10" t="str">
        <f>'Obrazac kalkulacije'!$E$6</f>
        <v>Normativ</v>
      </c>
      <c r="N1447" s="10" t="str">
        <f>'Obrazac kalkulacije'!$F$6</f>
        <v>Jed.
cijena</v>
      </c>
      <c r="O1447" s="10" t="str">
        <f>'Obrazac kalkulacije'!$G$6</f>
        <v>Iznos</v>
      </c>
    </row>
    <row r="1448" spans="1:15" ht="4.5" customHeight="1" thickTop="1">
      <c r="B1448" s="42"/>
      <c r="C1448" s="1"/>
      <c r="D1448" s="11"/>
      <c r="E1448" s="13"/>
      <c r="F1448" s="258"/>
      <c r="G1448" s="15"/>
      <c r="H1448" s="3"/>
      <c r="J1448" s="42"/>
      <c r="K1448" s="1"/>
      <c r="L1448" s="11"/>
      <c r="M1448" s="13"/>
      <c r="N1448" s="258"/>
      <c r="O1448" s="15"/>
    </row>
    <row r="1449" spans="1:15" ht="25.15" customHeight="1">
      <c r="A1449" s="16"/>
      <c r="B1449" s="837" t="str">
        <f>'Obrazac kalkulacije'!$B$8</f>
        <v>Radna snaga:</v>
      </c>
      <c r="C1449" s="837"/>
      <c r="D1449" s="16"/>
      <c r="E1449" s="16"/>
      <c r="F1449" s="44"/>
      <c r="G1449" s="18">
        <f>SUM(G1450:G1450)</f>
        <v>12.6036</v>
      </c>
      <c r="H1449" s="3"/>
      <c r="I1449" s="16"/>
      <c r="J1449" s="837" t="str">
        <f>'Obrazac kalkulacije'!$B$8</f>
        <v>Radna snaga:</v>
      </c>
      <c r="K1449" s="837"/>
      <c r="L1449" s="16"/>
      <c r="M1449" s="16"/>
      <c r="N1449" s="44"/>
      <c r="O1449" s="18">
        <f>SUM(O1450:O1450)</f>
        <v>14.00396499</v>
      </c>
    </row>
    <row r="1450" spans="1:15" ht="25.15" customHeight="1">
      <c r="A1450" s="32"/>
      <c r="B1450" s="854" t="s">
        <v>57</v>
      </c>
      <c r="C1450" s="854"/>
      <c r="D1450" s="33" t="s">
        <v>51</v>
      </c>
      <c r="E1450" s="34">
        <f>H1450/H1447</f>
        <v>0.12</v>
      </c>
      <c r="F1450" s="238">
        <f>SUMIF('Cjenik RS'!$C$11:$C$26,$B1450,'Cjenik RS'!$D$11:$D$90)</f>
        <v>105.03</v>
      </c>
      <c r="G1450" s="35">
        <f>+F1450*E1450</f>
        <v>12.6036</v>
      </c>
      <c r="H1450" s="560">
        <v>24</v>
      </c>
      <c r="I1450" s="32"/>
      <c r="J1450" s="854" t="s">
        <v>57</v>
      </c>
      <c r="K1450" s="854"/>
      <c r="L1450" s="33" t="s">
        <v>51</v>
      </c>
      <c r="M1450" s="34">
        <v>0.13333300000000001</v>
      </c>
      <c r="N1450" s="44">
        <f>SUMIF('Cjenik RS'!$C$11:$C$26,J1450,'Cjenik RS'!$D$11:$D$90)</f>
        <v>105.03</v>
      </c>
      <c r="O1450" s="35">
        <f>+N1450*M1450</f>
        <v>14.00396499</v>
      </c>
    </row>
    <row r="1451" spans="1:15" ht="25.15" customHeight="1">
      <c r="A1451" s="16"/>
      <c r="B1451" s="837" t="str">
        <f>'Obrazac kalkulacije'!$B$11</f>
        <v>Vozila, strojevi i oprema:</v>
      </c>
      <c r="C1451" s="837"/>
      <c r="D1451" s="16"/>
      <c r="E1451" s="16"/>
      <c r="F1451" s="238">
        <f>'Obrazac kalkulacije'!$F$11</f>
        <v>0</v>
      </c>
      <c r="G1451" s="18">
        <f>SUM(G1452:G1453)</f>
        <v>11.688750000000001</v>
      </c>
      <c r="I1451" s="16"/>
      <c r="J1451" s="837" t="str">
        <f>'Obrazac kalkulacije'!$B$11</f>
        <v>Vozila, strojevi i oprema:</v>
      </c>
      <c r="K1451" s="837"/>
      <c r="L1451" s="16"/>
      <c r="M1451" s="16"/>
      <c r="N1451" s="238">
        <f>'Obrazac kalkulacije'!$F$11</f>
        <v>0</v>
      </c>
      <c r="O1451" s="18">
        <f>SUM(O1452:O1453)</f>
        <v>8.2744416699999999</v>
      </c>
    </row>
    <row r="1452" spans="1:15" ht="25.15" customHeight="1">
      <c r="A1452" s="51"/>
      <c r="B1452" s="863" t="s">
        <v>520</v>
      </c>
      <c r="C1452" s="863"/>
      <c r="D1452" s="52" t="s">
        <v>51</v>
      </c>
      <c r="E1452" s="53">
        <f>H1452/H1447</f>
        <v>2.5000000000000001E-2</v>
      </c>
      <c r="F1452" s="260">
        <f>SUMIF('Cjenik VSO'!$B$9:$B$85,$B1452,'Cjenik VSO'!$C$9:$C$85)</f>
        <v>180.19</v>
      </c>
      <c r="G1452" s="55">
        <f>E1452*F1452</f>
        <v>4.5047500000000005</v>
      </c>
      <c r="H1452" s="560">
        <v>5</v>
      </c>
      <c r="I1452" s="51"/>
      <c r="J1452" s="863" t="s">
        <v>520</v>
      </c>
      <c r="K1452" s="863"/>
      <c r="L1452" s="52" t="s">
        <v>51</v>
      </c>
      <c r="M1452" s="53">
        <v>3.3333000000000002E-2</v>
      </c>
      <c r="N1452" s="260">
        <f>SUMIF('Cjenik VSO'!$B$9:$B$85,$B1452,'Cjenik VSO'!$C$9:$C$85)</f>
        <v>180.19</v>
      </c>
      <c r="O1452" s="55">
        <f>M1452*N1452</f>
        <v>6.0062732700000003</v>
      </c>
    </row>
    <row r="1453" spans="1:15" ht="25.15" customHeight="1">
      <c r="A1453" s="61"/>
      <c r="B1453" s="864" t="s">
        <v>69</v>
      </c>
      <c r="C1453" s="864"/>
      <c r="D1453" s="62" t="s">
        <v>51</v>
      </c>
      <c r="E1453" s="63">
        <f>H1453/H1447</f>
        <v>0.04</v>
      </c>
      <c r="F1453" s="261">
        <f>SUMIF('Cjenik VSO'!$B$9:$B$85,$B1453,'Cjenik VSO'!$C$9:$C$85)</f>
        <v>179.6</v>
      </c>
      <c r="G1453" s="65">
        <f>E1453*F1453</f>
        <v>7.1840000000000002</v>
      </c>
      <c r="H1453" s="560">
        <v>8</v>
      </c>
      <c r="I1453" s="61"/>
      <c r="J1453" s="864" t="s">
        <v>69</v>
      </c>
      <c r="K1453" s="864"/>
      <c r="L1453" s="62" t="s">
        <v>51</v>
      </c>
      <c r="M1453" s="63">
        <v>1.2629E-2</v>
      </c>
      <c r="N1453" s="261">
        <f>SUMIF('Cjenik VSO'!$B$9:$B$85,$B1453,'Cjenik VSO'!$C$9:$C$85)</f>
        <v>179.6</v>
      </c>
      <c r="O1453" s="65">
        <f>M1453*N1453</f>
        <v>2.2681684</v>
      </c>
    </row>
    <row r="1454" spans="1:15" ht="25.15" customHeight="1">
      <c r="A1454" s="16"/>
      <c r="B1454" s="837" t="str">
        <f>'Obrazac kalkulacije'!$B$15</f>
        <v>Materijali:</v>
      </c>
      <c r="C1454" s="837"/>
      <c r="D1454" s="16"/>
      <c r="E1454" s="16"/>
      <c r="F1454" s="238"/>
      <c r="G1454" s="18">
        <f>SUM(G1455:G1457)</f>
        <v>0</v>
      </c>
      <c r="I1454" s="16"/>
      <c r="J1454" s="837" t="str">
        <f>'Obrazac kalkulacije'!$B$15</f>
        <v>Materijali:</v>
      </c>
      <c r="K1454" s="837"/>
      <c r="L1454" s="16"/>
      <c r="M1454" s="16"/>
      <c r="N1454" s="238"/>
      <c r="O1454" s="18">
        <f>SUM(O1455:O1457)</f>
        <v>0</v>
      </c>
    </row>
    <row r="1455" spans="1:15" ht="25.15" customHeight="1">
      <c r="A1455" s="51"/>
      <c r="B1455" s="863">
        <f>'Cjenik M'!$B$72</f>
        <v>0</v>
      </c>
      <c r="C1455" s="863"/>
      <c r="D1455" s="52">
        <f>'Cjenik M'!$C$72</f>
        <v>0</v>
      </c>
      <c r="E1455" s="53">
        <v>0.62</v>
      </c>
      <c r="F1455" s="260">
        <f>'Cjenik M'!$D$72</f>
        <v>0</v>
      </c>
      <c r="G1455" s="55">
        <f>E1455*F1455</f>
        <v>0</v>
      </c>
      <c r="I1455" s="51"/>
      <c r="J1455" s="863">
        <f>'Cjenik M'!$B$72</f>
        <v>0</v>
      </c>
      <c r="K1455" s="863"/>
      <c r="L1455" s="52">
        <f>'Cjenik M'!$C$72</f>
        <v>0</v>
      </c>
      <c r="M1455" s="53">
        <v>0.62</v>
      </c>
      <c r="N1455" s="260">
        <f>'Cjenik M'!$D$72</f>
        <v>0</v>
      </c>
      <c r="O1455" s="55">
        <f>M1455*N1455</f>
        <v>0</v>
      </c>
    </row>
    <row r="1456" spans="1:15" ht="25.15" customHeight="1">
      <c r="A1456" s="56"/>
      <c r="B1456" s="834">
        <f>'Cjenik M'!$B$102</f>
        <v>0</v>
      </c>
      <c r="C1456" s="834"/>
      <c r="D1456" s="57">
        <f>'Cjenik M'!$C$102</f>
        <v>0</v>
      </c>
      <c r="E1456" s="58">
        <v>0.32500000000000001</v>
      </c>
      <c r="F1456" s="263">
        <f>'Cjenik M'!$D$102</f>
        <v>0</v>
      </c>
      <c r="G1456" s="60">
        <f>E1456*F1456</f>
        <v>0</v>
      </c>
      <c r="I1456" s="56"/>
      <c r="J1456" s="834">
        <f>'Cjenik M'!$B$102</f>
        <v>0</v>
      </c>
      <c r="K1456" s="834"/>
      <c r="L1456" s="57">
        <f>'Cjenik M'!$C$102</f>
        <v>0</v>
      </c>
      <c r="M1456" s="58">
        <v>0.32500000000000001</v>
      </c>
      <c r="N1456" s="263">
        <f>'Cjenik M'!$D$102</f>
        <v>0</v>
      </c>
      <c r="O1456" s="60">
        <f>M1456*N1456</f>
        <v>0</v>
      </c>
    </row>
    <row r="1457" spans="1:15" ht="25.15" customHeight="1" thickBot="1">
      <c r="A1457" s="66"/>
      <c r="B1457" s="834">
        <f>'Cjenik M'!$B$74</f>
        <v>0</v>
      </c>
      <c r="C1457" s="834"/>
      <c r="D1457" s="57">
        <f>'Cjenik M'!$C$74</f>
        <v>0</v>
      </c>
      <c r="E1457" s="58">
        <v>7.1926000000000004E-2</v>
      </c>
      <c r="F1457" s="263">
        <f>'Cjenik M'!$D$74</f>
        <v>0</v>
      </c>
      <c r="G1457" s="60">
        <f>E1457*F1457</f>
        <v>0</v>
      </c>
      <c r="I1457" s="66"/>
      <c r="J1457" s="834">
        <f>'Cjenik M'!$B$74</f>
        <v>0</v>
      </c>
      <c r="K1457" s="834"/>
      <c r="L1457" s="57">
        <f>'Cjenik M'!$C$74</f>
        <v>0</v>
      </c>
      <c r="M1457" s="58">
        <v>7.1926000000000004E-2</v>
      </c>
      <c r="N1457" s="263">
        <f>'Cjenik M'!$D$74</f>
        <v>0</v>
      </c>
      <c r="O1457" s="60">
        <f>M1457*N1457</f>
        <v>0</v>
      </c>
    </row>
    <row r="1458" spans="1:15" ht="25.15" customHeight="1" thickTop="1" thickBot="1">
      <c r="B1458" s="47"/>
      <c r="C1458" s="24"/>
      <c r="D1458" s="25"/>
      <c r="E1458" s="850" t="str">
        <f>'Obrazac kalkulacije'!$E$18</f>
        <v>Ukupno (kn):</v>
      </c>
      <c r="F1458" s="850"/>
      <c r="G1458" s="26">
        <f>ROUND(SUM(G1449+G1451+G1454),2)</f>
        <v>24.29</v>
      </c>
      <c r="H1458" s="269" t="e">
        <f>SUMIF(#REF!,$B1445,#REF!)</f>
        <v>#REF!</v>
      </c>
      <c r="J1458" s="47"/>
      <c r="K1458" s="24"/>
      <c r="L1458" s="25"/>
      <c r="M1458" s="850" t="str">
        <f>'Obrazac kalkulacije'!$E$18</f>
        <v>Ukupno (kn):</v>
      </c>
      <c r="N1458" s="850"/>
      <c r="O1458" s="26">
        <f>ROUND(SUM(O1449+O1451+O1454),2)</f>
        <v>22.28</v>
      </c>
    </row>
    <row r="1459" spans="1:15" ht="25.15" customHeight="1" thickTop="1" thickBot="1">
      <c r="E1459" s="27" t="str">
        <f>'Obrazac kalkulacije'!$E$19</f>
        <v>PDV:</v>
      </c>
      <c r="F1459" s="259">
        <f>'Obrazac kalkulacije'!$F$19</f>
        <v>0.25</v>
      </c>
      <c r="G1459" s="29">
        <f>G1458*F1459</f>
        <v>6.0724999999999998</v>
      </c>
      <c r="H1459" s="270" t="e">
        <f>H1458-G1458</f>
        <v>#REF!</v>
      </c>
      <c r="M1459" s="27" t="str">
        <f>'Obrazac kalkulacije'!$E$19</f>
        <v>PDV:</v>
      </c>
      <c r="N1459" s="259">
        <f>'Obrazac kalkulacije'!$F$19</f>
        <v>0.25</v>
      </c>
      <c r="O1459" s="29">
        <f>O1458*N1459</f>
        <v>5.57</v>
      </c>
    </row>
    <row r="1460" spans="1:15" ht="25.15" customHeight="1" thickTop="1" thickBot="1">
      <c r="E1460" s="840" t="str">
        <f>'Obrazac kalkulacije'!$E$20</f>
        <v>Sveukupno (kn):</v>
      </c>
      <c r="F1460" s="840"/>
      <c r="G1460" s="29">
        <f>ROUND(SUM(G1458:G1459),2)</f>
        <v>30.36</v>
      </c>
      <c r="H1460" s="271" t="e">
        <f>G1452+H1459</f>
        <v>#REF!</v>
      </c>
      <c r="M1460" s="840" t="str">
        <f>'Obrazac kalkulacije'!$E$20</f>
        <v>Sveukupno (kn):</v>
      </c>
      <c r="N1460" s="840"/>
      <c r="O1460" s="29">
        <f>ROUND(SUM(O1458:O1459),2)</f>
        <v>27.85</v>
      </c>
    </row>
    <row r="1461" spans="1:15" ht="15" customHeight="1" thickTop="1"/>
    <row r="1462" spans="1:15" ht="15" customHeight="1"/>
    <row r="1463" spans="1:15" ht="15" customHeight="1"/>
    <row r="1464" spans="1:15" ht="15" customHeight="1">
      <c r="C1464" s="3" t="str">
        <f>'Obrazac kalkulacije'!$C$24</f>
        <v>IZVODITELJ:</v>
      </c>
      <c r="F1464" s="841" t="str">
        <f>'Obrazac kalkulacije'!$F$24</f>
        <v>NARUČITELJ:</v>
      </c>
      <c r="G1464" s="841"/>
      <c r="K1464" s="3" t="str">
        <f>'Obrazac kalkulacije'!$C$24</f>
        <v>IZVODITELJ:</v>
      </c>
      <c r="N1464" s="841" t="str">
        <f>'Obrazac kalkulacije'!$F$24</f>
        <v>NARUČITELJ:</v>
      </c>
      <c r="O1464" s="841"/>
    </row>
    <row r="1465" spans="1:15" ht="25.15" customHeight="1">
      <c r="C1465" s="3" t="str">
        <f>'Obrazac kalkulacije'!$C$25</f>
        <v>__________________</v>
      </c>
      <c r="F1465" s="841" t="str">
        <f>'Obrazac kalkulacije'!$F$25</f>
        <v>___________________</v>
      </c>
      <c r="G1465" s="841"/>
      <c r="K1465" s="3" t="str">
        <f>'Obrazac kalkulacije'!$C$25</f>
        <v>__________________</v>
      </c>
      <c r="N1465" s="841" t="str">
        <f>'Obrazac kalkulacije'!$F$25</f>
        <v>___________________</v>
      </c>
      <c r="O1465" s="841"/>
    </row>
    <row r="1466" spans="1:15" ht="15" customHeight="1">
      <c r="C1466" s="3"/>
      <c r="G1466" s="30"/>
      <c r="K1466" s="3"/>
      <c r="O1466" s="30"/>
    </row>
    <row r="1467" spans="1:15" ht="15" customHeight="1">
      <c r="F1467" s="841"/>
      <c r="G1467" s="841"/>
      <c r="N1467" s="841"/>
      <c r="O1467" s="841"/>
    </row>
    <row r="1468" spans="1:15" ht="15" customHeight="1">
      <c r="A1468" s="144"/>
      <c r="B1468" s="145" t="s">
        <v>39</v>
      </c>
      <c r="C1468" s="836" t="s">
        <v>360</v>
      </c>
      <c r="D1468" s="836"/>
      <c r="E1468" s="836"/>
      <c r="F1468" s="836"/>
      <c r="G1468" s="836"/>
      <c r="I1468" s="144"/>
      <c r="J1468" s="145" t="s">
        <v>39</v>
      </c>
      <c r="K1468" s="836" t="s">
        <v>360</v>
      </c>
      <c r="L1468" s="836"/>
      <c r="M1468" s="836"/>
      <c r="N1468" s="836"/>
      <c r="O1468" s="836"/>
    </row>
    <row r="1469" spans="1:15" ht="15" customHeight="1">
      <c r="A1469" s="38"/>
      <c r="B1469" s="39" t="s">
        <v>46</v>
      </c>
      <c r="C1469" s="860" t="s">
        <v>470</v>
      </c>
      <c r="D1469" s="860"/>
      <c r="E1469" s="860"/>
      <c r="F1469" s="860"/>
      <c r="G1469" s="860"/>
      <c r="I1469" s="38"/>
      <c r="J1469" s="39" t="s">
        <v>46</v>
      </c>
      <c r="K1469" s="860" t="s">
        <v>470</v>
      </c>
      <c r="L1469" s="860"/>
      <c r="M1469" s="860"/>
      <c r="N1469" s="860"/>
      <c r="O1469" s="860"/>
    </row>
    <row r="1470" spans="1:15" ht="15" customHeight="1">
      <c r="A1470" s="48"/>
      <c r="B1470" s="49" t="s">
        <v>531</v>
      </c>
      <c r="C1470" s="883" t="s">
        <v>532</v>
      </c>
      <c r="D1470" s="883"/>
      <c r="E1470" s="883"/>
      <c r="F1470" s="883"/>
      <c r="G1470" s="883"/>
      <c r="I1470" s="48"/>
      <c r="J1470" s="49" t="s">
        <v>531</v>
      </c>
      <c r="K1470" s="883" t="s">
        <v>532</v>
      </c>
      <c r="L1470" s="883"/>
      <c r="M1470" s="883"/>
      <c r="N1470" s="883"/>
      <c r="O1470" s="883"/>
    </row>
    <row r="1471" spans="1:15" ht="150" customHeight="1">
      <c r="A1471" s="40"/>
      <c r="B1471" s="556" t="s">
        <v>535</v>
      </c>
      <c r="C1471" s="852" t="s">
        <v>536</v>
      </c>
      <c r="D1471" s="852"/>
      <c r="E1471" s="852"/>
      <c r="F1471" s="852"/>
      <c r="G1471" s="852"/>
      <c r="I1471" s="40"/>
      <c r="J1471" s="41" t="s">
        <v>535</v>
      </c>
      <c r="K1471" s="869" t="s">
        <v>536</v>
      </c>
      <c r="L1471" s="869"/>
      <c r="M1471" s="869"/>
      <c r="N1471" s="869"/>
      <c r="O1471" s="869"/>
    </row>
    <row r="1472" spans="1:15" ht="15" customHeight="1" thickBot="1"/>
    <row r="1473" spans="1:15" ht="30" customHeight="1" thickTop="1" thickBot="1">
      <c r="A1473" s="10"/>
      <c r="B1473" s="835" t="str">
        <f>'Obrazac kalkulacije'!$B$6:$C$6</f>
        <v>Opis</v>
      </c>
      <c r="C1473" s="835"/>
      <c r="D1473" s="10" t="str">
        <f>'Obrazac kalkulacije'!$D$6</f>
        <v>Jed.
mjere</v>
      </c>
      <c r="E1473" s="10" t="str">
        <f>'Obrazac kalkulacije'!$E$6</f>
        <v>Normativ</v>
      </c>
      <c r="F1473" s="10" t="str">
        <f>'Obrazac kalkulacije'!$F$6</f>
        <v>Jed.
cijena</v>
      </c>
      <c r="G1473" s="10" t="str">
        <f>'Obrazac kalkulacije'!$G$6</f>
        <v>Iznos</v>
      </c>
      <c r="H1473" s="622">
        <v>400</v>
      </c>
      <c r="I1473" s="10"/>
      <c r="J1473" s="835" t="e">
        <f>'Obrazac kalkulacije'!$B$6:$C$6</f>
        <v>#VALUE!</v>
      </c>
      <c r="K1473" s="835"/>
      <c r="L1473" s="10" t="str">
        <f>'Obrazac kalkulacije'!$D$6</f>
        <v>Jed.
mjere</v>
      </c>
      <c r="M1473" s="10" t="str">
        <f>'Obrazac kalkulacije'!$E$6</f>
        <v>Normativ</v>
      </c>
      <c r="N1473" s="10" t="str">
        <f>'Obrazac kalkulacije'!$F$6</f>
        <v>Jed.
cijena</v>
      </c>
      <c r="O1473" s="10" t="str">
        <f>'Obrazac kalkulacije'!$G$6</f>
        <v>Iznos</v>
      </c>
    </row>
    <row r="1474" spans="1:15" ht="4.5" customHeight="1" thickTop="1">
      <c r="B1474" s="42"/>
      <c r="C1474" s="1"/>
      <c r="D1474" s="11"/>
      <c r="E1474" s="13"/>
      <c r="F1474" s="258"/>
      <c r="G1474" s="15"/>
      <c r="H1474" s="3"/>
      <c r="J1474" s="42"/>
      <c r="K1474" s="1"/>
      <c r="L1474" s="11"/>
      <c r="M1474" s="13"/>
      <c r="N1474" s="258"/>
      <c r="O1474" s="15"/>
    </row>
    <row r="1475" spans="1:15" ht="25.15" customHeight="1">
      <c r="A1475" s="16"/>
      <c r="B1475" s="837" t="str">
        <f>'Obrazac kalkulacije'!$B$8</f>
        <v>Radna snaga:</v>
      </c>
      <c r="C1475" s="837"/>
      <c r="D1475" s="16"/>
      <c r="E1475" s="16"/>
      <c r="F1475" s="44"/>
      <c r="G1475" s="18">
        <f>SUM(G1476:G1476)</f>
        <v>6.3018000000000001</v>
      </c>
      <c r="H1475" s="3"/>
      <c r="I1475" s="16"/>
      <c r="J1475" s="837" t="str">
        <f>'Obrazac kalkulacije'!$B$8</f>
        <v>Radna snaga:</v>
      </c>
      <c r="K1475" s="837"/>
      <c r="L1475" s="16"/>
      <c r="M1475" s="16"/>
      <c r="N1475" s="44"/>
      <c r="O1475" s="18">
        <f>SUM(O1476:O1476)</f>
        <v>6.0017292900000001</v>
      </c>
    </row>
    <row r="1476" spans="1:15" ht="25.15" customHeight="1">
      <c r="A1476" s="32"/>
      <c r="B1476" s="854" t="s">
        <v>57</v>
      </c>
      <c r="C1476" s="854"/>
      <c r="D1476" s="33" t="s">
        <v>51</v>
      </c>
      <c r="E1476" s="34">
        <f>H1476/H1473</f>
        <v>0.06</v>
      </c>
      <c r="F1476" s="238">
        <f>SUMIF('Cjenik RS'!$C$11:$C$26,$B1476,'Cjenik RS'!$D$11:$D$90)</f>
        <v>105.03</v>
      </c>
      <c r="G1476" s="35">
        <f>+F1476*E1476</f>
        <v>6.3018000000000001</v>
      </c>
      <c r="H1476" s="560">
        <v>24</v>
      </c>
      <c r="I1476" s="32"/>
      <c r="J1476" s="854" t="s">
        <v>57</v>
      </c>
      <c r="K1476" s="854"/>
      <c r="L1476" s="33" t="s">
        <v>51</v>
      </c>
      <c r="M1476" s="34">
        <v>5.7142999999999999E-2</v>
      </c>
      <c r="N1476" s="44">
        <f>SUMIF('Cjenik RS'!$C$11:$C$26,J1476,'Cjenik RS'!$D$11:$D$90)</f>
        <v>105.03</v>
      </c>
      <c r="O1476" s="35">
        <f>+N1476*M1476</f>
        <v>6.0017292900000001</v>
      </c>
    </row>
    <row r="1477" spans="1:15" ht="25.15" customHeight="1">
      <c r="A1477" s="16"/>
      <c r="B1477" s="837" t="str">
        <f>'Obrazac kalkulacije'!$B$11</f>
        <v>Vozila, strojevi i oprema:</v>
      </c>
      <c r="C1477" s="837"/>
      <c r="D1477" s="16"/>
      <c r="E1477" s="16"/>
      <c r="F1477" s="238">
        <f>'Obrazac kalkulacije'!$F$11</f>
        <v>0</v>
      </c>
      <c r="G1477" s="18">
        <f>SUM(G1478:G1479)</f>
        <v>5.8443750000000003</v>
      </c>
      <c r="I1477" s="16"/>
      <c r="J1477" s="837" t="str">
        <f>'Obrazac kalkulacije'!$B$11</f>
        <v>Vozila, strojevi i oprema:</v>
      </c>
      <c r="K1477" s="837"/>
      <c r="L1477" s="16"/>
      <c r="M1477" s="16"/>
      <c r="N1477" s="238">
        <f>'Obrazac kalkulacije'!$F$11</f>
        <v>0</v>
      </c>
      <c r="O1477" s="18">
        <f>SUM(O1478:O1479)</f>
        <v>4.3078731399999999</v>
      </c>
    </row>
    <row r="1478" spans="1:15" ht="25.15" customHeight="1">
      <c r="A1478" s="51"/>
      <c r="B1478" s="863" t="s">
        <v>520</v>
      </c>
      <c r="C1478" s="863"/>
      <c r="D1478" s="52" t="s">
        <v>51</v>
      </c>
      <c r="E1478" s="53">
        <f>H1478/H1473</f>
        <v>1.2500000000000001E-2</v>
      </c>
      <c r="F1478" s="260">
        <f>SUMIF('Cjenik VSO'!$B$9:$B$85,$B1478,'Cjenik VSO'!$C$9:$C$85)</f>
        <v>180.19</v>
      </c>
      <c r="G1478" s="55">
        <f>E1478*F1478</f>
        <v>2.2523750000000002</v>
      </c>
      <c r="H1478" s="560">
        <v>5</v>
      </c>
      <c r="I1478" s="51"/>
      <c r="J1478" s="863" t="s">
        <v>520</v>
      </c>
      <c r="K1478" s="863"/>
      <c r="L1478" s="52" t="s">
        <v>51</v>
      </c>
      <c r="M1478" s="53">
        <v>1.4286E-2</v>
      </c>
      <c r="N1478" s="260">
        <f>SUMIF('Cjenik VSO'!$B$9:$B$85,$B1478,'Cjenik VSO'!$C$9:$C$85)</f>
        <v>180.19</v>
      </c>
      <c r="O1478" s="55">
        <f>M1478*N1478</f>
        <v>2.57419434</v>
      </c>
    </row>
    <row r="1479" spans="1:15" ht="25.15" customHeight="1">
      <c r="A1479" s="61"/>
      <c r="B1479" s="864" t="s">
        <v>69</v>
      </c>
      <c r="C1479" s="864"/>
      <c r="D1479" s="62" t="s">
        <v>51</v>
      </c>
      <c r="E1479" s="63">
        <f>H1479/H1473</f>
        <v>0.02</v>
      </c>
      <c r="F1479" s="261">
        <f>SUMIF('Cjenik VSO'!$B$9:$B$85,$B1479,'Cjenik VSO'!$C$9:$C$85)</f>
        <v>179.6</v>
      </c>
      <c r="G1479" s="65">
        <f>E1479*F1479</f>
        <v>3.5920000000000001</v>
      </c>
      <c r="H1479" s="560">
        <v>8</v>
      </c>
      <c r="I1479" s="61"/>
      <c r="J1479" s="864" t="s">
        <v>69</v>
      </c>
      <c r="K1479" s="864"/>
      <c r="L1479" s="62" t="s">
        <v>51</v>
      </c>
      <c r="M1479" s="63">
        <v>9.6530000000000001E-3</v>
      </c>
      <c r="N1479" s="261">
        <f>SUMIF('Cjenik VSO'!$B$9:$B$85,$B1479,'Cjenik VSO'!$C$9:$C$85)</f>
        <v>179.6</v>
      </c>
      <c r="O1479" s="65">
        <f>M1479*N1479</f>
        <v>1.7336788000000001</v>
      </c>
    </row>
    <row r="1480" spans="1:15" ht="25.15" customHeight="1">
      <c r="A1480" s="16"/>
      <c r="B1480" s="837" t="str">
        <f>'Obrazac kalkulacije'!$B$15</f>
        <v>Materijali:</v>
      </c>
      <c r="C1480" s="837"/>
      <c r="D1480" s="16"/>
      <c r="E1480" s="16"/>
      <c r="F1480" s="238"/>
      <c r="G1480" s="18">
        <f>SUM(G1481:G1483)</f>
        <v>0</v>
      </c>
      <c r="I1480" s="16"/>
      <c r="J1480" s="837" t="str">
        <f>'Obrazac kalkulacije'!$B$15</f>
        <v>Materijali:</v>
      </c>
      <c r="K1480" s="837"/>
      <c r="L1480" s="16"/>
      <c r="M1480" s="16"/>
      <c r="N1480" s="238"/>
      <c r="O1480" s="18">
        <f>SUM(O1481:O1483)</f>
        <v>0</v>
      </c>
    </row>
    <row r="1481" spans="1:15" ht="25.15" customHeight="1">
      <c r="A1481" s="51"/>
      <c r="B1481" s="863">
        <f>'Cjenik M'!$B$72</f>
        <v>0</v>
      </c>
      <c r="C1481" s="863"/>
      <c r="D1481" s="52">
        <f>'Cjenik M'!$C$72</f>
        <v>0</v>
      </c>
      <c r="E1481" s="53">
        <v>0.20646</v>
      </c>
      <c r="F1481" s="260">
        <f>'Cjenik M'!$D$72</f>
        <v>0</v>
      </c>
      <c r="G1481" s="55">
        <f>E1481*F1481</f>
        <v>0</v>
      </c>
      <c r="I1481" s="51"/>
      <c r="J1481" s="863">
        <f>'Cjenik M'!$B$72</f>
        <v>0</v>
      </c>
      <c r="K1481" s="863"/>
      <c r="L1481" s="52">
        <f>'Cjenik M'!$C$72</f>
        <v>0</v>
      </c>
      <c r="M1481" s="53">
        <v>0.20646</v>
      </c>
      <c r="N1481" s="260">
        <f>'Cjenik M'!$D$72</f>
        <v>0</v>
      </c>
      <c r="O1481" s="55">
        <f>M1481*N1481</f>
        <v>0</v>
      </c>
    </row>
    <row r="1482" spans="1:15" ht="25.15" customHeight="1">
      <c r="A1482" s="56"/>
      <c r="B1482" s="834">
        <f>'Cjenik M'!$B$101</f>
        <v>0</v>
      </c>
      <c r="C1482" s="834"/>
      <c r="D1482" s="57">
        <f>'Cjenik M'!$C$101</f>
        <v>0</v>
      </c>
      <c r="E1482" s="58">
        <v>0.10822500000000002</v>
      </c>
      <c r="F1482" s="263">
        <f>'Cjenik M'!$D$101</f>
        <v>0</v>
      </c>
      <c r="G1482" s="60">
        <f>E1482*F1482</f>
        <v>0</v>
      </c>
      <c r="I1482" s="56"/>
      <c r="J1482" s="834">
        <f>'Cjenik M'!$B$101</f>
        <v>0</v>
      </c>
      <c r="K1482" s="834"/>
      <c r="L1482" s="57">
        <f>'Cjenik M'!$C$101</f>
        <v>0</v>
      </c>
      <c r="M1482" s="58">
        <v>0.10822500000000002</v>
      </c>
      <c r="N1482" s="263">
        <f>'Cjenik M'!$D$101</f>
        <v>0</v>
      </c>
      <c r="O1482" s="60">
        <f>M1482*N1482</f>
        <v>0</v>
      </c>
    </row>
    <row r="1483" spans="1:15" ht="25.15" customHeight="1" thickBot="1">
      <c r="A1483" s="66"/>
      <c r="B1483" s="834">
        <f>'Cjenik M'!$B$74</f>
        <v>0</v>
      </c>
      <c r="C1483" s="834"/>
      <c r="D1483" s="57">
        <f>'Cjenik M'!$C$74</f>
        <v>0</v>
      </c>
      <c r="E1483" s="58">
        <v>2.3951E-2</v>
      </c>
      <c r="F1483" s="263">
        <f>'Cjenik M'!$D$74</f>
        <v>0</v>
      </c>
      <c r="G1483" s="60">
        <f>E1483*F1483</f>
        <v>0</v>
      </c>
      <c r="I1483" s="66"/>
      <c r="J1483" s="834">
        <f>'Cjenik M'!$B$74</f>
        <v>0</v>
      </c>
      <c r="K1483" s="834"/>
      <c r="L1483" s="57">
        <f>'Cjenik M'!$C$74</f>
        <v>0</v>
      </c>
      <c r="M1483" s="58">
        <v>2.3951E-2</v>
      </c>
      <c r="N1483" s="263">
        <f>'Cjenik M'!$D$74</f>
        <v>0</v>
      </c>
      <c r="O1483" s="60">
        <f>M1483*N1483</f>
        <v>0</v>
      </c>
    </row>
    <row r="1484" spans="1:15" ht="25.15" customHeight="1" thickTop="1" thickBot="1">
      <c r="B1484" s="47"/>
      <c r="C1484" s="24"/>
      <c r="D1484" s="25"/>
      <c r="E1484" s="850" t="str">
        <f>'Obrazac kalkulacije'!$E$18</f>
        <v>Ukupno (kn):</v>
      </c>
      <c r="F1484" s="850"/>
      <c r="G1484" s="26">
        <f>ROUND(SUM(G1475+G1477+G1480),2)</f>
        <v>12.15</v>
      </c>
      <c r="H1484" s="269" t="e">
        <f>SUMIF(#REF!,$B1471,#REF!)</f>
        <v>#REF!</v>
      </c>
      <c r="J1484" s="47"/>
      <c r="K1484" s="24"/>
      <c r="L1484" s="25"/>
      <c r="M1484" s="850" t="str">
        <f>'Obrazac kalkulacije'!$E$18</f>
        <v>Ukupno (kn):</v>
      </c>
      <c r="N1484" s="850"/>
      <c r="O1484" s="26">
        <f>ROUND(SUM(O1475+O1477+O1480),2)</f>
        <v>10.31</v>
      </c>
    </row>
    <row r="1485" spans="1:15" ht="25.15" customHeight="1" thickTop="1" thickBot="1">
      <c r="E1485" s="27" t="str">
        <f>'Obrazac kalkulacije'!$E$19</f>
        <v>PDV:</v>
      </c>
      <c r="F1485" s="259">
        <f>'Obrazac kalkulacije'!$F$19</f>
        <v>0.25</v>
      </c>
      <c r="G1485" s="29">
        <f>G1484*F1485</f>
        <v>3.0375000000000001</v>
      </c>
      <c r="H1485" s="270" t="e">
        <f>H1484-G1484</f>
        <v>#REF!</v>
      </c>
      <c r="M1485" s="27" t="str">
        <f>'Obrazac kalkulacije'!$E$19</f>
        <v>PDV:</v>
      </c>
      <c r="N1485" s="259">
        <f>'Obrazac kalkulacije'!$F$19</f>
        <v>0.25</v>
      </c>
      <c r="O1485" s="29">
        <f>O1484*N1485</f>
        <v>2.5775000000000001</v>
      </c>
    </row>
    <row r="1486" spans="1:15" ht="25.15" customHeight="1" thickTop="1" thickBot="1">
      <c r="E1486" s="840" t="str">
        <f>'Obrazac kalkulacije'!$E$20</f>
        <v>Sveukupno (kn):</v>
      </c>
      <c r="F1486" s="840"/>
      <c r="G1486" s="29">
        <f>ROUND(SUM(G1484:G1485),2)</f>
        <v>15.19</v>
      </c>
      <c r="H1486" s="271" t="e">
        <f>G1478+H1485</f>
        <v>#REF!</v>
      </c>
      <c r="M1486" s="840" t="str">
        <f>'Obrazac kalkulacije'!$E$20</f>
        <v>Sveukupno (kn):</v>
      </c>
      <c r="N1486" s="840"/>
      <c r="O1486" s="29">
        <f>ROUND(SUM(O1484:O1485),2)</f>
        <v>12.89</v>
      </c>
    </row>
    <row r="1487" spans="1:15" ht="15" customHeight="1" thickTop="1"/>
    <row r="1488" spans="1:15" ht="15" customHeight="1"/>
    <row r="1489" spans="1:15" ht="15" customHeight="1"/>
    <row r="1490" spans="1:15" ht="15" customHeight="1">
      <c r="C1490" s="3" t="str">
        <f>'Obrazac kalkulacije'!$C$24</f>
        <v>IZVODITELJ:</v>
      </c>
      <c r="F1490" s="841" t="str">
        <f>'Obrazac kalkulacije'!$F$24</f>
        <v>NARUČITELJ:</v>
      </c>
      <c r="G1490" s="841"/>
      <c r="K1490" s="3" t="str">
        <f>'Obrazac kalkulacije'!$C$24</f>
        <v>IZVODITELJ:</v>
      </c>
      <c r="N1490" s="841" t="str">
        <f>'Obrazac kalkulacije'!$F$24</f>
        <v>NARUČITELJ:</v>
      </c>
      <c r="O1490" s="841"/>
    </row>
    <row r="1491" spans="1:15" ht="25.15" customHeight="1">
      <c r="C1491" s="3" t="str">
        <f>'Obrazac kalkulacije'!$C$25</f>
        <v>__________________</v>
      </c>
      <c r="F1491" s="841" t="str">
        <f>'Obrazac kalkulacije'!$F$25</f>
        <v>___________________</v>
      </c>
      <c r="G1491" s="841"/>
      <c r="K1491" s="3" t="str">
        <f>'Obrazac kalkulacije'!$C$25</f>
        <v>__________________</v>
      </c>
      <c r="N1491" s="841" t="str">
        <f>'Obrazac kalkulacije'!$F$25</f>
        <v>___________________</v>
      </c>
      <c r="O1491" s="841"/>
    </row>
    <row r="1492" spans="1:15" ht="15" customHeight="1">
      <c r="C1492" s="3"/>
      <c r="G1492" s="30"/>
      <c r="K1492" s="3"/>
      <c r="O1492" s="30"/>
    </row>
    <row r="1493" spans="1:15" ht="15" customHeight="1">
      <c r="F1493" s="841"/>
      <c r="G1493" s="841"/>
      <c r="N1493" s="841"/>
      <c r="O1493" s="841"/>
    </row>
    <row r="1494" spans="1:15" ht="15" customHeight="1">
      <c r="A1494" s="144"/>
      <c r="B1494" s="145" t="s">
        <v>39</v>
      </c>
      <c r="C1494" s="836" t="s">
        <v>360</v>
      </c>
      <c r="D1494" s="836"/>
      <c r="E1494" s="836"/>
      <c r="F1494" s="836"/>
      <c r="G1494" s="836"/>
      <c r="I1494" s="144"/>
      <c r="J1494" s="145" t="s">
        <v>39</v>
      </c>
      <c r="K1494" s="836" t="s">
        <v>360</v>
      </c>
      <c r="L1494" s="836"/>
      <c r="M1494" s="836"/>
      <c r="N1494" s="836"/>
      <c r="O1494" s="836"/>
    </row>
    <row r="1495" spans="1:15" ht="15" customHeight="1">
      <c r="A1495" s="38"/>
      <c r="B1495" s="39" t="s">
        <v>46</v>
      </c>
      <c r="C1495" s="860" t="s">
        <v>470</v>
      </c>
      <c r="D1495" s="860"/>
      <c r="E1495" s="860"/>
      <c r="F1495" s="860"/>
      <c r="G1495" s="860"/>
      <c r="I1495" s="38"/>
      <c r="J1495" s="39" t="s">
        <v>46</v>
      </c>
      <c r="K1495" s="860" t="s">
        <v>470</v>
      </c>
      <c r="L1495" s="860"/>
      <c r="M1495" s="860"/>
      <c r="N1495" s="860"/>
      <c r="O1495" s="860"/>
    </row>
    <row r="1496" spans="1:15" ht="15" customHeight="1">
      <c r="A1496" s="48"/>
      <c r="B1496" s="49" t="s">
        <v>531</v>
      </c>
      <c r="C1496" s="883" t="s">
        <v>532</v>
      </c>
      <c r="D1496" s="883"/>
      <c r="E1496" s="883"/>
      <c r="F1496" s="883"/>
      <c r="G1496" s="883"/>
      <c r="I1496" s="48"/>
      <c r="J1496" s="49" t="s">
        <v>531</v>
      </c>
      <c r="K1496" s="883" t="s">
        <v>532</v>
      </c>
      <c r="L1496" s="883"/>
      <c r="M1496" s="883"/>
      <c r="N1496" s="883"/>
      <c r="O1496" s="883"/>
    </row>
    <row r="1497" spans="1:15" ht="150" customHeight="1">
      <c r="A1497" s="40"/>
      <c r="B1497" s="556" t="s">
        <v>537</v>
      </c>
      <c r="C1497" s="852" t="s">
        <v>538</v>
      </c>
      <c r="D1497" s="852"/>
      <c r="E1497" s="852"/>
      <c r="F1497" s="852"/>
      <c r="G1497" s="852"/>
      <c r="I1497" s="40"/>
      <c r="J1497" s="41" t="s">
        <v>537</v>
      </c>
      <c r="K1497" s="869" t="s">
        <v>538</v>
      </c>
      <c r="L1497" s="869"/>
      <c r="M1497" s="869"/>
      <c r="N1497" s="869"/>
      <c r="O1497" s="869"/>
    </row>
    <row r="1498" spans="1:15" ht="15" customHeight="1" thickBot="1"/>
    <row r="1499" spans="1:15" ht="30" customHeight="1" thickTop="1" thickBot="1">
      <c r="A1499" s="10"/>
      <c r="B1499" s="835" t="str">
        <f>'Obrazac kalkulacije'!$B$6:$C$6</f>
        <v>Opis</v>
      </c>
      <c r="C1499" s="835"/>
      <c r="D1499" s="10" t="str">
        <f>'Obrazac kalkulacije'!$D$6</f>
        <v>Jed.
mjere</v>
      </c>
      <c r="E1499" s="10" t="str">
        <f>'Obrazac kalkulacije'!$E$6</f>
        <v>Normativ</v>
      </c>
      <c r="F1499" s="10" t="str">
        <f>'Obrazac kalkulacije'!$F$6</f>
        <v>Jed.
cijena</v>
      </c>
      <c r="G1499" s="10" t="str">
        <f>'Obrazac kalkulacije'!$G$6</f>
        <v>Iznos</v>
      </c>
      <c r="H1499" s="622">
        <v>240</v>
      </c>
      <c r="I1499" s="10"/>
      <c r="J1499" s="835" t="e">
        <f>'Obrazac kalkulacije'!$B$6:$C$6</f>
        <v>#VALUE!</v>
      </c>
      <c r="K1499" s="835"/>
      <c r="L1499" s="10" t="str">
        <f>'Obrazac kalkulacije'!$D$6</f>
        <v>Jed.
mjere</v>
      </c>
      <c r="M1499" s="10" t="str">
        <f>'Obrazac kalkulacije'!$E$6</f>
        <v>Normativ</v>
      </c>
      <c r="N1499" s="10" t="str">
        <f>'Obrazac kalkulacije'!$F$6</f>
        <v>Jed.
cijena</v>
      </c>
      <c r="O1499" s="10" t="str">
        <f>'Obrazac kalkulacije'!$G$6</f>
        <v>Iznos</v>
      </c>
    </row>
    <row r="1500" spans="1:15" ht="4.5" customHeight="1" thickTop="1">
      <c r="B1500" s="42"/>
      <c r="C1500" s="1"/>
      <c r="D1500" s="11"/>
      <c r="E1500" s="13"/>
      <c r="F1500" s="258"/>
      <c r="G1500" s="15"/>
      <c r="H1500" s="3"/>
      <c r="J1500" s="42"/>
      <c r="K1500" s="1"/>
      <c r="L1500" s="11"/>
      <c r="M1500" s="13"/>
      <c r="N1500" s="258"/>
      <c r="O1500" s="15"/>
    </row>
    <row r="1501" spans="1:15" ht="25.15" customHeight="1">
      <c r="A1501" s="16"/>
      <c r="B1501" s="837" t="str">
        <f>'Obrazac kalkulacije'!$B$8</f>
        <v>Radna snaga:</v>
      </c>
      <c r="C1501" s="837"/>
      <c r="D1501" s="16"/>
      <c r="E1501" s="16"/>
      <c r="F1501" s="44"/>
      <c r="G1501" s="18">
        <f>SUM(G1502:G1502)</f>
        <v>10.503</v>
      </c>
      <c r="H1501" s="3"/>
      <c r="I1501" s="16"/>
      <c r="J1501" s="837" t="str">
        <f>'Obrazac kalkulacije'!$B$8</f>
        <v>Radna snaga:</v>
      </c>
      <c r="K1501" s="837"/>
      <c r="L1501" s="16"/>
      <c r="M1501" s="16"/>
      <c r="N1501" s="44"/>
      <c r="O1501" s="18">
        <f>SUM(O1502:O1502)</f>
        <v>14.00396499</v>
      </c>
    </row>
    <row r="1502" spans="1:15" ht="25.15" customHeight="1">
      <c r="A1502" s="32"/>
      <c r="B1502" s="854" t="s">
        <v>57</v>
      </c>
      <c r="C1502" s="854"/>
      <c r="D1502" s="33" t="s">
        <v>51</v>
      </c>
      <c r="E1502" s="34">
        <f>H1502/H1499</f>
        <v>0.1</v>
      </c>
      <c r="F1502" s="238">
        <f>SUMIF('Cjenik RS'!$C$11:$C$26,$B1502,'Cjenik RS'!$D$11:$D$90)</f>
        <v>105.03</v>
      </c>
      <c r="G1502" s="35">
        <f>+F1502*E1502</f>
        <v>10.503</v>
      </c>
      <c r="H1502" s="560">
        <v>24</v>
      </c>
      <c r="I1502" s="32"/>
      <c r="J1502" s="854" t="s">
        <v>57</v>
      </c>
      <c r="K1502" s="854"/>
      <c r="L1502" s="33" t="s">
        <v>51</v>
      </c>
      <c r="M1502" s="34">
        <v>0.13333300000000001</v>
      </c>
      <c r="N1502" s="44">
        <f>SUMIF('Cjenik RS'!$C$11:$C$26,J1502,'Cjenik RS'!$D$11:$D$90)</f>
        <v>105.03</v>
      </c>
      <c r="O1502" s="35">
        <f>+N1502*M1502</f>
        <v>14.00396499</v>
      </c>
    </row>
    <row r="1503" spans="1:15" ht="25.15" customHeight="1">
      <c r="A1503" s="16"/>
      <c r="B1503" s="837" t="str">
        <f>'Obrazac kalkulacije'!$B$11</f>
        <v>Vozila, strojevi i oprema:</v>
      </c>
      <c r="C1503" s="837"/>
      <c r="D1503" s="16"/>
      <c r="E1503" s="16"/>
      <c r="F1503" s="238">
        <f>'Obrazac kalkulacije'!$F$11</f>
        <v>0</v>
      </c>
      <c r="G1503" s="18">
        <f>SUM(G1504:G1505)</f>
        <v>9.7406249999999996</v>
      </c>
      <c r="I1503" s="16"/>
      <c r="J1503" s="837" t="str">
        <f>'Obrazac kalkulacije'!$B$11</f>
        <v>Vozila, strojevi i oprema:</v>
      </c>
      <c r="K1503" s="837"/>
      <c r="L1503" s="16"/>
      <c r="M1503" s="16"/>
      <c r="N1503" s="238">
        <f>'Obrazac kalkulacije'!$F$11</f>
        <v>0</v>
      </c>
      <c r="O1503" s="18">
        <f>SUM(O1504:O1505)</f>
        <v>9.7712280699999994</v>
      </c>
    </row>
    <row r="1504" spans="1:15" ht="25.15" customHeight="1">
      <c r="A1504" s="51"/>
      <c r="B1504" s="863" t="s">
        <v>520</v>
      </c>
      <c r="C1504" s="863"/>
      <c r="D1504" s="52" t="s">
        <v>51</v>
      </c>
      <c r="E1504" s="53">
        <f>H1504/H1499</f>
        <v>2.0833333333333332E-2</v>
      </c>
      <c r="F1504" s="260">
        <f>SUMIF('Cjenik VSO'!$B$9:$B$85,$B1504,'Cjenik VSO'!$C$9:$C$85)</f>
        <v>180.19</v>
      </c>
      <c r="G1504" s="55">
        <f>E1504*F1504</f>
        <v>3.7539583333333333</v>
      </c>
      <c r="H1504" s="560">
        <v>5</v>
      </c>
      <c r="I1504" s="51"/>
      <c r="J1504" s="863" t="s">
        <v>520</v>
      </c>
      <c r="K1504" s="863"/>
      <c r="L1504" s="52" t="s">
        <v>51</v>
      </c>
      <c r="M1504" s="53">
        <v>3.3333000000000002E-2</v>
      </c>
      <c r="N1504" s="260">
        <f>SUMIF('Cjenik VSO'!$B$9:$B$85,$B1504,'Cjenik VSO'!$C$9:$C$85)</f>
        <v>180.19</v>
      </c>
      <c r="O1504" s="55">
        <f>M1504*N1504</f>
        <v>6.0062732700000003</v>
      </c>
    </row>
    <row r="1505" spans="1:15" ht="25.15" customHeight="1">
      <c r="A1505" s="61"/>
      <c r="B1505" s="864" t="s">
        <v>69</v>
      </c>
      <c r="C1505" s="864"/>
      <c r="D1505" s="62" t="s">
        <v>51</v>
      </c>
      <c r="E1505" s="63">
        <f>H1505/H1499</f>
        <v>3.3333333333333333E-2</v>
      </c>
      <c r="F1505" s="261">
        <f>SUMIF('Cjenik VSO'!$B$9:$B$85,$B1505,'Cjenik VSO'!$C$9:$C$85)</f>
        <v>179.6</v>
      </c>
      <c r="G1505" s="65">
        <f>E1505*F1505</f>
        <v>5.9866666666666664</v>
      </c>
      <c r="H1505" s="560">
        <v>8</v>
      </c>
      <c r="I1505" s="61"/>
      <c r="J1505" s="864" t="s">
        <v>69</v>
      </c>
      <c r="K1505" s="864"/>
      <c r="L1505" s="62" t="s">
        <v>51</v>
      </c>
      <c r="M1505" s="63">
        <v>2.0962999999999999E-2</v>
      </c>
      <c r="N1505" s="261">
        <f>SUMIF('Cjenik VSO'!$B$9:$B$85,$B1505,'Cjenik VSO'!$C$9:$C$85)</f>
        <v>179.6</v>
      </c>
      <c r="O1505" s="65">
        <f>M1505*N1505</f>
        <v>3.7649547999999995</v>
      </c>
    </row>
    <row r="1506" spans="1:15" ht="25.15" customHeight="1">
      <c r="A1506" s="16"/>
      <c r="B1506" s="837" t="str">
        <f>'Obrazac kalkulacije'!$B$15</f>
        <v>Materijali:</v>
      </c>
      <c r="C1506" s="837"/>
      <c r="D1506" s="16"/>
      <c r="E1506" s="16"/>
      <c r="F1506" s="238"/>
      <c r="G1506" s="18">
        <f>SUM(G1507:G1509)</f>
        <v>0</v>
      </c>
      <c r="I1506" s="16"/>
      <c r="J1506" s="837" t="str">
        <f>'Obrazac kalkulacije'!$B$15</f>
        <v>Materijali:</v>
      </c>
      <c r="K1506" s="837"/>
      <c r="L1506" s="16"/>
      <c r="M1506" s="16"/>
      <c r="N1506" s="238"/>
      <c r="O1506" s="18">
        <f>SUM(O1507:O1509)</f>
        <v>0</v>
      </c>
    </row>
    <row r="1507" spans="1:15" ht="25.15" customHeight="1">
      <c r="A1507" s="51"/>
      <c r="B1507" s="863">
        <f>'Cjenik M'!$B$72</f>
        <v>0</v>
      </c>
      <c r="C1507" s="863"/>
      <c r="D1507" s="52">
        <f>'Cjenik M'!$C$72</f>
        <v>0</v>
      </c>
      <c r="E1507" s="53">
        <v>0.372</v>
      </c>
      <c r="F1507" s="260">
        <f>'Cjenik M'!$D$72</f>
        <v>0</v>
      </c>
      <c r="G1507" s="55">
        <f>E1507*F1507</f>
        <v>0</v>
      </c>
      <c r="I1507" s="51"/>
      <c r="J1507" s="863">
        <f>'Cjenik M'!$B$72</f>
        <v>0</v>
      </c>
      <c r="K1507" s="863"/>
      <c r="L1507" s="52">
        <f>'Cjenik M'!$C$72</f>
        <v>0</v>
      </c>
      <c r="M1507" s="53">
        <v>0.372</v>
      </c>
      <c r="N1507" s="260">
        <f>'Cjenik M'!$D$72</f>
        <v>0</v>
      </c>
      <c r="O1507" s="55">
        <f>M1507*N1507</f>
        <v>0</v>
      </c>
    </row>
    <row r="1508" spans="1:15" ht="25.15" customHeight="1">
      <c r="A1508" s="56"/>
      <c r="B1508" s="834">
        <f>'Cjenik M'!$B$102</f>
        <v>0</v>
      </c>
      <c r="C1508" s="834"/>
      <c r="D1508" s="57">
        <f>'Cjenik M'!$C$102</f>
        <v>0</v>
      </c>
      <c r="E1508" s="58">
        <v>0.19500000000000001</v>
      </c>
      <c r="F1508" s="263">
        <f>'Cjenik M'!$D$102</f>
        <v>0</v>
      </c>
      <c r="G1508" s="60">
        <f>E1508*F1508</f>
        <v>0</v>
      </c>
      <c r="I1508" s="56"/>
      <c r="J1508" s="834">
        <f>'Cjenik M'!$B$102</f>
        <v>0</v>
      </c>
      <c r="K1508" s="834"/>
      <c r="L1508" s="57">
        <f>'Cjenik M'!$C$102</f>
        <v>0</v>
      </c>
      <c r="M1508" s="58">
        <v>0.19500000000000001</v>
      </c>
      <c r="N1508" s="263">
        <f>'Cjenik M'!$D$102</f>
        <v>0</v>
      </c>
      <c r="O1508" s="60">
        <f>M1508*N1508</f>
        <v>0</v>
      </c>
    </row>
    <row r="1509" spans="1:15" ht="25.15" customHeight="1" thickBot="1">
      <c r="A1509" s="66"/>
      <c r="B1509" s="834">
        <f>'Cjenik M'!$B$74</f>
        <v>0</v>
      </c>
      <c r="C1509" s="834"/>
      <c r="D1509" s="57">
        <f>'Cjenik M'!$C$74</f>
        <v>0</v>
      </c>
      <c r="E1509" s="58">
        <v>4.3154999999999999E-2</v>
      </c>
      <c r="F1509" s="263">
        <f>'Cjenik M'!$D$74</f>
        <v>0</v>
      </c>
      <c r="G1509" s="60">
        <f>E1509*F1509</f>
        <v>0</v>
      </c>
      <c r="I1509" s="66"/>
      <c r="J1509" s="834">
        <f>'Cjenik M'!$B$74</f>
        <v>0</v>
      </c>
      <c r="K1509" s="834"/>
      <c r="L1509" s="57">
        <f>'Cjenik M'!$C$74</f>
        <v>0</v>
      </c>
      <c r="M1509" s="58">
        <v>4.3154999999999999E-2</v>
      </c>
      <c r="N1509" s="263">
        <f>'Cjenik M'!$D$74</f>
        <v>0</v>
      </c>
      <c r="O1509" s="60">
        <f>M1509*N1509</f>
        <v>0</v>
      </c>
    </row>
    <row r="1510" spans="1:15" ht="25.15" customHeight="1" thickTop="1" thickBot="1">
      <c r="B1510" s="47"/>
      <c r="C1510" s="24"/>
      <c r="D1510" s="25"/>
      <c r="E1510" s="850" t="str">
        <f>'Obrazac kalkulacije'!$E$18</f>
        <v>Ukupno (kn):</v>
      </c>
      <c r="F1510" s="850"/>
      <c r="G1510" s="26">
        <f>ROUND(SUM(G1501+G1503+G1506),2)</f>
        <v>20.239999999999998</v>
      </c>
      <c r="H1510" s="269" t="e">
        <f>SUMIF(#REF!,$B1497,#REF!)</f>
        <v>#REF!</v>
      </c>
      <c r="J1510" s="47"/>
      <c r="K1510" s="24"/>
      <c r="L1510" s="25"/>
      <c r="M1510" s="850" t="str">
        <f>'Obrazac kalkulacije'!$E$18</f>
        <v>Ukupno (kn):</v>
      </c>
      <c r="N1510" s="850"/>
      <c r="O1510" s="26">
        <f>ROUND(SUM(O1501+O1503+O1506),2)</f>
        <v>23.78</v>
      </c>
    </row>
    <row r="1511" spans="1:15" ht="25.15" customHeight="1" thickTop="1" thickBot="1">
      <c r="E1511" s="27" t="str">
        <f>'Obrazac kalkulacije'!$E$19</f>
        <v>PDV:</v>
      </c>
      <c r="F1511" s="259">
        <f>'Obrazac kalkulacije'!$F$19</f>
        <v>0.25</v>
      </c>
      <c r="G1511" s="29">
        <f>G1510*F1511</f>
        <v>5.0599999999999996</v>
      </c>
      <c r="H1511" s="270" t="e">
        <f>H1510-G1510</f>
        <v>#REF!</v>
      </c>
      <c r="M1511" s="27" t="str">
        <f>'Obrazac kalkulacije'!$E$19</f>
        <v>PDV:</v>
      </c>
      <c r="N1511" s="259">
        <f>'Obrazac kalkulacije'!$F$19</f>
        <v>0.25</v>
      </c>
      <c r="O1511" s="29">
        <f>O1510*N1511</f>
        <v>5.9450000000000003</v>
      </c>
    </row>
    <row r="1512" spans="1:15" ht="25.15" customHeight="1" thickTop="1" thickBot="1">
      <c r="E1512" s="840" t="str">
        <f>'Obrazac kalkulacije'!$E$20</f>
        <v>Sveukupno (kn):</v>
      </c>
      <c r="F1512" s="840"/>
      <c r="G1512" s="29">
        <f>ROUND(SUM(G1510:G1511),2)</f>
        <v>25.3</v>
      </c>
      <c r="H1512" s="271" t="e">
        <f>G1504+H1511</f>
        <v>#REF!</v>
      </c>
      <c r="M1512" s="840" t="str">
        <f>'Obrazac kalkulacije'!$E$20</f>
        <v>Sveukupno (kn):</v>
      </c>
      <c r="N1512" s="840"/>
      <c r="O1512" s="29">
        <f>ROUND(SUM(O1510:O1511),2)</f>
        <v>29.73</v>
      </c>
    </row>
    <row r="1513" spans="1:15" ht="15" customHeight="1" thickTop="1"/>
    <row r="1514" spans="1:15" ht="15" customHeight="1"/>
    <row r="1515" spans="1:15" ht="15" customHeight="1"/>
    <row r="1516" spans="1:15" ht="15" customHeight="1">
      <c r="C1516" s="3" t="str">
        <f>'Obrazac kalkulacije'!$C$24</f>
        <v>IZVODITELJ:</v>
      </c>
      <c r="F1516" s="841" t="str">
        <f>'Obrazac kalkulacije'!$F$24</f>
        <v>NARUČITELJ:</v>
      </c>
      <c r="G1516" s="841"/>
      <c r="K1516" s="3" t="str">
        <f>'Obrazac kalkulacije'!$C$24</f>
        <v>IZVODITELJ:</v>
      </c>
      <c r="N1516" s="841" t="str">
        <f>'Obrazac kalkulacije'!$F$24</f>
        <v>NARUČITELJ:</v>
      </c>
      <c r="O1516" s="841"/>
    </row>
    <row r="1517" spans="1:15" ht="25.15" customHeight="1">
      <c r="C1517" s="3" t="str">
        <f>'Obrazac kalkulacije'!$C$25</f>
        <v>__________________</v>
      </c>
      <c r="F1517" s="841" t="str">
        <f>'Obrazac kalkulacije'!$F$25</f>
        <v>___________________</v>
      </c>
      <c r="G1517" s="841"/>
      <c r="K1517" s="3" t="str">
        <f>'Obrazac kalkulacije'!$C$25</f>
        <v>__________________</v>
      </c>
      <c r="N1517" s="841" t="str">
        <f>'Obrazac kalkulacije'!$F$25</f>
        <v>___________________</v>
      </c>
      <c r="O1517" s="841"/>
    </row>
    <row r="1518" spans="1:15" ht="15" customHeight="1">
      <c r="C1518" s="3"/>
      <c r="G1518" s="30"/>
      <c r="K1518" s="3"/>
      <c r="O1518" s="30"/>
    </row>
    <row r="1519" spans="1:15" ht="15" customHeight="1">
      <c r="F1519" s="841"/>
      <c r="G1519" s="841"/>
      <c r="N1519" s="841"/>
      <c r="O1519" s="841"/>
    </row>
    <row r="1520" spans="1:15" ht="15" customHeight="1">
      <c r="A1520" s="144"/>
      <c r="B1520" s="145" t="s">
        <v>39</v>
      </c>
      <c r="C1520" s="836" t="s">
        <v>360</v>
      </c>
      <c r="D1520" s="836"/>
      <c r="E1520" s="836"/>
      <c r="F1520" s="836"/>
      <c r="G1520" s="836"/>
      <c r="I1520" s="144"/>
      <c r="J1520" s="145" t="s">
        <v>39</v>
      </c>
      <c r="K1520" s="836" t="s">
        <v>360</v>
      </c>
      <c r="L1520" s="836"/>
      <c r="M1520" s="836"/>
      <c r="N1520" s="836"/>
      <c r="O1520" s="836"/>
    </row>
    <row r="1521" spans="1:15" ht="15" customHeight="1">
      <c r="A1521" s="38"/>
      <c r="B1521" s="39" t="s">
        <v>46</v>
      </c>
      <c r="C1521" s="860" t="s">
        <v>470</v>
      </c>
      <c r="D1521" s="860"/>
      <c r="E1521" s="860"/>
      <c r="F1521" s="860"/>
      <c r="G1521" s="860"/>
      <c r="I1521" s="38"/>
      <c r="J1521" s="39" t="s">
        <v>46</v>
      </c>
      <c r="K1521" s="860" t="s">
        <v>470</v>
      </c>
      <c r="L1521" s="860"/>
      <c r="M1521" s="860"/>
      <c r="N1521" s="860"/>
      <c r="O1521" s="860"/>
    </row>
    <row r="1522" spans="1:15" ht="15" customHeight="1">
      <c r="A1522" s="48"/>
      <c r="B1522" s="49" t="s">
        <v>531</v>
      </c>
      <c r="C1522" s="883" t="s">
        <v>532</v>
      </c>
      <c r="D1522" s="883"/>
      <c r="E1522" s="883"/>
      <c r="F1522" s="883"/>
      <c r="G1522" s="883"/>
      <c r="I1522" s="48"/>
      <c r="J1522" s="49" t="s">
        <v>531</v>
      </c>
      <c r="K1522" s="883" t="s">
        <v>532</v>
      </c>
      <c r="L1522" s="883"/>
      <c r="M1522" s="883"/>
      <c r="N1522" s="883"/>
      <c r="O1522" s="883"/>
    </row>
    <row r="1523" spans="1:15" ht="150" customHeight="1">
      <c r="A1523" s="40"/>
      <c r="B1523" s="556" t="s">
        <v>539</v>
      </c>
      <c r="C1523" s="852" t="s">
        <v>540</v>
      </c>
      <c r="D1523" s="852"/>
      <c r="E1523" s="852"/>
      <c r="F1523" s="852"/>
      <c r="G1523" s="852"/>
      <c r="I1523" s="40"/>
      <c r="J1523" s="41" t="s">
        <v>539</v>
      </c>
      <c r="K1523" s="869" t="s">
        <v>540</v>
      </c>
      <c r="L1523" s="869"/>
      <c r="M1523" s="869"/>
      <c r="N1523" s="869"/>
      <c r="O1523" s="869"/>
    </row>
    <row r="1524" spans="1:15" ht="15" customHeight="1" thickBot="1"/>
    <row r="1525" spans="1:15" ht="30" customHeight="1" thickTop="1" thickBot="1">
      <c r="A1525" s="10"/>
      <c r="B1525" s="835" t="str">
        <f>'Obrazac kalkulacije'!$B$6:$C$6</f>
        <v>Opis</v>
      </c>
      <c r="C1525" s="835"/>
      <c r="D1525" s="10" t="str">
        <f>'Obrazac kalkulacije'!$D$6</f>
        <v>Jed.
mjere</v>
      </c>
      <c r="E1525" s="10" t="str">
        <f>'Obrazac kalkulacije'!$E$6</f>
        <v>Normativ</v>
      </c>
      <c r="F1525" s="10" t="str">
        <f>'Obrazac kalkulacije'!$F$6</f>
        <v>Jed.
cijena</v>
      </c>
      <c r="G1525" s="10" t="str">
        <f>'Obrazac kalkulacije'!$G$6</f>
        <v>Iznos</v>
      </c>
      <c r="H1525" s="622">
        <v>200</v>
      </c>
      <c r="I1525" s="10"/>
      <c r="J1525" s="835" t="e">
        <f>'Obrazac kalkulacije'!$B$6:$C$6</f>
        <v>#VALUE!</v>
      </c>
      <c r="K1525" s="835"/>
      <c r="L1525" s="10" t="str">
        <f>'Obrazac kalkulacije'!$D$6</f>
        <v>Jed.
mjere</v>
      </c>
      <c r="M1525" s="10" t="str">
        <f>'Obrazac kalkulacije'!$E$6</f>
        <v>Normativ</v>
      </c>
      <c r="N1525" s="10" t="str">
        <f>'Obrazac kalkulacije'!$F$6</f>
        <v>Jed.
cijena</v>
      </c>
      <c r="O1525" s="10" t="str">
        <f>'Obrazac kalkulacije'!$G$6</f>
        <v>Iznos</v>
      </c>
    </row>
    <row r="1526" spans="1:15" ht="4.5" customHeight="1" thickTop="1">
      <c r="B1526" s="42"/>
      <c r="C1526" s="1"/>
      <c r="D1526" s="11"/>
      <c r="E1526" s="13"/>
      <c r="F1526" s="258"/>
      <c r="G1526" s="15"/>
      <c r="H1526" s="3"/>
      <c r="J1526" s="42"/>
      <c r="K1526" s="1"/>
      <c r="L1526" s="11"/>
      <c r="M1526" s="13"/>
      <c r="N1526" s="258"/>
      <c r="O1526" s="15"/>
    </row>
    <row r="1527" spans="1:15" ht="25.15" customHeight="1">
      <c r="A1527" s="16"/>
      <c r="B1527" s="837" t="str">
        <f>'Obrazac kalkulacije'!$B$8</f>
        <v>Radna snaga:</v>
      </c>
      <c r="C1527" s="837"/>
      <c r="D1527" s="16"/>
      <c r="E1527" s="16"/>
      <c r="F1527" s="44"/>
      <c r="G1527" s="18">
        <f>SUM(G1528:G1528)</f>
        <v>12.6036</v>
      </c>
      <c r="H1527" s="3"/>
      <c r="I1527" s="16"/>
      <c r="J1527" s="837" t="str">
        <f>'Obrazac kalkulacije'!$B$8</f>
        <v>Radna snaga:</v>
      </c>
      <c r="K1527" s="837"/>
      <c r="L1527" s="16"/>
      <c r="M1527" s="16"/>
      <c r="N1527" s="44"/>
      <c r="O1527" s="18">
        <f>SUM(O1528:O1528)</f>
        <v>14.00396499</v>
      </c>
    </row>
    <row r="1528" spans="1:15" ht="25.15" customHeight="1">
      <c r="A1528" s="32"/>
      <c r="B1528" s="854" t="s">
        <v>57</v>
      </c>
      <c r="C1528" s="854"/>
      <c r="D1528" s="33" t="s">
        <v>51</v>
      </c>
      <c r="E1528" s="34">
        <f>H1528/H1525</f>
        <v>0.12</v>
      </c>
      <c r="F1528" s="238">
        <f>SUMIF('Cjenik RS'!$C$11:$C$26,$B1528,'Cjenik RS'!$D$11:$D$90)</f>
        <v>105.03</v>
      </c>
      <c r="G1528" s="35">
        <f>+F1528*E1528</f>
        <v>12.6036</v>
      </c>
      <c r="H1528" s="560">
        <v>24</v>
      </c>
      <c r="I1528" s="32"/>
      <c r="J1528" s="854" t="s">
        <v>57</v>
      </c>
      <c r="K1528" s="854"/>
      <c r="L1528" s="33" t="s">
        <v>51</v>
      </c>
      <c r="M1528" s="34">
        <v>0.13333300000000001</v>
      </c>
      <c r="N1528" s="44">
        <f>SUMIF('Cjenik RS'!$C$11:$C$26,J1528,'Cjenik RS'!$D$11:$D$90)</f>
        <v>105.03</v>
      </c>
      <c r="O1528" s="35">
        <f>+N1528*M1528</f>
        <v>14.00396499</v>
      </c>
    </row>
    <row r="1529" spans="1:15" ht="25.15" customHeight="1">
      <c r="A1529" s="16"/>
      <c r="B1529" s="837" t="str">
        <f>'Obrazac kalkulacije'!$B$11</f>
        <v>Vozila, strojevi i oprema:</v>
      </c>
      <c r="C1529" s="837"/>
      <c r="D1529" s="16"/>
      <c r="E1529" s="16"/>
      <c r="F1529" s="238">
        <f>'Obrazac kalkulacije'!$F$11</f>
        <v>0</v>
      </c>
      <c r="G1529" s="18">
        <f>SUM(G1530:G1531)</f>
        <v>11.688750000000001</v>
      </c>
      <c r="I1529" s="16"/>
      <c r="J1529" s="837" t="str">
        <f>'Obrazac kalkulacije'!$B$11</f>
        <v>Vozila, strojevi i oprema:</v>
      </c>
      <c r="K1529" s="837"/>
      <c r="L1529" s="16"/>
      <c r="M1529" s="16"/>
      <c r="N1529" s="238">
        <f>'Obrazac kalkulacije'!$F$11</f>
        <v>0</v>
      </c>
      <c r="O1529" s="18">
        <f>SUM(O1530:O1531)</f>
        <v>9.7712280699999994</v>
      </c>
    </row>
    <row r="1530" spans="1:15" ht="25.15" customHeight="1">
      <c r="A1530" s="51"/>
      <c r="B1530" s="863" t="s">
        <v>520</v>
      </c>
      <c r="C1530" s="863"/>
      <c r="D1530" s="52" t="s">
        <v>51</v>
      </c>
      <c r="E1530" s="53">
        <f>H1530/H1525</f>
        <v>2.5000000000000001E-2</v>
      </c>
      <c r="F1530" s="260">
        <f>SUMIF('Cjenik VSO'!$B$9:$B$85,$B1530,'Cjenik VSO'!$C$9:$C$85)</f>
        <v>180.19</v>
      </c>
      <c r="G1530" s="55">
        <f>E1530*F1530</f>
        <v>4.5047500000000005</v>
      </c>
      <c r="H1530" s="560">
        <v>5</v>
      </c>
      <c r="I1530" s="51"/>
      <c r="J1530" s="863" t="s">
        <v>520</v>
      </c>
      <c r="K1530" s="863"/>
      <c r="L1530" s="52" t="s">
        <v>51</v>
      </c>
      <c r="M1530" s="53">
        <v>3.3333000000000002E-2</v>
      </c>
      <c r="N1530" s="260">
        <f>SUMIF('Cjenik VSO'!$B$9:$B$85,$B1530,'Cjenik VSO'!$C$9:$C$85)</f>
        <v>180.19</v>
      </c>
      <c r="O1530" s="55">
        <f>M1530*N1530</f>
        <v>6.0062732700000003</v>
      </c>
    </row>
    <row r="1531" spans="1:15" ht="25.15" customHeight="1">
      <c r="A1531" s="61"/>
      <c r="B1531" s="864" t="s">
        <v>69</v>
      </c>
      <c r="C1531" s="864"/>
      <c r="D1531" s="62" t="s">
        <v>51</v>
      </c>
      <c r="E1531" s="63">
        <f>H1531/H1525</f>
        <v>0.04</v>
      </c>
      <c r="F1531" s="261">
        <f>SUMIF('Cjenik VSO'!$B$9:$B$85,$B1531,'Cjenik VSO'!$C$9:$C$85)</f>
        <v>179.6</v>
      </c>
      <c r="G1531" s="65">
        <f>E1531*F1531</f>
        <v>7.1840000000000002</v>
      </c>
      <c r="H1531" s="560">
        <v>8</v>
      </c>
      <c r="I1531" s="61"/>
      <c r="J1531" s="864" t="s">
        <v>69</v>
      </c>
      <c r="K1531" s="864"/>
      <c r="L1531" s="62" t="s">
        <v>51</v>
      </c>
      <c r="M1531" s="63">
        <v>2.0962999999999999E-2</v>
      </c>
      <c r="N1531" s="261">
        <f>SUMIF('Cjenik VSO'!$B$9:$B$85,$B1531,'Cjenik VSO'!$C$9:$C$85)</f>
        <v>179.6</v>
      </c>
      <c r="O1531" s="65">
        <f>M1531*N1531</f>
        <v>3.7649547999999995</v>
      </c>
    </row>
    <row r="1532" spans="1:15" ht="25.15" customHeight="1">
      <c r="A1532" s="16"/>
      <c r="B1532" s="837" t="str">
        <f>'Obrazac kalkulacije'!$B$15</f>
        <v>Materijali:</v>
      </c>
      <c r="C1532" s="837"/>
      <c r="D1532" s="16"/>
      <c r="E1532" s="16"/>
      <c r="F1532" s="238"/>
      <c r="G1532" s="18">
        <f>SUM(G1533:G1535)</f>
        <v>0</v>
      </c>
      <c r="I1532" s="16"/>
      <c r="J1532" s="837" t="str">
        <f>'Obrazac kalkulacije'!$B$15</f>
        <v>Materijali:</v>
      </c>
      <c r="K1532" s="837"/>
      <c r="L1532" s="16"/>
      <c r="M1532" s="16"/>
      <c r="N1532" s="238"/>
      <c r="O1532" s="18">
        <f>SUM(O1533:O1535)</f>
        <v>0</v>
      </c>
    </row>
    <row r="1533" spans="1:15" ht="25.15" customHeight="1">
      <c r="A1533" s="51"/>
      <c r="B1533" s="863">
        <f>'Cjenik M'!$B$72</f>
        <v>0</v>
      </c>
      <c r="C1533" s="863"/>
      <c r="D1533" s="52">
        <f>'Cjenik M'!$C$72</f>
        <v>0</v>
      </c>
      <c r="E1533" s="53">
        <v>0.62</v>
      </c>
      <c r="F1533" s="260">
        <f>'Cjenik M'!$D$72</f>
        <v>0</v>
      </c>
      <c r="G1533" s="55">
        <f>E1533*F1533</f>
        <v>0</v>
      </c>
      <c r="I1533" s="51"/>
      <c r="J1533" s="863">
        <f>'Cjenik M'!$B$72</f>
        <v>0</v>
      </c>
      <c r="K1533" s="863"/>
      <c r="L1533" s="52">
        <f>'Cjenik M'!$C$72</f>
        <v>0</v>
      </c>
      <c r="M1533" s="53">
        <v>0.62</v>
      </c>
      <c r="N1533" s="260">
        <f>'Cjenik M'!$D$72</f>
        <v>0</v>
      </c>
      <c r="O1533" s="55">
        <f>M1533*N1533</f>
        <v>0</v>
      </c>
    </row>
    <row r="1534" spans="1:15" ht="25.15" customHeight="1">
      <c r="A1534" s="56"/>
      <c r="B1534" s="834">
        <f>'Cjenik M'!$B$102</f>
        <v>0</v>
      </c>
      <c r="C1534" s="834"/>
      <c r="D1534" s="57">
        <f>'Cjenik M'!$C$102</f>
        <v>0</v>
      </c>
      <c r="E1534" s="58">
        <v>0.32500000000000001</v>
      </c>
      <c r="F1534" s="263">
        <f>'Cjenik M'!$D$102</f>
        <v>0</v>
      </c>
      <c r="G1534" s="60">
        <f>E1534*F1534</f>
        <v>0</v>
      </c>
      <c r="I1534" s="56"/>
      <c r="J1534" s="834">
        <f>'Cjenik M'!$B$102</f>
        <v>0</v>
      </c>
      <c r="K1534" s="834"/>
      <c r="L1534" s="57">
        <f>'Cjenik M'!$C$102</f>
        <v>0</v>
      </c>
      <c r="M1534" s="58">
        <v>0.32500000000000001</v>
      </c>
      <c r="N1534" s="263">
        <f>'Cjenik M'!$D$102</f>
        <v>0</v>
      </c>
      <c r="O1534" s="60">
        <f>M1534*N1534</f>
        <v>0</v>
      </c>
    </row>
    <row r="1535" spans="1:15" ht="25.15" customHeight="1" thickBot="1">
      <c r="A1535" s="66"/>
      <c r="B1535" s="834">
        <f>'Cjenik M'!$B$74</f>
        <v>0</v>
      </c>
      <c r="C1535" s="834"/>
      <c r="D1535" s="57">
        <f>'Cjenik M'!$C$74</f>
        <v>0</v>
      </c>
      <c r="E1535" s="58">
        <v>7.1926000000000004E-2</v>
      </c>
      <c r="F1535" s="263">
        <f>'Cjenik M'!$D$74</f>
        <v>0</v>
      </c>
      <c r="G1535" s="60">
        <f>E1535*F1535</f>
        <v>0</v>
      </c>
      <c r="I1535" s="66"/>
      <c r="J1535" s="834">
        <f>'Cjenik M'!$B$74</f>
        <v>0</v>
      </c>
      <c r="K1535" s="834"/>
      <c r="L1535" s="57">
        <f>'Cjenik M'!$C$74</f>
        <v>0</v>
      </c>
      <c r="M1535" s="58">
        <v>7.1926000000000004E-2</v>
      </c>
      <c r="N1535" s="263">
        <f>'Cjenik M'!$D$74</f>
        <v>0</v>
      </c>
      <c r="O1535" s="60">
        <f>M1535*N1535</f>
        <v>0</v>
      </c>
    </row>
    <row r="1536" spans="1:15" ht="25.15" customHeight="1" thickTop="1" thickBot="1">
      <c r="B1536" s="47"/>
      <c r="C1536" s="24"/>
      <c r="D1536" s="25"/>
      <c r="E1536" s="850" t="str">
        <f>'Obrazac kalkulacije'!$E$18</f>
        <v>Ukupno (kn):</v>
      </c>
      <c r="F1536" s="850"/>
      <c r="G1536" s="26">
        <f>ROUND(SUM(G1527+G1529+G1532),2)</f>
        <v>24.29</v>
      </c>
      <c r="H1536" s="269" t="e">
        <f>SUMIF(#REF!,$B1523,#REF!)</f>
        <v>#REF!</v>
      </c>
      <c r="J1536" s="47"/>
      <c r="K1536" s="24"/>
      <c r="L1536" s="25"/>
      <c r="M1536" s="850" t="str">
        <f>'Obrazac kalkulacije'!$E$18</f>
        <v>Ukupno (kn):</v>
      </c>
      <c r="N1536" s="850"/>
      <c r="O1536" s="26">
        <f>ROUND(SUM(O1527+O1529+O1532),2)</f>
        <v>23.78</v>
      </c>
    </row>
    <row r="1537" spans="1:15" ht="25.15" customHeight="1" thickTop="1" thickBot="1">
      <c r="E1537" s="27" t="str">
        <f>'Obrazac kalkulacije'!$E$19</f>
        <v>PDV:</v>
      </c>
      <c r="F1537" s="259">
        <f>'Obrazac kalkulacije'!$F$19</f>
        <v>0.25</v>
      </c>
      <c r="G1537" s="29">
        <f>G1536*F1537</f>
        <v>6.0724999999999998</v>
      </c>
      <c r="H1537" s="270" t="e">
        <f>H1536-G1536</f>
        <v>#REF!</v>
      </c>
      <c r="M1537" s="27" t="str">
        <f>'Obrazac kalkulacije'!$E$19</f>
        <v>PDV:</v>
      </c>
      <c r="N1537" s="259">
        <f>'Obrazac kalkulacije'!$F$19</f>
        <v>0.25</v>
      </c>
      <c r="O1537" s="29">
        <f>O1536*N1537</f>
        <v>5.9450000000000003</v>
      </c>
    </row>
    <row r="1538" spans="1:15" ht="25.15" customHeight="1" thickTop="1" thickBot="1">
      <c r="E1538" s="840" t="str">
        <f>'Obrazac kalkulacije'!$E$20</f>
        <v>Sveukupno (kn):</v>
      </c>
      <c r="F1538" s="840"/>
      <c r="G1538" s="29">
        <f>ROUND(SUM(G1536:G1537),2)</f>
        <v>30.36</v>
      </c>
      <c r="H1538" s="271" t="e">
        <f>G1530+H1537</f>
        <v>#REF!</v>
      </c>
      <c r="M1538" s="840" t="str">
        <f>'Obrazac kalkulacije'!$E$20</f>
        <v>Sveukupno (kn):</v>
      </c>
      <c r="N1538" s="840"/>
      <c r="O1538" s="29">
        <f>ROUND(SUM(O1536:O1537),2)</f>
        <v>29.73</v>
      </c>
    </row>
    <row r="1539" spans="1:15" ht="15" customHeight="1" thickTop="1"/>
    <row r="1540" spans="1:15" ht="15" customHeight="1"/>
    <row r="1541" spans="1:15" ht="15" customHeight="1"/>
    <row r="1542" spans="1:15" ht="15" customHeight="1">
      <c r="C1542" s="3" t="str">
        <f>'Obrazac kalkulacije'!$C$24</f>
        <v>IZVODITELJ:</v>
      </c>
      <c r="F1542" s="841" t="str">
        <f>'Obrazac kalkulacije'!$F$24</f>
        <v>NARUČITELJ:</v>
      </c>
      <c r="G1542" s="841"/>
      <c r="K1542" s="3" t="str">
        <f>'Obrazac kalkulacije'!$C$24</f>
        <v>IZVODITELJ:</v>
      </c>
      <c r="N1542" s="841" t="str">
        <f>'Obrazac kalkulacije'!$F$24</f>
        <v>NARUČITELJ:</v>
      </c>
      <c r="O1542" s="841"/>
    </row>
    <row r="1543" spans="1:15" ht="25.15" customHeight="1">
      <c r="C1543" s="3" t="str">
        <f>'Obrazac kalkulacije'!$C$25</f>
        <v>__________________</v>
      </c>
      <c r="F1543" s="841" t="str">
        <f>'Obrazac kalkulacije'!$F$25</f>
        <v>___________________</v>
      </c>
      <c r="G1543" s="841"/>
      <c r="K1543" s="3" t="str">
        <f>'Obrazac kalkulacije'!$C$25</f>
        <v>__________________</v>
      </c>
      <c r="N1543" s="841" t="str">
        <f>'Obrazac kalkulacije'!$F$25</f>
        <v>___________________</v>
      </c>
      <c r="O1543" s="841"/>
    </row>
    <row r="1544" spans="1:15" ht="15" customHeight="1">
      <c r="C1544" s="3"/>
      <c r="G1544" s="30"/>
      <c r="K1544" s="3"/>
      <c r="O1544" s="30"/>
    </row>
    <row r="1545" spans="1:15" ht="15" customHeight="1">
      <c r="F1545" s="841"/>
      <c r="G1545" s="841"/>
      <c r="N1545" s="841"/>
      <c r="O1545" s="841"/>
    </row>
    <row r="1546" spans="1:15" ht="15" customHeight="1">
      <c r="A1546" s="144"/>
      <c r="B1546" s="145" t="s">
        <v>39</v>
      </c>
      <c r="C1546" s="836" t="s">
        <v>360</v>
      </c>
      <c r="D1546" s="836"/>
      <c r="E1546" s="836"/>
      <c r="F1546" s="836"/>
      <c r="G1546" s="836"/>
      <c r="I1546" s="144"/>
      <c r="J1546" s="145" t="s">
        <v>39</v>
      </c>
      <c r="K1546" s="836" t="s">
        <v>360</v>
      </c>
      <c r="L1546" s="836"/>
      <c r="M1546" s="836"/>
      <c r="N1546" s="836"/>
      <c r="O1546" s="836"/>
    </row>
    <row r="1547" spans="1:15" ht="15" customHeight="1">
      <c r="A1547" s="38"/>
      <c r="B1547" s="39" t="s">
        <v>46</v>
      </c>
      <c r="C1547" s="860" t="s">
        <v>470</v>
      </c>
      <c r="D1547" s="860"/>
      <c r="E1547" s="860"/>
      <c r="F1547" s="860"/>
      <c r="G1547" s="860"/>
      <c r="I1547" s="38"/>
      <c r="J1547" s="39" t="s">
        <v>46</v>
      </c>
      <c r="K1547" s="860" t="s">
        <v>470</v>
      </c>
      <c r="L1547" s="860"/>
      <c r="M1547" s="860"/>
      <c r="N1547" s="860"/>
      <c r="O1547" s="860"/>
    </row>
    <row r="1548" spans="1:15" ht="15" customHeight="1">
      <c r="A1548" s="48"/>
      <c r="B1548" s="49" t="s">
        <v>531</v>
      </c>
      <c r="C1548" s="883" t="s">
        <v>532</v>
      </c>
      <c r="D1548" s="883"/>
      <c r="E1548" s="883"/>
      <c r="F1548" s="883"/>
      <c r="G1548" s="883"/>
      <c r="I1548" s="48"/>
      <c r="J1548" s="49" t="s">
        <v>531</v>
      </c>
      <c r="K1548" s="883" t="s">
        <v>532</v>
      </c>
      <c r="L1548" s="883"/>
      <c r="M1548" s="883"/>
      <c r="N1548" s="883"/>
      <c r="O1548" s="883"/>
    </row>
    <row r="1549" spans="1:15" ht="150" customHeight="1">
      <c r="A1549" s="40"/>
      <c r="B1549" s="556" t="s">
        <v>541</v>
      </c>
      <c r="C1549" s="852" t="s">
        <v>542</v>
      </c>
      <c r="D1549" s="852"/>
      <c r="E1549" s="852"/>
      <c r="F1549" s="852"/>
      <c r="G1549" s="852"/>
      <c r="I1549" s="40"/>
      <c r="J1549" s="41" t="s">
        <v>541</v>
      </c>
      <c r="K1549" s="869" t="s">
        <v>542</v>
      </c>
      <c r="L1549" s="869"/>
      <c r="M1549" s="869"/>
      <c r="N1549" s="869"/>
      <c r="O1549" s="869"/>
    </row>
    <row r="1550" spans="1:15" ht="15" customHeight="1" thickBot="1"/>
    <row r="1551" spans="1:15" ht="30" customHeight="1" thickTop="1" thickBot="1">
      <c r="A1551" s="10"/>
      <c r="B1551" s="835" t="str">
        <f>'Obrazac kalkulacije'!$B$6:$C$6</f>
        <v>Opis</v>
      </c>
      <c r="C1551" s="835"/>
      <c r="D1551" s="10" t="str">
        <f>'Obrazac kalkulacije'!$D$6</f>
        <v>Jed.
mjere</v>
      </c>
      <c r="E1551" s="10" t="str">
        <f>'Obrazac kalkulacije'!$E$6</f>
        <v>Normativ</v>
      </c>
      <c r="F1551" s="10" t="str">
        <f>'Obrazac kalkulacije'!$F$6</f>
        <v>Jed.
cijena</v>
      </c>
      <c r="G1551" s="10" t="str">
        <f>'Obrazac kalkulacije'!$G$6</f>
        <v>Iznos</v>
      </c>
      <c r="H1551" s="622">
        <v>120</v>
      </c>
      <c r="I1551" s="10"/>
      <c r="J1551" s="835" t="e">
        <f>'Obrazac kalkulacije'!$B$6:$C$6</f>
        <v>#VALUE!</v>
      </c>
      <c r="K1551" s="835"/>
      <c r="L1551" s="10" t="str">
        <f>'Obrazac kalkulacije'!$D$6</f>
        <v>Jed.
mjere</v>
      </c>
      <c r="M1551" s="10" t="str">
        <f>'Obrazac kalkulacije'!$E$6</f>
        <v>Normativ</v>
      </c>
      <c r="N1551" s="10" t="str">
        <f>'Obrazac kalkulacije'!$F$6</f>
        <v>Jed.
cijena</v>
      </c>
      <c r="O1551" s="10" t="str">
        <f>'Obrazac kalkulacije'!$G$6</f>
        <v>Iznos</v>
      </c>
    </row>
    <row r="1552" spans="1:15" ht="4.5" customHeight="1" thickTop="1">
      <c r="B1552" s="42"/>
      <c r="C1552" s="1"/>
      <c r="D1552" s="11"/>
      <c r="E1552" s="13"/>
      <c r="F1552" s="258"/>
      <c r="G1552" s="15"/>
      <c r="H1552" s="3"/>
      <c r="J1552" s="42"/>
      <c r="K1552" s="1"/>
      <c r="L1552" s="11"/>
      <c r="M1552" s="13"/>
      <c r="N1552" s="258"/>
      <c r="O1552" s="15"/>
    </row>
    <row r="1553" spans="1:15" ht="25.15" customHeight="1">
      <c r="A1553" s="16"/>
      <c r="B1553" s="837" t="str">
        <f>'Obrazac kalkulacije'!$B$8</f>
        <v>Radna snaga:</v>
      </c>
      <c r="C1553" s="837"/>
      <c r="D1553" s="16"/>
      <c r="E1553" s="16"/>
      <c r="F1553" s="44"/>
      <c r="G1553" s="18">
        <f>SUM(G1554:G1554)</f>
        <v>21.006</v>
      </c>
      <c r="H1553" s="3"/>
      <c r="I1553" s="16"/>
      <c r="J1553" s="837" t="str">
        <f>'Obrazac kalkulacije'!$B$8</f>
        <v>Radna snaga:</v>
      </c>
      <c r="K1553" s="837"/>
      <c r="L1553" s="16"/>
      <c r="M1553" s="16"/>
      <c r="N1553" s="44"/>
      <c r="O1553" s="18">
        <f>SUM(O1554:O1554)</f>
        <v>31.509</v>
      </c>
    </row>
    <row r="1554" spans="1:15" ht="25.15" customHeight="1">
      <c r="A1554" s="32"/>
      <c r="B1554" s="854" t="s">
        <v>57</v>
      </c>
      <c r="C1554" s="854"/>
      <c r="D1554" s="33" t="s">
        <v>51</v>
      </c>
      <c r="E1554" s="34">
        <f>H1554/H1551</f>
        <v>0.2</v>
      </c>
      <c r="F1554" s="238">
        <f>SUMIF('Cjenik RS'!$C$11:$C$26,$B1554,'Cjenik RS'!$D$11:$D$90)</f>
        <v>105.03</v>
      </c>
      <c r="G1554" s="35">
        <f>+F1554*E1554</f>
        <v>21.006</v>
      </c>
      <c r="H1554" s="560">
        <v>24</v>
      </c>
      <c r="I1554" s="32"/>
      <c r="J1554" s="854" t="s">
        <v>57</v>
      </c>
      <c r="K1554" s="854"/>
      <c r="L1554" s="33" t="s">
        <v>51</v>
      </c>
      <c r="M1554" s="34">
        <v>0.3</v>
      </c>
      <c r="N1554" s="44">
        <f>SUMIF('Cjenik RS'!$C$11:$C$26,J1554,'Cjenik RS'!$D$11:$D$90)</f>
        <v>105.03</v>
      </c>
      <c r="O1554" s="35">
        <f>+N1554*M1554</f>
        <v>31.509</v>
      </c>
    </row>
    <row r="1555" spans="1:15" ht="25.15" customHeight="1">
      <c r="A1555" s="16"/>
      <c r="B1555" s="837" t="str">
        <f>'Obrazac kalkulacije'!$B$11</f>
        <v>Vozila, strojevi i oprema:</v>
      </c>
      <c r="C1555" s="837"/>
      <c r="D1555" s="16"/>
      <c r="E1555" s="16"/>
      <c r="F1555" s="238">
        <f>'Obrazac kalkulacije'!$F$11</f>
        <v>0</v>
      </c>
      <c r="G1555" s="18">
        <f>SUM(G1556:G1557)</f>
        <v>19.481249999999999</v>
      </c>
      <c r="I1555" s="16"/>
      <c r="J1555" s="837" t="str">
        <f>'Obrazac kalkulacije'!$B$11</f>
        <v>Vozila, strojevi i oprema:</v>
      </c>
      <c r="K1555" s="837"/>
      <c r="L1555" s="16"/>
      <c r="M1555" s="16"/>
      <c r="N1555" s="238">
        <f>'Obrazac kalkulacije'!$F$11</f>
        <v>0</v>
      </c>
      <c r="O1555" s="18">
        <f>SUM(O1556:O1557)</f>
        <v>14.679601999999999</v>
      </c>
    </row>
    <row r="1556" spans="1:15" ht="25.15" customHeight="1">
      <c r="A1556" s="51"/>
      <c r="B1556" s="863" t="s">
        <v>520</v>
      </c>
      <c r="C1556" s="863"/>
      <c r="D1556" s="52" t="s">
        <v>51</v>
      </c>
      <c r="E1556" s="53">
        <f>H1556/H1551</f>
        <v>4.1666666666666664E-2</v>
      </c>
      <c r="F1556" s="260">
        <f>SUMIF('Cjenik VSO'!$B$9:$B$85,$B1556,'Cjenik VSO'!$C$9:$C$85)</f>
        <v>180.19</v>
      </c>
      <c r="G1556" s="55">
        <f>E1556*F1556</f>
        <v>7.5079166666666666</v>
      </c>
      <c r="H1556" s="560">
        <v>5</v>
      </c>
      <c r="I1556" s="51"/>
      <c r="J1556" s="863" t="s">
        <v>520</v>
      </c>
      <c r="K1556" s="863"/>
      <c r="L1556" s="52" t="s">
        <v>51</v>
      </c>
      <c r="M1556" s="53">
        <v>3.5000000000000003E-2</v>
      </c>
      <c r="N1556" s="260">
        <f>SUMIF('Cjenik VSO'!$B$9:$B$85,$B1556,'Cjenik VSO'!$C$9:$C$85)</f>
        <v>180.19</v>
      </c>
      <c r="O1556" s="55">
        <f>M1556*N1556</f>
        <v>6.3066500000000003</v>
      </c>
    </row>
    <row r="1557" spans="1:15" ht="25.15" customHeight="1">
      <c r="A1557" s="61"/>
      <c r="B1557" s="864" t="s">
        <v>69</v>
      </c>
      <c r="C1557" s="864"/>
      <c r="D1557" s="62" t="s">
        <v>51</v>
      </c>
      <c r="E1557" s="63">
        <f>H1557/H1551</f>
        <v>6.6666666666666666E-2</v>
      </c>
      <c r="F1557" s="261">
        <f>SUMIF('Cjenik VSO'!$B$9:$B$85,$B1557,'Cjenik VSO'!$C$9:$C$85)</f>
        <v>179.6</v>
      </c>
      <c r="G1557" s="65">
        <f>E1557*F1557</f>
        <v>11.973333333333333</v>
      </c>
      <c r="H1557" s="560">
        <v>8</v>
      </c>
      <c r="I1557" s="61"/>
      <c r="J1557" s="864" t="s">
        <v>69</v>
      </c>
      <c r="K1557" s="864"/>
      <c r="L1557" s="62" t="s">
        <v>51</v>
      </c>
      <c r="M1557" s="63">
        <v>4.6620000000000002E-2</v>
      </c>
      <c r="N1557" s="261">
        <f>SUMIF('Cjenik VSO'!$B$9:$B$85,$B1557,'Cjenik VSO'!$C$9:$C$85)</f>
        <v>179.6</v>
      </c>
      <c r="O1557" s="65">
        <f>M1557*N1557</f>
        <v>8.3729519999999997</v>
      </c>
    </row>
    <row r="1558" spans="1:15" ht="25.15" customHeight="1">
      <c r="A1558" s="16"/>
      <c r="B1558" s="837" t="str">
        <f>'Obrazac kalkulacije'!$B$15</f>
        <v>Materijali:</v>
      </c>
      <c r="C1558" s="837"/>
      <c r="D1558" s="16"/>
      <c r="E1558" s="16"/>
      <c r="F1558" s="238"/>
      <c r="G1558" s="18">
        <f>SUM(G1559:G1561)</f>
        <v>0</v>
      </c>
      <c r="I1558" s="16"/>
      <c r="J1558" s="837" t="str">
        <f>'Obrazac kalkulacije'!$B$15</f>
        <v>Materijali:</v>
      </c>
      <c r="K1558" s="837"/>
      <c r="L1558" s="16"/>
      <c r="M1558" s="16"/>
      <c r="N1558" s="238"/>
      <c r="O1558" s="18">
        <f>SUM(O1559:O1561)</f>
        <v>0</v>
      </c>
    </row>
    <row r="1559" spans="1:15" ht="25.15" customHeight="1">
      <c r="A1559" s="51"/>
      <c r="B1559" s="863">
        <f>'Cjenik M'!$B$72</f>
        <v>0</v>
      </c>
      <c r="C1559" s="863"/>
      <c r="D1559" s="52">
        <f>'Cjenik M'!$C$72</f>
        <v>0</v>
      </c>
      <c r="E1559" s="53">
        <v>1.085</v>
      </c>
      <c r="F1559" s="260">
        <f>'Cjenik M'!$D$72</f>
        <v>0</v>
      </c>
      <c r="G1559" s="55">
        <f>E1559*F1559</f>
        <v>0</v>
      </c>
      <c r="I1559" s="51"/>
      <c r="J1559" s="863">
        <f>'Cjenik M'!$B$72</f>
        <v>0</v>
      </c>
      <c r="K1559" s="863"/>
      <c r="L1559" s="52">
        <f>'Cjenik M'!$C$72</f>
        <v>0</v>
      </c>
      <c r="M1559" s="53">
        <v>1.085</v>
      </c>
      <c r="N1559" s="260">
        <f>'Cjenik M'!$D$72</f>
        <v>0</v>
      </c>
      <c r="O1559" s="55">
        <f>M1559*N1559</f>
        <v>0</v>
      </c>
    </row>
    <row r="1560" spans="1:15" ht="25.15" customHeight="1">
      <c r="A1560" s="56"/>
      <c r="B1560" s="834">
        <f>'Cjenik M'!$B$102</f>
        <v>0</v>
      </c>
      <c r="C1560" s="834"/>
      <c r="D1560" s="57">
        <f>'Cjenik M'!$C$102</f>
        <v>0</v>
      </c>
      <c r="E1560" s="58">
        <v>0.217</v>
      </c>
      <c r="F1560" s="263">
        <f>'Cjenik M'!$D$102</f>
        <v>0</v>
      </c>
      <c r="G1560" s="60">
        <f>E1560*F1560</f>
        <v>0</v>
      </c>
      <c r="I1560" s="56"/>
      <c r="J1560" s="834">
        <f>'Cjenik M'!$B$102</f>
        <v>0</v>
      </c>
      <c r="K1560" s="834"/>
      <c r="L1560" s="57">
        <f>'Cjenik M'!$C$102</f>
        <v>0</v>
      </c>
      <c r="M1560" s="58">
        <v>0.217</v>
      </c>
      <c r="N1560" s="263">
        <f>'Cjenik M'!$D$102</f>
        <v>0</v>
      </c>
      <c r="O1560" s="60">
        <f>M1560*N1560</f>
        <v>0</v>
      </c>
    </row>
    <row r="1561" spans="1:15" ht="25.15" customHeight="1" thickBot="1">
      <c r="A1561" s="66"/>
      <c r="B1561" s="834">
        <f>'Cjenik M'!$B$74</f>
        <v>0</v>
      </c>
      <c r="C1561" s="834"/>
      <c r="D1561" s="57">
        <f>'Cjenik M'!$C$74</f>
        <v>0</v>
      </c>
      <c r="E1561" s="58">
        <v>0.12587000000000001</v>
      </c>
      <c r="F1561" s="263">
        <f>'Cjenik M'!$D$74</f>
        <v>0</v>
      </c>
      <c r="G1561" s="60">
        <f>E1561*F1561</f>
        <v>0</v>
      </c>
      <c r="I1561" s="66"/>
      <c r="J1561" s="834">
        <f>'Cjenik M'!$B$74</f>
        <v>0</v>
      </c>
      <c r="K1561" s="834"/>
      <c r="L1561" s="57">
        <f>'Cjenik M'!$C$74</f>
        <v>0</v>
      </c>
      <c r="M1561" s="58">
        <v>0.12587000000000001</v>
      </c>
      <c r="N1561" s="263">
        <f>'Cjenik M'!$D$74</f>
        <v>0</v>
      </c>
      <c r="O1561" s="60">
        <f>M1561*N1561</f>
        <v>0</v>
      </c>
    </row>
    <row r="1562" spans="1:15" ht="25.15" customHeight="1" thickTop="1" thickBot="1">
      <c r="B1562" s="47"/>
      <c r="C1562" s="24"/>
      <c r="D1562" s="25"/>
      <c r="E1562" s="850" t="str">
        <f>'Obrazac kalkulacije'!$E$18</f>
        <v>Ukupno (kn):</v>
      </c>
      <c r="F1562" s="850"/>
      <c r="G1562" s="26">
        <f>ROUND(SUM(G1553+G1555+G1558),2)</f>
        <v>40.49</v>
      </c>
      <c r="H1562" s="269" t="e">
        <f>SUMIF(#REF!,$B1549,#REF!)</f>
        <v>#REF!</v>
      </c>
      <c r="J1562" s="47"/>
      <c r="K1562" s="24"/>
      <c r="L1562" s="25"/>
      <c r="M1562" s="850" t="str">
        <f>'Obrazac kalkulacije'!$E$18</f>
        <v>Ukupno (kn):</v>
      </c>
      <c r="N1562" s="850"/>
      <c r="O1562" s="26">
        <f>ROUND(SUM(O1553+O1555+O1558),2)</f>
        <v>46.19</v>
      </c>
    </row>
    <row r="1563" spans="1:15" ht="25.15" customHeight="1" thickTop="1" thickBot="1">
      <c r="E1563" s="27" t="str">
        <f>'Obrazac kalkulacije'!$E$19</f>
        <v>PDV:</v>
      </c>
      <c r="F1563" s="259">
        <f>'Obrazac kalkulacije'!$F$19</f>
        <v>0.25</v>
      </c>
      <c r="G1563" s="29">
        <f>G1562*F1563</f>
        <v>10.1225</v>
      </c>
      <c r="H1563" s="270" t="e">
        <f>H1562-G1562</f>
        <v>#REF!</v>
      </c>
      <c r="M1563" s="27" t="str">
        <f>'Obrazac kalkulacije'!$E$19</f>
        <v>PDV:</v>
      </c>
      <c r="N1563" s="259">
        <f>'Obrazac kalkulacije'!$F$19</f>
        <v>0.25</v>
      </c>
      <c r="O1563" s="29">
        <f>O1562*N1563</f>
        <v>11.547499999999999</v>
      </c>
    </row>
    <row r="1564" spans="1:15" ht="25.15" customHeight="1" thickTop="1" thickBot="1">
      <c r="E1564" s="840" t="str">
        <f>'Obrazac kalkulacije'!$E$20</f>
        <v>Sveukupno (kn):</v>
      </c>
      <c r="F1564" s="840"/>
      <c r="G1564" s="29">
        <f>ROUND(SUM(G1562:G1563),2)</f>
        <v>50.61</v>
      </c>
      <c r="H1564" s="271" t="e">
        <f>G1556+H1563</f>
        <v>#REF!</v>
      </c>
      <c r="M1564" s="840" t="str">
        <f>'Obrazac kalkulacije'!$E$20</f>
        <v>Sveukupno (kn):</v>
      </c>
      <c r="N1564" s="840"/>
      <c r="O1564" s="29">
        <f>ROUND(SUM(O1562:O1563),2)</f>
        <v>57.74</v>
      </c>
    </row>
    <row r="1565" spans="1:15" ht="15" customHeight="1" thickTop="1"/>
    <row r="1566" spans="1:15" ht="15" customHeight="1"/>
    <row r="1567" spans="1:15" ht="15" customHeight="1"/>
    <row r="1568" spans="1:15" ht="15" customHeight="1">
      <c r="C1568" s="3" t="str">
        <f>'Obrazac kalkulacije'!$C$24</f>
        <v>IZVODITELJ:</v>
      </c>
      <c r="F1568" s="841" t="str">
        <f>'Obrazac kalkulacije'!$F$24</f>
        <v>NARUČITELJ:</v>
      </c>
      <c r="G1568" s="841"/>
      <c r="K1568" s="3" t="str">
        <f>'Obrazac kalkulacije'!$C$24</f>
        <v>IZVODITELJ:</v>
      </c>
      <c r="N1568" s="841" t="str">
        <f>'Obrazac kalkulacije'!$F$24</f>
        <v>NARUČITELJ:</v>
      </c>
      <c r="O1568" s="841"/>
    </row>
    <row r="1569" spans="1:15" ht="25.15" customHeight="1">
      <c r="C1569" s="3" t="str">
        <f>'Obrazac kalkulacije'!$C$25</f>
        <v>__________________</v>
      </c>
      <c r="F1569" s="841" t="str">
        <f>'Obrazac kalkulacije'!$F$25</f>
        <v>___________________</v>
      </c>
      <c r="G1569" s="841"/>
      <c r="K1569" s="3" t="str">
        <f>'Obrazac kalkulacije'!$C$25</f>
        <v>__________________</v>
      </c>
      <c r="N1569" s="841" t="str">
        <f>'Obrazac kalkulacije'!$F$25</f>
        <v>___________________</v>
      </c>
      <c r="O1569" s="841"/>
    </row>
    <row r="1570" spans="1:15" ht="15" customHeight="1">
      <c r="C1570" s="3"/>
      <c r="G1570" s="30"/>
      <c r="K1570" s="3"/>
      <c r="O1570" s="30"/>
    </row>
    <row r="1571" spans="1:15" ht="15" customHeight="1">
      <c r="F1571" s="841"/>
      <c r="G1571" s="841"/>
      <c r="N1571" s="841"/>
      <c r="O1571" s="841"/>
    </row>
    <row r="1572" spans="1:15" ht="15" customHeight="1">
      <c r="A1572" s="144"/>
      <c r="B1572" s="145" t="s">
        <v>39</v>
      </c>
      <c r="C1572" s="836" t="s">
        <v>360</v>
      </c>
      <c r="D1572" s="836"/>
      <c r="E1572" s="836"/>
      <c r="F1572" s="836"/>
      <c r="G1572" s="836"/>
      <c r="I1572" s="144"/>
      <c r="J1572" s="145" t="s">
        <v>39</v>
      </c>
      <c r="K1572" s="836" t="s">
        <v>360</v>
      </c>
      <c r="L1572" s="836"/>
      <c r="M1572" s="836"/>
      <c r="N1572" s="836"/>
      <c r="O1572" s="836"/>
    </row>
    <row r="1573" spans="1:15" ht="15" customHeight="1">
      <c r="A1573" s="38"/>
      <c r="B1573" s="39" t="s">
        <v>46</v>
      </c>
      <c r="C1573" s="860" t="s">
        <v>470</v>
      </c>
      <c r="D1573" s="860"/>
      <c r="E1573" s="860"/>
      <c r="F1573" s="860"/>
      <c r="G1573" s="860"/>
      <c r="I1573" s="38"/>
      <c r="J1573" s="39" t="s">
        <v>46</v>
      </c>
      <c r="K1573" s="860" t="s">
        <v>470</v>
      </c>
      <c r="L1573" s="860"/>
      <c r="M1573" s="860"/>
      <c r="N1573" s="860"/>
      <c r="O1573" s="860"/>
    </row>
    <row r="1574" spans="1:15" ht="15" customHeight="1">
      <c r="A1574" s="48"/>
      <c r="B1574" s="49" t="s">
        <v>531</v>
      </c>
      <c r="C1574" s="883" t="s">
        <v>532</v>
      </c>
      <c r="D1574" s="883"/>
      <c r="E1574" s="883"/>
      <c r="F1574" s="883"/>
      <c r="G1574" s="883"/>
      <c r="I1574" s="48"/>
      <c r="J1574" s="49" t="s">
        <v>531</v>
      </c>
      <c r="K1574" s="883" t="s">
        <v>532</v>
      </c>
      <c r="L1574" s="883"/>
      <c r="M1574" s="883"/>
      <c r="N1574" s="883"/>
      <c r="O1574" s="883"/>
    </row>
    <row r="1575" spans="1:15" ht="150" customHeight="1">
      <c r="A1575" s="40"/>
      <c r="B1575" s="556" t="s">
        <v>543</v>
      </c>
      <c r="C1575" s="852" t="s">
        <v>544</v>
      </c>
      <c r="D1575" s="852"/>
      <c r="E1575" s="852"/>
      <c r="F1575" s="852"/>
      <c r="G1575" s="852"/>
      <c r="I1575" s="40"/>
      <c r="J1575" s="41" t="s">
        <v>543</v>
      </c>
      <c r="K1575" s="869" t="s">
        <v>544</v>
      </c>
      <c r="L1575" s="869"/>
      <c r="M1575" s="869"/>
      <c r="N1575" s="869"/>
      <c r="O1575" s="869"/>
    </row>
    <row r="1576" spans="1:15" ht="15" customHeight="1" thickBot="1"/>
    <row r="1577" spans="1:15" ht="30" customHeight="1" thickTop="1" thickBot="1">
      <c r="A1577" s="10"/>
      <c r="B1577" s="835" t="str">
        <f>'Obrazac kalkulacije'!$B$6:$C$6</f>
        <v>Opis</v>
      </c>
      <c r="C1577" s="835"/>
      <c r="D1577" s="10" t="str">
        <f>'Obrazac kalkulacije'!$D$6</f>
        <v>Jed.
mjere</v>
      </c>
      <c r="E1577" s="10" t="str">
        <f>'Obrazac kalkulacije'!$E$6</f>
        <v>Normativ</v>
      </c>
      <c r="F1577" s="10" t="str">
        <f>'Obrazac kalkulacije'!$F$6</f>
        <v>Jed.
cijena</v>
      </c>
      <c r="G1577" s="10" t="str">
        <f>'Obrazac kalkulacije'!$G$6</f>
        <v>Iznos</v>
      </c>
      <c r="H1577" s="622">
        <v>170</v>
      </c>
      <c r="I1577" s="10"/>
      <c r="J1577" s="835" t="e">
        <f>'Obrazac kalkulacije'!$B$6:$C$6</f>
        <v>#VALUE!</v>
      </c>
      <c r="K1577" s="835"/>
      <c r="L1577" s="10" t="str">
        <f>'Obrazac kalkulacije'!$D$6</f>
        <v>Jed.
mjere</v>
      </c>
      <c r="M1577" s="10" t="str">
        <f>'Obrazac kalkulacije'!$E$6</f>
        <v>Normativ</v>
      </c>
      <c r="N1577" s="10" t="str">
        <f>'Obrazac kalkulacije'!$F$6</f>
        <v>Jed.
cijena</v>
      </c>
      <c r="O1577" s="10" t="str">
        <f>'Obrazac kalkulacije'!$G$6</f>
        <v>Iznos</v>
      </c>
    </row>
    <row r="1578" spans="1:15" ht="4.5" customHeight="1" thickTop="1">
      <c r="B1578" s="42"/>
      <c r="C1578" s="1"/>
      <c r="D1578" s="11"/>
      <c r="E1578" s="13"/>
      <c r="F1578" s="258"/>
      <c r="G1578" s="15"/>
      <c r="H1578" s="3"/>
      <c r="J1578" s="42"/>
      <c r="K1578" s="1"/>
      <c r="L1578" s="11"/>
      <c r="M1578" s="13"/>
      <c r="N1578" s="258"/>
      <c r="O1578" s="15"/>
    </row>
    <row r="1579" spans="1:15" ht="25.15" customHeight="1">
      <c r="A1579" s="16"/>
      <c r="B1579" s="837" t="str">
        <f>'Obrazac kalkulacije'!$B$8</f>
        <v>Radna snaga:</v>
      </c>
      <c r="C1579" s="837"/>
      <c r="D1579" s="16"/>
      <c r="E1579" s="16"/>
      <c r="F1579" s="44"/>
      <c r="G1579" s="18">
        <f>SUM(G1580:G1580)</f>
        <v>14.827764705882354</v>
      </c>
      <c r="H1579" s="3"/>
      <c r="I1579" s="16"/>
      <c r="J1579" s="837" t="str">
        <f>'Obrazac kalkulacije'!$B$8</f>
        <v>Radna snaga:</v>
      </c>
      <c r="K1579" s="837"/>
      <c r="L1579" s="16"/>
      <c r="M1579" s="16"/>
      <c r="N1579" s="44"/>
      <c r="O1579" s="18">
        <f>SUM(O1580:O1580)</f>
        <v>21.006</v>
      </c>
    </row>
    <row r="1580" spans="1:15" ht="25.15" customHeight="1">
      <c r="A1580" s="32"/>
      <c r="B1580" s="854" t="s">
        <v>57</v>
      </c>
      <c r="C1580" s="854"/>
      <c r="D1580" s="33" t="s">
        <v>51</v>
      </c>
      <c r="E1580" s="34">
        <f>H1580/H1577</f>
        <v>0.14117647058823529</v>
      </c>
      <c r="F1580" s="238">
        <f>SUMIF('Cjenik RS'!$C$11:$C$26,$B1580,'Cjenik RS'!$D$11:$D$90)</f>
        <v>105.03</v>
      </c>
      <c r="G1580" s="35">
        <f>+F1580*E1580</f>
        <v>14.827764705882354</v>
      </c>
      <c r="H1580" s="560">
        <v>24</v>
      </c>
      <c r="I1580" s="32"/>
      <c r="J1580" s="854" t="s">
        <v>57</v>
      </c>
      <c r="K1580" s="854"/>
      <c r="L1580" s="33" t="s">
        <v>51</v>
      </c>
      <c r="M1580" s="34">
        <v>0.2</v>
      </c>
      <c r="N1580" s="44">
        <f>SUMIF('Cjenik RS'!$C$11:$C$26,J1580,'Cjenik RS'!$D$11:$D$90)</f>
        <v>105.03</v>
      </c>
      <c r="O1580" s="35">
        <f>+N1580*M1580</f>
        <v>21.006</v>
      </c>
    </row>
    <row r="1581" spans="1:15" ht="25.15" customHeight="1">
      <c r="A1581" s="16"/>
      <c r="B1581" s="837" t="str">
        <f>'Obrazac kalkulacije'!$B$11</f>
        <v>Vozila, strojevi i oprema:</v>
      </c>
      <c r="C1581" s="837"/>
      <c r="D1581" s="16"/>
      <c r="E1581" s="16"/>
      <c r="F1581" s="238">
        <f>'Obrazac kalkulacije'!$F$11</f>
        <v>0</v>
      </c>
      <c r="G1581" s="18">
        <f>SUM(G1582:G1583)</f>
        <v>13.751470588235293</v>
      </c>
      <c r="I1581" s="16"/>
      <c r="J1581" s="837" t="str">
        <f>'Obrazac kalkulacije'!$B$11</f>
        <v>Vozila, strojevi i oprema:</v>
      </c>
      <c r="K1581" s="837"/>
      <c r="L1581" s="16"/>
      <c r="M1581" s="16"/>
      <c r="N1581" s="238">
        <f>'Obrazac kalkulacije'!$F$11</f>
        <v>0</v>
      </c>
      <c r="O1581" s="18">
        <f>SUM(O1582:O1583)</f>
        <v>12.0964648</v>
      </c>
    </row>
    <row r="1582" spans="1:15" ht="25.15" customHeight="1">
      <c r="A1582" s="51"/>
      <c r="B1582" s="863" t="s">
        <v>520</v>
      </c>
      <c r="C1582" s="863"/>
      <c r="D1582" s="52" t="s">
        <v>51</v>
      </c>
      <c r="E1582" s="53">
        <f>H1582/H1577</f>
        <v>2.9411764705882353E-2</v>
      </c>
      <c r="F1582" s="260">
        <f>SUMIF('Cjenik VSO'!$B$9:$B$85,$B1582,'Cjenik VSO'!$C$9:$C$85)</f>
        <v>180.19</v>
      </c>
      <c r="G1582" s="55">
        <f>E1582*F1582</f>
        <v>5.2997058823529413</v>
      </c>
      <c r="H1582" s="560">
        <v>5</v>
      </c>
      <c r="I1582" s="51"/>
      <c r="J1582" s="863" t="s">
        <v>520</v>
      </c>
      <c r="K1582" s="863"/>
      <c r="L1582" s="52" t="s">
        <v>51</v>
      </c>
      <c r="M1582" s="53">
        <v>0.05</v>
      </c>
      <c r="N1582" s="260">
        <f>SUMIF('Cjenik VSO'!$B$9:$B$85,$B1582,'Cjenik VSO'!$C$9:$C$85)</f>
        <v>180.19</v>
      </c>
      <c r="O1582" s="55">
        <f>M1582*N1582</f>
        <v>9.009500000000001</v>
      </c>
    </row>
    <row r="1583" spans="1:15" ht="25.15" customHeight="1">
      <c r="A1583" s="61"/>
      <c r="B1583" s="864" t="s">
        <v>69</v>
      </c>
      <c r="C1583" s="864"/>
      <c r="D1583" s="62" t="s">
        <v>51</v>
      </c>
      <c r="E1583" s="63">
        <f>H1583/H1577</f>
        <v>4.7058823529411764E-2</v>
      </c>
      <c r="F1583" s="261">
        <f>SUMIF('Cjenik VSO'!$B$9:$B$85,$B1583,'Cjenik VSO'!$C$9:$C$85)</f>
        <v>179.6</v>
      </c>
      <c r="G1583" s="65">
        <f>E1583*F1583</f>
        <v>8.4517647058823524</v>
      </c>
      <c r="H1583" s="560">
        <v>8</v>
      </c>
      <c r="I1583" s="61"/>
      <c r="J1583" s="864" t="s">
        <v>69</v>
      </c>
      <c r="K1583" s="864"/>
      <c r="L1583" s="62" t="s">
        <v>51</v>
      </c>
      <c r="M1583" s="63">
        <v>1.7187999999999998E-2</v>
      </c>
      <c r="N1583" s="261">
        <f>SUMIF('Cjenik VSO'!$B$9:$B$85,$B1583,'Cjenik VSO'!$C$9:$C$85)</f>
        <v>179.6</v>
      </c>
      <c r="O1583" s="65">
        <f>M1583*N1583</f>
        <v>3.0869647999999996</v>
      </c>
    </row>
    <row r="1584" spans="1:15" ht="25.15" customHeight="1">
      <c r="A1584" s="16"/>
      <c r="B1584" s="837" t="str">
        <f>'Obrazac kalkulacije'!$B$15</f>
        <v>Materijali:</v>
      </c>
      <c r="C1584" s="837"/>
      <c r="D1584" s="16"/>
      <c r="E1584" s="16"/>
      <c r="F1584" s="238"/>
      <c r="G1584" s="18">
        <f>SUM(G1585:G1587)</f>
        <v>0</v>
      </c>
      <c r="I1584" s="16"/>
      <c r="J1584" s="837" t="str">
        <f>'Obrazac kalkulacije'!$B$15</f>
        <v>Materijali:</v>
      </c>
      <c r="K1584" s="837"/>
      <c r="L1584" s="16"/>
      <c r="M1584" s="16"/>
      <c r="N1584" s="238"/>
      <c r="O1584" s="18">
        <f>SUM(O1585:O1587)</f>
        <v>0</v>
      </c>
    </row>
    <row r="1585" spans="1:15" ht="25.15" customHeight="1">
      <c r="A1585" s="51"/>
      <c r="B1585" s="863">
        <f>'Cjenik M'!$B$72</f>
        <v>0</v>
      </c>
      <c r="C1585" s="863"/>
      <c r="D1585" s="52">
        <f>'Cjenik M'!$C$72</f>
        <v>0</v>
      </c>
      <c r="E1585" s="53">
        <v>0.51460000000000006</v>
      </c>
      <c r="F1585" s="260">
        <f>'Cjenik M'!$D$72</f>
        <v>0</v>
      </c>
      <c r="G1585" s="55">
        <f>E1585*F1585</f>
        <v>0</v>
      </c>
      <c r="I1585" s="51"/>
      <c r="J1585" s="863">
        <f>'Cjenik M'!$B$72</f>
        <v>0</v>
      </c>
      <c r="K1585" s="863"/>
      <c r="L1585" s="52">
        <f>'Cjenik M'!$C$72</f>
        <v>0</v>
      </c>
      <c r="M1585" s="53">
        <v>0.51460000000000006</v>
      </c>
      <c r="N1585" s="260">
        <f>'Cjenik M'!$D$72</f>
        <v>0</v>
      </c>
      <c r="O1585" s="55">
        <f>M1585*N1585</f>
        <v>0</v>
      </c>
    </row>
    <row r="1586" spans="1:15" ht="25.15" customHeight="1">
      <c r="A1586" s="56"/>
      <c r="B1586" s="834">
        <f>'Cjenik M'!$B$101</f>
        <v>0</v>
      </c>
      <c r="C1586" s="834"/>
      <c r="D1586" s="57">
        <f>'Cjenik M'!$C$101</f>
        <v>0</v>
      </c>
      <c r="E1586" s="58">
        <v>0.26975000000000005</v>
      </c>
      <c r="F1586" s="263">
        <f>'Cjenik M'!$D$101</f>
        <v>0</v>
      </c>
      <c r="G1586" s="60">
        <f>E1586*F1586</f>
        <v>0</v>
      </c>
      <c r="I1586" s="56"/>
      <c r="J1586" s="834">
        <f>'Cjenik M'!$B$101</f>
        <v>0</v>
      </c>
      <c r="K1586" s="834"/>
      <c r="L1586" s="57">
        <f>'Cjenik M'!$C$101</f>
        <v>0</v>
      </c>
      <c r="M1586" s="58">
        <v>0.26975000000000005</v>
      </c>
      <c r="N1586" s="263">
        <f>'Cjenik M'!$D$101</f>
        <v>0</v>
      </c>
      <c r="O1586" s="60">
        <f>M1586*N1586</f>
        <v>0</v>
      </c>
    </row>
    <row r="1587" spans="1:15" ht="25.15" customHeight="1" thickBot="1">
      <c r="A1587" s="66"/>
      <c r="B1587" s="834">
        <f>'Cjenik M'!$B$74</f>
        <v>0</v>
      </c>
      <c r="C1587" s="834"/>
      <c r="D1587" s="57">
        <f>'Cjenik M'!$C$74</f>
        <v>0</v>
      </c>
      <c r="E1587" s="58">
        <v>5.9698000000000001E-2</v>
      </c>
      <c r="F1587" s="263">
        <f>'Cjenik M'!$D$74</f>
        <v>0</v>
      </c>
      <c r="G1587" s="60">
        <f>E1587*F1587</f>
        <v>0</v>
      </c>
      <c r="I1587" s="66"/>
      <c r="J1587" s="834">
        <f>'Cjenik M'!$B$74</f>
        <v>0</v>
      </c>
      <c r="K1587" s="834"/>
      <c r="L1587" s="57">
        <f>'Cjenik M'!$C$74</f>
        <v>0</v>
      </c>
      <c r="M1587" s="58">
        <v>5.9698000000000001E-2</v>
      </c>
      <c r="N1587" s="263">
        <f>'Cjenik M'!$D$74</f>
        <v>0</v>
      </c>
      <c r="O1587" s="60">
        <f>M1587*N1587</f>
        <v>0</v>
      </c>
    </row>
    <row r="1588" spans="1:15" ht="25.15" customHeight="1" thickTop="1" thickBot="1">
      <c r="B1588" s="47"/>
      <c r="C1588" s="24"/>
      <c r="D1588" s="25"/>
      <c r="E1588" s="850" t="str">
        <f>'Obrazac kalkulacije'!$E$18</f>
        <v>Ukupno (kn):</v>
      </c>
      <c r="F1588" s="850"/>
      <c r="G1588" s="26">
        <f>ROUND(SUM(G1579+G1581+G1584),2)</f>
        <v>28.58</v>
      </c>
      <c r="H1588" s="269" t="e">
        <f>SUMIF(#REF!,$B1575,#REF!)</f>
        <v>#REF!</v>
      </c>
      <c r="J1588" s="47"/>
      <c r="K1588" s="24"/>
      <c r="L1588" s="25"/>
      <c r="M1588" s="850" t="str">
        <f>'Obrazac kalkulacije'!$E$18</f>
        <v>Ukupno (kn):</v>
      </c>
      <c r="N1588" s="850"/>
      <c r="O1588" s="26">
        <f>ROUND(SUM(O1579+O1581+O1584),2)</f>
        <v>33.1</v>
      </c>
    </row>
    <row r="1589" spans="1:15" ht="25.15" customHeight="1" thickTop="1" thickBot="1">
      <c r="E1589" s="27" t="str">
        <f>'Obrazac kalkulacije'!$E$19</f>
        <v>PDV:</v>
      </c>
      <c r="F1589" s="259">
        <f>'Obrazac kalkulacije'!$F$19</f>
        <v>0.25</v>
      </c>
      <c r="G1589" s="29">
        <f>G1588*F1589</f>
        <v>7.1449999999999996</v>
      </c>
      <c r="H1589" s="270" t="e">
        <f>H1588-G1588</f>
        <v>#REF!</v>
      </c>
      <c r="M1589" s="27" t="str">
        <f>'Obrazac kalkulacije'!$E$19</f>
        <v>PDV:</v>
      </c>
      <c r="N1589" s="259">
        <f>'Obrazac kalkulacije'!$F$19</f>
        <v>0.25</v>
      </c>
      <c r="O1589" s="29">
        <f>O1588*N1589</f>
        <v>8.2750000000000004</v>
      </c>
    </row>
    <row r="1590" spans="1:15" ht="25.15" customHeight="1" thickTop="1" thickBot="1">
      <c r="E1590" s="840" t="str">
        <f>'Obrazac kalkulacije'!$E$20</f>
        <v>Sveukupno (kn):</v>
      </c>
      <c r="F1590" s="840"/>
      <c r="G1590" s="29">
        <f>ROUND(SUM(G1588:G1589),2)</f>
        <v>35.729999999999997</v>
      </c>
      <c r="H1590" s="271" t="e">
        <f>G1582+H1589</f>
        <v>#REF!</v>
      </c>
      <c r="M1590" s="840" t="str">
        <f>'Obrazac kalkulacije'!$E$20</f>
        <v>Sveukupno (kn):</v>
      </c>
      <c r="N1590" s="840"/>
      <c r="O1590" s="29">
        <f>ROUND(SUM(O1588:O1589),2)</f>
        <v>41.38</v>
      </c>
    </row>
    <row r="1591" spans="1:15" ht="15" customHeight="1" thickTop="1"/>
    <row r="1592" spans="1:15" ht="15" customHeight="1"/>
    <row r="1593" spans="1:15" ht="15" customHeight="1"/>
    <row r="1594" spans="1:15" ht="15" customHeight="1">
      <c r="C1594" s="3" t="str">
        <f>'Obrazac kalkulacije'!$C$24</f>
        <v>IZVODITELJ:</v>
      </c>
      <c r="F1594" s="841" t="str">
        <f>'Obrazac kalkulacije'!$F$24</f>
        <v>NARUČITELJ:</v>
      </c>
      <c r="G1594" s="841"/>
      <c r="K1594" s="3" t="str">
        <f>'Obrazac kalkulacije'!$C$24</f>
        <v>IZVODITELJ:</v>
      </c>
      <c r="N1594" s="841" t="str">
        <f>'Obrazac kalkulacije'!$F$24</f>
        <v>NARUČITELJ:</v>
      </c>
      <c r="O1594" s="841"/>
    </row>
    <row r="1595" spans="1:15" ht="25.15" customHeight="1">
      <c r="C1595" s="3" t="str">
        <f>'Obrazac kalkulacije'!$C$25</f>
        <v>__________________</v>
      </c>
      <c r="F1595" s="841" t="str">
        <f>'Obrazac kalkulacije'!$F$25</f>
        <v>___________________</v>
      </c>
      <c r="G1595" s="841"/>
      <c r="K1595" s="3" t="str">
        <f>'Obrazac kalkulacije'!$C$25</f>
        <v>__________________</v>
      </c>
      <c r="N1595" s="841" t="str">
        <f>'Obrazac kalkulacije'!$F$25</f>
        <v>___________________</v>
      </c>
      <c r="O1595" s="841"/>
    </row>
    <row r="1596" spans="1:15" ht="15" customHeight="1">
      <c r="C1596" s="3"/>
      <c r="G1596" s="30"/>
      <c r="K1596" s="3"/>
      <c r="O1596" s="30"/>
    </row>
    <row r="1597" spans="1:15" ht="15" customHeight="1">
      <c r="F1597" s="841"/>
      <c r="G1597" s="841"/>
      <c r="N1597" s="841"/>
      <c r="O1597" s="841"/>
    </row>
    <row r="1598" spans="1:15" ht="15" customHeight="1">
      <c r="A1598" s="144"/>
      <c r="B1598" s="145" t="s">
        <v>39</v>
      </c>
      <c r="C1598" s="836" t="s">
        <v>360</v>
      </c>
      <c r="D1598" s="836"/>
      <c r="E1598" s="836"/>
      <c r="F1598" s="836"/>
      <c r="G1598" s="836"/>
      <c r="I1598" s="144"/>
      <c r="J1598" s="145" t="s">
        <v>39</v>
      </c>
      <c r="K1598" s="836" t="s">
        <v>360</v>
      </c>
      <c r="L1598" s="836"/>
      <c r="M1598" s="836"/>
      <c r="N1598" s="836"/>
      <c r="O1598" s="836"/>
    </row>
    <row r="1599" spans="1:15" ht="15" customHeight="1">
      <c r="A1599" s="38"/>
      <c r="B1599" s="39" t="s">
        <v>46</v>
      </c>
      <c r="C1599" s="860" t="s">
        <v>470</v>
      </c>
      <c r="D1599" s="860"/>
      <c r="E1599" s="860"/>
      <c r="F1599" s="860"/>
      <c r="G1599" s="860"/>
      <c r="I1599" s="38"/>
      <c r="J1599" s="39" t="s">
        <v>46</v>
      </c>
      <c r="K1599" s="860" t="s">
        <v>470</v>
      </c>
      <c r="L1599" s="860"/>
      <c r="M1599" s="860"/>
      <c r="N1599" s="860"/>
      <c r="O1599" s="860"/>
    </row>
    <row r="1600" spans="1:15" ht="15" customHeight="1">
      <c r="A1600" s="48"/>
      <c r="B1600" s="49" t="s">
        <v>531</v>
      </c>
      <c r="C1600" s="883" t="s">
        <v>532</v>
      </c>
      <c r="D1600" s="883"/>
      <c r="E1600" s="883"/>
      <c r="F1600" s="883"/>
      <c r="G1600" s="883"/>
      <c r="I1600" s="48"/>
      <c r="J1600" s="49" t="s">
        <v>531</v>
      </c>
      <c r="K1600" s="883" t="s">
        <v>532</v>
      </c>
      <c r="L1600" s="883"/>
      <c r="M1600" s="883"/>
      <c r="N1600" s="883"/>
      <c r="O1600" s="883"/>
    </row>
    <row r="1601" spans="1:15" ht="150" customHeight="1">
      <c r="A1601" s="40"/>
      <c r="B1601" s="556" t="s">
        <v>545</v>
      </c>
      <c r="C1601" s="852" t="s">
        <v>546</v>
      </c>
      <c r="D1601" s="852"/>
      <c r="E1601" s="852"/>
      <c r="F1601" s="852"/>
      <c r="G1601" s="852"/>
      <c r="I1601" s="40"/>
      <c r="J1601" s="41" t="s">
        <v>545</v>
      </c>
      <c r="K1601" s="869" t="s">
        <v>546</v>
      </c>
      <c r="L1601" s="869"/>
      <c r="M1601" s="869"/>
      <c r="N1601" s="869"/>
      <c r="O1601" s="869"/>
    </row>
    <row r="1602" spans="1:15" ht="15" customHeight="1" thickBot="1"/>
    <row r="1603" spans="1:15" ht="30" customHeight="1" thickTop="1" thickBot="1">
      <c r="A1603" s="10"/>
      <c r="B1603" s="835" t="str">
        <f>'Obrazac kalkulacije'!$B$6:$C$6</f>
        <v>Opis</v>
      </c>
      <c r="C1603" s="835"/>
      <c r="D1603" s="10" t="str">
        <f>'Obrazac kalkulacije'!$D$6</f>
        <v>Jed.
mjere</v>
      </c>
      <c r="E1603" s="10" t="str">
        <f>'Obrazac kalkulacije'!$E$6</f>
        <v>Normativ</v>
      </c>
      <c r="F1603" s="10" t="str">
        <f>'Obrazac kalkulacije'!$F$6</f>
        <v>Jed.
cijena</v>
      </c>
      <c r="G1603" s="10" t="str">
        <f>'Obrazac kalkulacije'!$G$6</f>
        <v>Iznos</v>
      </c>
      <c r="H1603" s="622">
        <v>120</v>
      </c>
      <c r="I1603" s="10"/>
      <c r="J1603" s="835" t="e">
        <f>'Obrazac kalkulacije'!$B$6:$C$6</f>
        <v>#VALUE!</v>
      </c>
      <c r="K1603" s="835"/>
      <c r="L1603" s="10" t="str">
        <f>'Obrazac kalkulacije'!$D$6</f>
        <v>Jed.
mjere</v>
      </c>
      <c r="M1603" s="10" t="str">
        <f>'Obrazac kalkulacije'!$E$6</f>
        <v>Normativ</v>
      </c>
      <c r="N1603" s="10" t="str">
        <f>'Obrazac kalkulacije'!$F$6</f>
        <v>Jed.
cijena</v>
      </c>
      <c r="O1603" s="10" t="str">
        <f>'Obrazac kalkulacije'!$G$6</f>
        <v>Iznos</v>
      </c>
    </row>
    <row r="1604" spans="1:15" ht="4.5" customHeight="1" thickTop="1">
      <c r="B1604" s="42"/>
      <c r="C1604" s="1"/>
      <c r="D1604" s="11"/>
      <c r="E1604" s="13"/>
      <c r="F1604" s="258"/>
      <c r="G1604" s="15"/>
      <c r="H1604" s="3"/>
      <c r="J1604" s="42"/>
      <c r="K1604" s="1"/>
      <c r="L1604" s="11"/>
      <c r="M1604" s="13"/>
      <c r="N1604" s="258"/>
      <c r="O1604" s="15"/>
    </row>
    <row r="1605" spans="1:15" ht="25.15" customHeight="1">
      <c r="A1605" s="16"/>
      <c r="B1605" s="837" t="str">
        <f>'Obrazac kalkulacije'!$B$8</f>
        <v>Radna snaga:</v>
      </c>
      <c r="C1605" s="837"/>
      <c r="D1605" s="16"/>
      <c r="E1605" s="16"/>
      <c r="F1605" s="44"/>
      <c r="G1605" s="18">
        <f>SUM(G1606:G1606)</f>
        <v>21.006</v>
      </c>
      <c r="H1605" s="3"/>
      <c r="I1605" s="16"/>
      <c r="J1605" s="837" t="str">
        <f>'Obrazac kalkulacije'!$B$8</f>
        <v>Radna snaga:</v>
      </c>
      <c r="K1605" s="837"/>
      <c r="L1605" s="16"/>
      <c r="M1605" s="16"/>
      <c r="N1605" s="44"/>
      <c r="O1605" s="18">
        <f>SUM(O1606:O1606)</f>
        <v>28.00803501</v>
      </c>
    </row>
    <row r="1606" spans="1:15" ht="25.15" customHeight="1">
      <c r="A1606" s="32"/>
      <c r="B1606" s="854" t="s">
        <v>57</v>
      </c>
      <c r="C1606" s="854"/>
      <c r="D1606" s="33" t="s">
        <v>51</v>
      </c>
      <c r="E1606" s="34">
        <f>H1606/H1603</f>
        <v>0.2</v>
      </c>
      <c r="F1606" s="238">
        <f>SUMIF('Cjenik RS'!$C$11:$C$26,$B1606,'Cjenik RS'!$D$11:$D$90)</f>
        <v>105.03</v>
      </c>
      <c r="G1606" s="35">
        <f>+F1606*E1606</f>
        <v>21.006</v>
      </c>
      <c r="H1606" s="560">
        <v>24</v>
      </c>
      <c r="I1606" s="32"/>
      <c r="J1606" s="854" t="s">
        <v>57</v>
      </c>
      <c r="K1606" s="854"/>
      <c r="L1606" s="33" t="s">
        <v>51</v>
      </c>
      <c r="M1606" s="34">
        <v>0.26666699999999999</v>
      </c>
      <c r="N1606" s="44">
        <f>SUMIF('Cjenik RS'!$C$11:$C$26,J1606,'Cjenik RS'!$D$11:$D$90)</f>
        <v>105.03</v>
      </c>
      <c r="O1606" s="35">
        <f>+N1606*M1606</f>
        <v>28.00803501</v>
      </c>
    </row>
    <row r="1607" spans="1:15" ht="25.15" customHeight="1">
      <c r="A1607" s="16"/>
      <c r="B1607" s="837" t="str">
        <f>'Obrazac kalkulacije'!$B$11</f>
        <v>Vozila, strojevi i oprema:</v>
      </c>
      <c r="C1607" s="837"/>
      <c r="D1607" s="16"/>
      <c r="E1607" s="16"/>
      <c r="F1607" s="238">
        <f>'Obrazac kalkulacije'!$F$11</f>
        <v>0</v>
      </c>
      <c r="G1607" s="18">
        <f>SUM(G1608:G1609)</f>
        <v>19.481249999999999</v>
      </c>
      <c r="I1607" s="16"/>
      <c r="J1607" s="837" t="str">
        <f>'Obrazac kalkulacije'!$B$11</f>
        <v>Vozila, strojevi i oprema:</v>
      </c>
      <c r="K1607" s="837"/>
      <c r="L1607" s="16"/>
      <c r="M1607" s="16"/>
      <c r="N1607" s="238">
        <f>'Obrazac kalkulacije'!$F$11</f>
        <v>0</v>
      </c>
      <c r="O1607" s="18">
        <f>SUM(O1608:O1609)</f>
        <v>16.128619929999999</v>
      </c>
    </row>
    <row r="1608" spans="1:15" ht="25.15" customHeight="1">
      <c r="A1608" s="51"/>
      <c r="B1608" s="863" t="s">
        <v>520</v>
      </c>
      <c r="C1608" s="863"/>
      <c r="D1608" s="52" t="s">
        <v>51</v>
      </c>
      <c r="E1608" s="53">
        <f>H1608/H1603</f>
        <v>4.1666666666666664E-2</v>
      </c>
      <c r="F1608" s="260">
        <f>SUMIF('Cjenik VSO'!$B$9:$B$85,$B1608,'Cjenik VSO'!$C$9:$C$85)</f>
        <v>180.19</v>
      </c>
      <c r="G1608" s="55">
        <f>E1608*F1608</f>
        <v>7.5079166666666666</v>
      </c>
      <c r="H1608" s="560">
        <v>5</v>
      </c>
      <c r="I1608" s="51"/>
      <c r="J1608" s="863" t="s">
        <v>520</v>
      </c>
      <c r="K1608" s="863"/>
      <c r="L1608" s="52" t="s">
        <v>51</v>
      </c>
      <c r="M1608" s="53">
        <v>6.6667000000000004E-2</v>
      </c>
      <c r="N1608" s="260">
        <f>SUMIF('Cjenik VSO'!$B$9:$B$85,$B1608,'Cjenik VSO'!$C$9:$C$85)</f>
        <v>180.19</v>
      </c>
      <c r="O1608" s="55">
        <f>M1608*N1608</f>
        <v>12.012726730000001</v>
      </c>
    </row>
    <row r="1609" spans="1:15" ht="25.15" customHeight="1">
      <c r="A1609" s="61"/>
      <c r="B1609" s="864" t="s">
        <v>69</v>
      </c>
      <c r="C1609" s="864"/>
      <c r="D1609" s="62" t="s">
        <v>51</v>
      </c>
      <c r="E1609" s="63">
        <f>H1609/H1603</f>
        <v>6.6666666666666666E-2</v>
      </c>
      <c r="F1609" s="261">
        <f>SUMIF('Cjenik VSO'!$B$9:$B$85,$B1609,'Cjenik VSO'!$C$9:$C$85)</f>
        <v>179.6</v>
      </c>
      <c r="G1609" s="65">
        <f>E1609*F1609</f>
        <v>11.973333333333333</v>
      </c>
      <c r="H1609" s="560">
        <v>8</v>
      </c>
      <c r="I1609" s="61"/>
      <c r="J1609" s="864" t="s">
        <v>69</v>
      </c>
      <c r="K1609" s="864"/>
      <c r="L1609" s="62" t="s">
        <v>51</v>
      </c>
      <c r="M1609" s="63">
        <v>2.2917E-2</v>
      </c>
      <c r="N1609" s="261">
        <f>SUMIF('Cjenik VSO'!$B$9:$B$85,$B1609,'Cjenik VSO'!$C$9:$C$85)</f>
        <v>179.6</v>
      </c>
      <c r="O1609" s="65">
        <f>M1609*N1609</f>
        <v>4.1158931999999995</v>
      </c>
    </row>
    <row r="1610" spans="1:15" ht="25.15" customHeight="1">
      <c r="A1610" s="16"/>
      <c r="B1610" s="837" t="str">
        <f>'Obrazac kalkulacije'!$B$15</f>
        <v>Materijali:</v>
      </c>
      <c r="C1610" s="837"/>
      <c r="D1610" s="16"/>
      <c r="E1610" s="16"/>
      <c r="F1610" s="238"/>
      <c r="G1610" s="18">
        <f>SUM(G1611:G1613)</f>
        <v>0</v>
      </c>
      <c r="I1610" s="16"/>
      <c r="J1610" s="837" t="str">
        <f>'Obrazac kalkulacije'!$B$15</f>
        <v>Materijali:</v>
      </c>
      <c r="K1610" s="837"/>
      <c r="L1610" s="16"/>
      <c r="M1610" s="16"/>
      <c r="N1610" s="238"/>
      <c r="O1610" s="18">
        <f>SUM(O1611:O1613)</f>
        <v>0</v>
      </c>
    </row>
    <row r="1611" spans="1:15" ht="25.15" customHeight="1">
      <c r="A1611" s="51"/>
      <c r="B1611" s="863">
        <f>'Cjenik M'!$B$72</f>
        <v>0</v>
      </c>
      <c r="C1611" s="863"/>
      <c r="D1611" s="52">
        <f>'Cjenik M'!$C$72</f>
        <v>0</v>
      </c>
      <c r="E1611" s="53">
        <v>1.0230000000000001</v>
      </c>
      <c r="F1611" s="260">
        <f>'Cjenik M'!$D$72</f>
        <v>0</v>
      </c>
      <c r="G1611" s="55">
        <f>E1611*F1611</f>
        <v>0</v>
      </c>
      <c r="I1611" s="51"/>
      <c r="J1611" s="863">
        <f>'Cjenik M'!$B$72</f>
        <v>0</v>
      </c>
      <c r="K1611" s="863"/>
      <c r="L1611" s="52">
        <f>'Cjenik M'!$C$72</f>
        <v>0</v>
      </c>
      <c r="M1611" s="53">
        <v>1.0230000000000001</v>
      </c>
      <c r="N1611" s="260">
        <f>'Cjenik M'!$D$72</f>
        <v>0</v>
      </c>
      <c r="O1611" s="55">
        <f>M1611*N1611</f>
        <v>0</v>
      </c>
    </row>
    <row r="1612" spans="1:15" ht="25.15" customHeight="1">
      <c r="A1612" s="56"/>
      <c r="B1612" s="834">
        <f>'Cjenik M'!$B$101</f>
        <v>0</v>
      </c>
      <c r="C1612" s="834"/>
      <c r="D1612" s="57">
        <f>'Cjenik M'!$C$101</f>
        <v>0</v>
      </c>
      <c r="E1612" s="58">
        <v>0.53625</v>
      </c>
      <c r="F1612" s="263">
        <f>'Cjenik M'!$D$101</f>
        <v>0</v>
      </c>
      <c r="G1612" s="60">
        <f>E1612*F1612</f>
        <v>0</v>
      </c>
      <c r="I1612" s="56"/>
      <c r="J1612" s="834">
        <f>'Cjenik M'!$B$101</f>
        <v>0</v>
      </c>
      <c r="K1612" s="834"/>
      <c r="L1612" s="57">
        <f>'Cjenik M'!$C$101</f>
        <v>0</v>
      </c>
      <c r="M1612" s="58">
        <v>0.53625</v>
      </c>
      <c r="N1612" s="263">
        <f>'Cjenik M'!$D$101</f>
        <v>0</v>
      </c>
      <c r="O1612" s="60">
        <f>M1612*N1612</f>
        <v>0</v>
      </c>
    </row>
    <row r="1613" spans="1:15" ht="25.15" customHeight="1" thickBot="1">
      <c r="A1613" s="66"/>
      <c r="B1613" s="834">
        <f>'Cjenik M'!$B$74</f>
        <v>0</v>
      </c>
      <c r="C1613" s="834"/>
      <c r="D1613" s="57">
        <f>'Cjenik M'!$C$74</f>
        <v>0</v>
      </c>
      <c r="E1613" s="58">
        <v>0.118677</v>
      </c>
      <c r="F1613" s="263">
        <f>'Cjenik M'!$D$74</f>
        <v>0</v>
      </c>
      <c r="G1613" s="60">
        <f>E1613*F1613</f>
        <v>0</v>
      </c>
      <c r="I1613" s="66"/>
      <c r="J1613" s="834">
        <f>'Cjenik M'!$B$74</f>
        <v>0</v>
      </c>
      <c r="K1613" s="834"/>
      <c r="L1613" s="57">
        <f>'Cjenik M'!$C$74</f>
        <v>0</v>
      </c>
      <c r="M1613" s="58">
        <v>0.118677</v>
      </c>
      <c r="N1613" s="263">
        <f>'Cjenik M'!$D$74</f>
        <v>0</v>
      </c>
      <c r="O1613" s="60">
        <f>M1613*N1613</f>
        <v>0</v>
      </c>
    </row>
    <row r="1614" spans="1:15" ht="25.15" customHeight="1" thickTop="1" thickBot="1">
      <c r="B1614" s="47"/>
      <c r="C1614" s="24"/>
      <c r="D1614" s="25"/>
      <c r="E1614" s="850" t="str">
        <f>'Obrazac kalkulacije'!$E$18</f>
        <v>Ukupno (kn):</v>
      </c>
      <c r="F1614" s="850"/>
      <c r="G1614" s="26">
        <f>ROUND(SUM(G1605+G1607+G1610),2)</f>
        <v>40.49</v>
      </c>
      <c r="H1614" s="269" t="e">
        <f>SUMIF(#REF!,$B1601,#REF!)</f>
        <v>#REF!</v>
      </c>
      <c r="J1614" s="47"/>
      <c r="K1614" s="24"/>
      <c r="L1614" s="25"/>
      <c r="M1614" s="850" t="str">
        <f>'Obrazac kalkulacije'!$E$18</f>
        <v>Ukupno (kn):</v>
      </c>
      <c r="N1614" s="850"/>
      <c r="O1614" s="26">
        <f>ROUND(SUM(O1605+O1607+O1610),2)</f>
        <v>44.14</v>
      </c>
    </row>
    <row r="1615" spans="1:15" ht="25.15" customHeight="1" thickTop="1" thickBot="1">
      <c r="E1615" s="27" t="str">
        <f>'Obrazac kalkulacije'!$E$19</f>
        <v>PDV:</v>
      </c>
      <c r="F1615" s="259">
        <f>'Obrazac kalkulacije'!$F$19</f>
        <v>0.25</v>
      </c>
      <c r="G1615" s="29">
        <f>G1614*F1615</f>
        <v>10.1225</v>
      </c>
      <c r="H1615" s="270" t="e">
        <f>H1614-G1614</f>
        <v>#REF!</v>
      </c>
      <c r="M1615" s="27" t="str">
        <f>'Obrazac kalkulacije'!$E$19</f>
        <v>PDV:</v>
      </c>
      <c r="N1615" s="259">
        <f>'Obrazac kalkulacije'!$F$19</f>
        <v>0.25</v>
      </c>
      <c r="O1615" s="29">
        <f>O1614*N1615</f>
        <v>11.035</v>
      </c>
    </row>
    <row r="1616" spans="1:15" ht="25.15" customHeight="1" thickTop="1" thickBot="1">
      <c r="E1616" s="840" t="str">
        <f>'Obrazac kalkulacije'!$E$20</f>
        <v>Sveukupno (kn):</v>
      </c>
      <c r="F1616" s="840"/>
      <c r="G1616" s="29">
        <f>ROUND(SUM(G1614:G1615),2)</f>
        <v>50.61</v>
      </c>
      <c r="H1616" s="271" t="e">
        <f>G1608+H1615</f>
        <v>#REF!</v>
      </c>
      <c r="M1616" s="840" t="str">
        <f>'Obrazac kalkulacije'!$E$20</f>
        <v>Sveukupno (kn):</v>
      </c>
      <c r="N1616" s="840"/>
      <c r="O1616" s="29">
        <f>ROUND(SUM(O1614:O1615),2)</f>
        <v>55.18</v>
      </c>
    </row>
    <row r="1617" spans="1:15" ht="15" customHeight="1" thickTop="1"/>
    <row r="1618" spans="1:15" ht="15" customHeight="1"/>
    <row r="1619" spans="1:15" ht="15" customHeight="1"/>
    <row r="1620" spans="1:15" ht="15" customHeight="1">
      <c r="C1620" s="3" t="str">
        <f>'Obrazac kalkulacije'!$C$24</f>
        <v>IZVODITELJ:</v>
      </c>
      <c r="F1620" s="841" t="str">
        <f>'Obrazac kalkulacije'!$F$24</f>
        <v>NARUČITELJ:</v>
      </c>
      <c r="G1620" s="841"/>
      <c r="K1620" s="3" t="str">
        <f>'Obrazac kalkulacije'!$C$24</f>
        <v>IZVODITELJ:</v>
      </c>
      <c r="N1620" s="841" t="str">
        <f>'Obrazac kalkulacije'!$F$24</f>
        <v>NARUČITELJ:</v>
      </c>
      <c r="O1620" s="841"/>
    </row>
    <row r="1621" spans="1:15" ht="25.15" customHeight="1">
      <c r="C1621" s="3" t="str">
        <f>'Obrazac kalkulacije'!$C$25</f>
        <v>__________________</v>
      </c>
      <c r="F1621" s="841" t="str">
        <f>'Obrazac kalkulacije'!$F$25</f>
        <v>___________________</v>
      </c>
      <c r="G1621" s="841"/>
      <c r="K1621" s="3" t="str">
        <f>'Obrazac kalkulacije'!$C$25</f>
        <v>__________________</v>
      </c>
      <c r="N1621" s="841" t="str">
        <f>'Obrazac kalkulacije'!$F$25</f>
        <v>___________________</v>
      </c>
      <c r="O1621" s="841"/>
    </row>
    <row r="1622" spans="1:15" ht="15" customHeight="1">
      <c r="C1622" s="3"/>
      <c r="G1622" s="30"/>
      <c r="K1622" s="3"/>
      <c r="O1622" s="30"/>
    </row>
    <row r="1623" spans="1:15" ht="15" customHeight="1">
      <c r="F1623" s="841"/>
      <c r="G1623" s="841"/>
      <c r="N1623" s="841"/>
      <c r="O1623" s="841"/>
    </row>
    <row r="1624" spans="1:15" ht="15" customHeight="1">
      <c r="A1624" s="144"/>
      <c r="B1624" s="145" t="s">
        <v>39</v>
      </c>
      <c r="C1624" s="836" t="s">
        <v>360</v>
      </c>
      <c r="D1624" s="836"/>
      <c r="E1624" s="836"/>
      <c r="F1624" s="836"/>
      <c r="G1624" s="836"/>
      <c r="I1624" s="144"/>
      <c r="J1624" s="145" t="s">
        <v>39</v>
      </c>
      <c r="K1624" s="836" t="s">
        <v>360</v>
      </c>
      <c r="L1624" s="836"/>
      <c r="M1624" s="836"/>
      <c r="N1624" s="836"/>
      <c r="O1624" s="836"/>
    </row>
    <row r="1625" spans="1:15" ht="15" customHeight="1">
      <c r="A1625" s="38"/>
      <c r="B1625" s="39" t="s">
        <v>46</v>
      </c>
      <c r="C1625" s="860" t="s">
        <v>470</v>
      </c>
      <c r="D1625" s="860"/>
      <c r="E1625" s="860"/>
      <c r="F1625" s="860"/>
      <c r="G1625" s="860"/>
      <c r="I1625" s="38"/>
      <c r="J1625" s="39" t="s">
        <v>46</v>
      </c>
      <c r="K1625" s="860" t="s">
        <v>470</v>
      </c>
      <c r="L1625" s="860"/>
      <c r="M1625" s="860"/>
      <c r="N1625" s="860"/>
      <c r="O1625" s="860"/>
    </row>
    <row r="1626" spans="1:15" ht="15" customHeight="1">
      <c r="A1626" s="48"/>
      <c r="B1626" s="49" t="s">
        <v>547</v>
      </c>
      <c r="C1626" s="883" t="s">
        <v>548</v>
      </c>
      <c r="D1626" s="883"/>
      <c r="E1626" s="883"/>
      <c r="F1626" s="883"/>
      <c r="G1626" s="883"/>
      <c r="I1626" s="48"/>
      <c r="J1626" s="49" t="s">
        <v>547</v>
      </c>
      <c r="K1626" s="883" t="s">
        <v>548</v>
      </c>
      <c r="L1626" s="883"/>
      <c r="M1626" s="883"/>
      <c r="N1626" s="883"/>
      <c r="O1626" s="883"/>
    </row>
    <row r="1627" spans="1:15" ht="150" customHeight="1">
      <c r="A1627" s="40"/>
      <c r="B1627" s="556" t="s">
        <v>549</v>
      </c>
      <c r="C1627" s="852" t="s">
        <v>550</v>
      </c>
      <c r="D1627" s="852"/>
      <c r="E1627" s="852"/>
      <c r="F1627" s="852"/>
      <c r="G1627" s="852"/>
      <c r="I1627" s="40"/>
      <c r="J1627" s="41" t="s">
        <v>549</v>
      </c>
      <c r="K1627" s="869" t="s">
        <v>550</v>
      </c>
      <c r="L1627" s="869"/>
      <c r="M1627" s="869"/>
      <c r="N1627" s="869"/>
      <c r="O1627" s="869"/>
    </row>
    <row r="1628" spans="1:15" ht="15" customHeight="1" thickBot="1"/>
    <row r="1629" spans="1:15" ht="30" customHeight="1" thickTop="1" thickBot="1">
      <c r="A1629" s="10"/>
      <c r="B1629" s="835" t="str">
        <f>'Obrazac kalkulacije'!$B$6:$C$6</f>
        <v>Opis</v>
      </c>
      <c r="C1629" s="835"/>
      <c r="D1629" s="10" t="str">
        <f>'Obrazac kalkulacije'!$D$6</f>
        <v>Jed.
mjere</v>
      </c>
      <c r="E1629" s="10" t="str">
        <f>'Obrazac kalkulacije'!$E$6</f>
        <v>Normativ</v>
      </c>
      <c r="F1629" s="10" t="str">
        <f>'Obrazac kalkulacije'!$F$6</f>
        <v>Jed.
cijena</v>
      </c>
      <c r="G1629" s="10" t="str">
        <f>'Obrazac kalkulacije'!$G$6</f>
        <v>Iznos</v>
      </c>
      <c r="I1629" s="10"/>
      <c r="J1629" s="835" t="e">
        <f>'Obrazac kalkulacije'!$B$6:$C$6</f>
        <v>#VALUE!</v>
      </c>
      <c r="K1629" s="835"/>
      <c r="L1629" s="10" t="str">
        <f>'Obrazac kalkulacije'!$D$6</f>
        <v>Jed.
mjere</v>
      </c>
      <c r="M1629" s="10" t="str">
        <f>'Obrazac kalkulacije'!$E$6</f>
        <v>Normativ</v>
      </c>
      <c r="N1629" s="10" t="str">
        <f>'Obrazac kalkulacije'!$F$6</f>
        <v>Jed.
cijena</v>
      </c>
      <c r="O1629" s="10" t="str">
        <f>'Obrazac kalkulacije'!$G$6</f>
        <v>Iznos</v>
      </c>
    </row>
    <row r="1630" spans="1:15" ht="4.5" customHeight="1" thickTop="1">
      <c r="B1630" s="42"/>
      <c r="C1630" s="1"/>
      <c r="D1630" s="11"/>
      <c r="E1630" s="13"/>
      <c r="F1630" s="258"/>
      <c r="G1630" s="15"/>
      <c r="J1630" s="42"/>
      <c r="K1630" s="1"/>
      <c r="L1630" s="11"/>
      <c r="M1630" s="13"/>
      <c r="N1630" s="258"/>
      <c r="O1630" s="15"/>
    </row>
    <row r="1631" spans="1:15" ht="25.15" customHeight="1">
      <c r="A1631" s="16"/>
      <c r="B1631" s="837" t="str">
        <f>'Obrazac kalkulacije'!$B$8</f>
        <v>Radna snaga:</v>
      </c>
      <c r="C1631" s="837"/>
      <c r="D1631" s="16"/>
      <c r="E1631" s="16"/>
      <c r="F1631" s="44"/>
      <c r="G1631" s="18">
        <f>SUM(G1632:G1632)</f>
        <v>105.03</v>
      </c>
      <c r="I1631" s="16"/>
      <c r="J1631" s="837" t="str">
        <f>'Obrazac kalkulacije'!$B$8</f>
        <v>Radna snaga:</v>
      </c>
      <c r="K1631" s="837"/>
      <c r="L1631" s="16"/>
      <c r="M1631" s="16"/>
      <c r="N1631" s="44"/>
      <c r="O1631" s="18">
        <f>SUM(O1632:O1632)</f>
        <v>105.03</v>
      </c>
    </row>
    <row r="1632" spans="1:15" ht="25.15" customHeight="1">
      <c r="A1632" s="19"/>
      <c r="B1632" s="854" t="s">
        <v>551</v>
      </c>
      <c r="C1632" s="854"/>
      <c r="D1632" s="33" t="s">
        <v>51</v>
      </c>
      <c r="E1632" s="34">
        <v>1</v>
      </c>
      <c r="F1632" s="238">
        <f>SUMIF('Cjenik RS'!$C$11:$C$26,$B1632,'Cjenik RS'!$D$11:$D$90)</f>
        <v>105.03</v>
      </c>
      <c r="G1632" s="35">
        <f>+F1632*E1632</f>
        <v>105.03</v>
      </c>
      <c r="I1632" s="19"/>
      <c r="J1632" s="854" t="s">
        <v>551</v>
      </c>
      <c r="K1632" s="854"/>
      <c r="L1632" s="33" t="s">
        <v>51</v>
      </c>
      <c r="M1632" s="34">
        <v>1</v>
      </c>
      <c r="N1632" s="44">
        <f>SUMIF('Cjenik RS'!$C$11:$C$26,J1632,'Cjenik RS'!$D$11:$D$90)</f>
        <v>105.03</v>
      </c>
      <c r="O1632" s="35">
        <f>+N1632*M1632</f>
        <v>105.03</v>
      </c>
    </row>
    <row r="1633" spans="1:15" ht="25.15" customHeight="1" thickTop="1" thickBot="1">
      <c r="B1633" s="47"/>
      <c r="C1633" s="24"/>
      <c r="D1633" s="25"/>
      <c r="E1633" s="850" t="str">
        <f>'Obrazac kalkulacije'!$E$18</f>
        <v>Ukupno (kn):</v>
      </c>
      <c r="F1633" s="850"/>
      <c r="G1633" s="26">
        <f>ROUND(SUM(G1631),2)</f>
        <v>105.03</v>
      </c>
      <c r="H1633" s="269" t="e">
        <f>SUMIF(#REF!,$B1627,#REF!)</f>
        <v>#REF!</v>
      </c>
      <c r="J1633" s="47"/>
      <c r="K1633" s="24"/>
      <c r="L1633" s="25"/>
      <c r="M1633" s="850" t="str">
        <f>'Obrazac kalkulacije'!$E$18</f>
        <v>Ukupno (kn):</v>
      </c>
      <c r="N1633" s="850"/>
      <c r="O1633" s="26">
        <f>ROUND(SUM(O1631),2)</f>
        <v>105.03</v>
      </c>
    </row>
    <row r="1634" spans="1:15" ht="25.15" customHeight="1" thickTop="1" thickBot="1">
      <c r="E1634" s="27" t="str">
        <f>'Obrazac kalkulacije'!$E$19</f>
        <v>PDV:</v>
      </c>
      <c r="F1634" s="259">
        <f>'Obrazac kalkulacije'!$F$19</f>
        <v>0.25</v>
      </c>
      <c r="G1634" s="29">
        <f>G1633*F1634</f>
        <v>26.2575</v>
      </c>
      <c r="H1634" s="270" t="e">
        <f>H1633-G1633</f>
        <v>#REF!</v>
      </c>
      <c r="M1634" s="27" t="str">
        <f>'Obrazac kalkulacije'!$E$19</f>
        <v>PDV:</v>
      </c>
      <c r="N1634" s="259">
        <f>'Obrazac kalkulacije'!$F$19</f>
        <v>0.25</v>
      </c>
      <c r="O1634" s="29">
        <f>O1633*N1634</f>
        <v>26.2575</v>
      </c>
    </row>
    <row r="1635" spans="1:15" ht="25.15" customHeight="1" thickTop="1" thickBot="1">
      <c r="E1635" s="840" t="str">
        <f>'Obrazac kalkulacije'!$E$20</f>
        <v>Sveukupno (kn):</v>
      </c>
      <c r="F1635" s="840"/>
      <c r="G1635" s="29">
        <f>ROUND(SUM(G1633:G1634),2)</f>
        <v>131.29</v>
      </c>
      <c r="H1635" s="271" t="e">
        <f>G1627+H1634</f>
        <v>#REF!</v>
      </c>
      <c r="M1635" s="840" t="str">
        <f>'Obrazac kalkulacije'!$E$20</f>
        <v>Sveukupno (kn):</v>
      </c>
      <c r="N1635" s="840"/>
      <c r="O1635" s="29">
        <f>ROUND(SUM(O1633:O1634),2)</f>
        <v>131.29</v>
      </c>
    </row>
    <row r="1636" spans="1:15" ht="15" customHeight="1" thickTop="1"/>
    <row r="1637" spans="1:15" ht="15" customHeight="1"/>
    <row r="1638" spans="1:15" ht="15" customHeight="1"/>
    <row r="1639" spans="1:15" ht="15" customHeight="1">
      <c r="C1639" s="3" t="str">
        <f>'Obrazac kalkulacije'!$C$24</f>
        <v>IZVODITELJ:</v>
      </c>
      <c r="F1639" s="841" t="str">
        <f>'Obrazac kalkulacije'!$F$24</f>
        <v>NARUČITELJ:</v>
      </c>
      <c r="G1639" s="841"/>
      <c r="K1639" s="3" t="str">
        <f>'Obrazac kalkulacije'!$C$24</f>
        <v>IZVODITELJ:</v>
      </c>
      <c r="N1639" s="841" t="str">
        <f>'Obrazac kalkulacije'!$F$24</f>
        <v>NARUČITELJ:</v>
      </c>
      <c r="O1639" s="841"/>
    </row>
    <row r="1640" spans="1:15" ht="25.15" customHeight="1">
      <c r="C1640" s="3" t="str">
        <f>'Obrazac kalkulacije'!$C$25</f>
        <v>__________________</v>
      </c>
      <c r="F1640" s="841" t="str">
        <f>'Obrazac kalkulacije'!$F$25</f>
        <v>___________________</v>
      </c>
      <c r="G1640" s="841"/>
      <c r="K1640" s="3" t="str">
        <f>'Obrazac kalkulacije'!$C$25</f>
        <v>__________________</v>
      </c>
      <c r="N1640" s="841" t="str">
        <f>'Obrazac kalkulacije'!$F$25</f>
        <v>___________________</v>
      </c>
      <c r="O1640" s="841"/>
    </row>
    <row r="1641" spans="1:15" ht="15" customHeight="1">
      <c r="C1641" s="3"/>
      <c r="G1641" s="30"/>
      <c r="K1641" s="3"/>
      <c r="O1641" s="30"/>
    </row>
    <row r="1642" spans="1:15" ht="15" customHeight="1">
      <c r="F1642" s="841"/>
      <c r="G1642" s="841"/>
      <c r="N1642" s="841"/>
      <c r="O1642" s="841"/>
    </row>
    <row r="1643" spans="1:15" ht="15" customHeight="1">
      <c r="A1643" s="144"/>
      <c r="B1643" s="145" t="s">
        <v>39</v>
      </c>
      <c r="C1643" s="836" t="s">
        <v>360</v>
      </c>
      <c r="D1643" s="836"/>
      <c r="E1643" s="836"/>
      <c r="F1643" s="836"/>
      <c r="G1643" s="836"/>
      <c r="I1643" s="144"/>
      <c r="J1643" s="145" t="s">
        <v>39</v>
      </c>
      <c r="K1643" s="836" t="s">
        <v>360</v>
      </c>
      <c r="L1643" s="836"/>
      <c r="M1643" s="836"/>
      <c r="N1643" s="836"/>
      <c r="O1643" s="836"/>
    </row>
    <row r="1644" spans="1:15" ht="15" customHeight="1">
      <c r="A1644" s="38"/>
      <c r="B1644" s="39" t="s">
        <v>46</v>
      </c>
      <c r="C1644" s="860" t="s">
        <v>470</v>
      </c>
      <c r="D1644" s="860"/>
      <c r="E1644" s="860"/>
      <c r="F1644" s="860"/>
      <c r="G1644" s="860"/>
      <c r="I1644" s="38"/>
      <c r="J1644" s="39" t="s">
        <v>46</v>
      </c>
      <c r="K1644" s="860" t="s">
        <v>470</v>
      </c>
      <c r="L1644" s="860"/>
      <c r="M1644" s="860"/>
      <c r="N1644" s="860"/>
      <c r="O1644" s="860"/>
    </row>
    <row r="1645" spans="1:15" ht="15" customHeight="1">
      <c r="A1645" s="48"/>
      <c r="B1645" s="49" t="s">
        <v>547</v>
      </c>
      <c r="C1645" s="883" t="s">
        <v>548</v>
      </c>
      <c r="D1645" s="883"/>
      <c r="E1645" s="883"/>
      <c r="F1645" s="883"/>
      <c r="G1645" s="883"/>
      <c r="I1645" s="48"/>
      <c r="J1645" s="49" t="s">
        <v>547</v>
      </c>
      <c r="K1645" s="883" t="s">
        <v>548</v>
      </c>
      <c r="L1645" s="883"/>
      <c r="M1645" s="883"/>
      <c r="N1645" s="883"/>
      <c r="O1645" s="883"/>
    </row>
    <row r="1646" spans="1:15" ht="150" customHeight="1">
      <c r="A1646" s="40"/>
      <c r="B1646" s="556" t="s">
        <v>552</v>
      </c>
      <c r="C1646" s="852" t="s">
        <v>553</v>
      </c>
      <c r="D1646" s="852"/>
      <c r="E1646" s="852"/>
      <c r="F1646" s="852"/>
      <c r="G1646" s="852"/>
      <c r="I1646" s="40"/>
      <c r="J1646" s="41" t="s">
        <v>552</v>
      </c>
      <c r="K1646" s="869" t="s">
        <v>553</v>
      </c>
      <c r="L1646" s="869"/>
      <c r="M1646" s="869"/>
      <c r="N1646" s="869"/>
      <c r="O1646" s="869"/>
    </row>
    <row r="1647" spans="1:15" ht="15" customHeight="1" thickBot="1"/>
    <row r="1648" spans="1:15" ht="30" customHeight="1" thickTop="1" thickBot="1">
      <c r="A1648" s="10"/>
      <c r="B1648" s="835" t="str">
        <f>'Obrazac kalkulacije'!$B$6:$C$6</f>
        <v>Opis</v>
      </c>
      <c r="C1648" s="835"/>
      <c r="D1648" s="10" t="str">
        <f>'Obrazac kalkulacije'!$D$6</f>
        <v>Jed.
mjere</v>
      </c>
      <c r="E1648" s="10" t="str">
        <f>'Obrazac kalkulacije'!$E$6</f>
        <v>Normativ</v>
      </c>
      <c r="F1648" s="10" t="str">
        <f>'Obrazac kalkulacije'!$F$6</f>
        <v>Jed.
cijena</v>
      </c>
      <c r="G1648" s="10" t="str">
        <f>'Obrazac kalkulacije'!$G$6</f>
        <v>Iznos</v>
      </c>
      <c r="H1648" s="622">
        <v>64</v>
      </c>
      <c r="I1648" s="10"/>
      <c r="J1648" s="835" t="e">
        <f>'Obrazac kalkulacije'!$B$6:$C$6</f>
        <v>#VALUE!</v>
      </c>
      <c r="K1648" s="835"/>
      <c r="L1648" s="10" t="str">
        <f>'Obrazac kalkulacije'!$D$6</f>
        <v>Jed.
mjere</v>
      </c>
      <c r="M1648" s="10" t="str">
        <f>'Obrazac kalkulacije'!$E$6</f>
        <v>Normativ</v>
      </c>
      <c r="N1648" s="10" t="str">
        <f>'Obrazac kalkulacije'!$F$6</f>
        <v>Jed.
cijena</v>
      </c>
      <c r="O1648" s="10" t="str">
        <f>'Obrazac kalkulacije'!$G$6</f>
        <v>Iznos</v>
      </c>
    </row>
    <row r="1649" spans="1:15" ht="4.5" customHeight="1" thickTop="1">
      <c r="B1649" s="42"/>
      <c r="C1649" s="1"/>
      <c r="D1649" s="11"/>
      <c r="E1649" s="13"/>
      <c r="F1649" s="258"/>
      <c r="G1649" s="15"/>
      <c r="H1649" s="3"/>
      <c r="J1649" s="42"/>
      <c r="K1649" s="1"/>
      <c r="L1649" s="11"/>
      <c r="M1649" s="13"/>
      <c r="N1649" s="258"/>
      <c r="O1649" s="15"/>
    </row>
    <row r="1650" spans="1:15" ht="25.15" customHeight="1">
      <c r="A1650" s="16"/>
      <c r="B1650" s="837" t="str">
        <f>'Obrazac kalkulacije'!$B$8</f>
        <v>Radna snaga:</v>
      </c>
      <c r="C1650" s="837"/>
      <c r="D1650" s="16"/>
      <c r="E1650" s="16"/>
      <c r="F1650" s="44"/>
      <c r="G1650" s="18">
        <f>SUM(G1651:G1651)</f>
        <v>19.693125000000002</v>
      </c>
      <c r="H1650" s="3"/>
      <c r="I1650" s="16"/>
      <c r="J1650" s="837" t="str">
        <f>'Obrazac kalkulacije'!$B$8</f>
        <v>Radna snaga:</v>
      </c>
      <c r="K1650" s="837"/>
      <c r="L1650" s="16"/>
      <c r="M1650" s="16"/>
      <c r="N1650" s="44"/>
      <c r="O1650" s="18">
        <f>SUM(O1651:O1651)</f>
        <v>19.693125000000002</v>
      </c>
    </row>
    <row r="1651" spans="1:15" ht="25.15" customHeight="1">
      <c r="A1651" s="32"/>
      <c r="B1651" s="854" t="s">
        <v>57</v>
      </c>
      <c r="C1651" s="854"/>
      <c r="D1651" s="33" t="s">
        <v>51</v>
      </c>
      <c r="E1651" s="34">
        <v>0.1875</v>
      </c>
      <c r="F1651" s="238">
        <f>SUMIF('Cjenik RS'!$C$11:$C$26,$B1651,'Cjenik RS'!$D$11:$D$90)</f>
        <v>105.03</v>
      </c>
      <c r="G1651" s="35">
        <f>+F1651*E1651</f>
        <v>19.693125000000002</v>
      </c>
      <c r="H1651" s="560">
        <f>E1651*H$1648</f>
        <v>12</v>
      </c>
      <c r="I1651" s="32"/>
      <c r="J1651" s="854" t="s">
        <v>57</v>
      </c>
      <c r="K1651" s="854"/>
      <c r="L1651" s="33" t="s">
        <v>51</v>
      </c>
      <c r="M1651" s="34">
        <v>0.1875</v>
      </c>
      <c r="N1651" s="44">
        <f>SUMIF('Cjenik RS'!$C$11:$C$26,J1651,'Cjenik RS'!$D$11:$D$90)</f>
        <v>105.03</v>
      </c>
      <c r="O1651" s="35">
        <f>+N1651*M1651</f>
        <v>19.693125000000002</v>
      </c>
    </row>
    <row r="1652" spans="1:15" ht="25.15" customHeight="1">
      <c r="A1652" s="16"/>
      <c r="B1652" s="837" t="str">
        <f>'Obrazac kalkulacije'!$B$11</f>
        <v>Vozila, strojevi i oprema:</v>
      </c>
      <c r="C1652" s="837"/>
      <c r="D1652" s="16"/>
      <c r="E1652" s="16"/>
      <c r="F1652" s="238">
        <f>'Obrazac kalkulacije'!$F$11</f>
        <v>0</v>
      </c>
      <c r="G1652" s="18">
        <f>SUM(G1653:G1654)</f>
        <v>25.475982399999999</v>
      </c>
      <c r="I1652" s="16"/>
      <c r="J1652" s="837" t="str">
        <f>'Obrazac kalkulacije'!$B$11</f>
        <v>Vozila, strojevi i oprema:</v>
      </c>
      <c r="K1652" s="837"/>
      <c r="L1652" s="16"/>
      <c r="M1652" s="16"/>
      <c r="N1652" s="238">
        <f>'Obrazac kalkulacije'!$F$11</f>
        <v>0</v>
      </c>
      <c r="O1652" s="18">
        <f>SUM(O1653:O1654)</f>
        <v>25.475982399999999</v>
      </c>
    </row>
    <row r="1653" spans="1:15" ht="25.15" customHeight="1">
      <c r="A1653" s="51"/>
      <c r="B1653" s="863" t="s">
        <v>554</v>
      </c>
      <c r="C1653" s="863"/>
      <c r="D1653" s="52" t="s">
        <v>51</v>
      </c>
      <c r="E1653" s="53">
        <v>0.125</v>
      </c>
      <c r="F1653" s="260">
        <f>SUMIF('Cjenik VSO'!$B$9:$B$85,$B1653,'Cjenik VSO'!$C$9:$C$85)</f>
        <v>186.97</v>
      </c>
      <c r="G1653" s="55">
        <f>E1653*F1653</f>
        <v>23.37125</v>
      </c>
      <c r="H1653" s="560">
        <f>E1653*H$1648</f>
        <v>8</v>
      </c>
      <c r="I1653" s="51"/>
      <c r="J1653" s="863" t="s">
        <v>554</v>
      </c>
      <c r="K1653" s="863"/>
      <c r="L1653" s="52" t="s">
        <v>51</v>
      </c>
      <c r="M1653" s="53">
        <v>0.125</v>
      </c>
      <c r="N1653" s="260">
        <f>SUMIF('Cjenik VSO'!$B$9:$B$85,$B1653,'Cjenik VSO'!$C$9:$C$85)</f>
        <v>186.97</v>
      </c>
      <c r="O1653" s="55">
        <f>M1653*N1653</f>
        <v>23.37125</v>
      </c>
    </row>
    <row r="1654" spans="1:15" ht="25.15" customHeight="1" thickBot="1">
      <c r="A1654" s="66"/>
      <c r="B1654" s="859" t="s">
        <v>69</v>
      </c>
      <c r="C1654" s="859"/>
      <c r="D1654" s="67" t="s">
        <v>51</v>
      </c>
      <c r="E1654" s="68">
        <v>1.1719E-2</v>
      </c>
      <c r="F1654" s="262">
        <f>SUMIF('Cjenik VSO'!$B$9:$B$85,$B1654,'Cjenik VSO'!$C$9:$C$85)</f>
        <v>179.6</v>
      </c>
      <c r="G1654" s="70">
        <f>E1654*F1654</f>
        <v>2.1047324000000001</v>
      </c>
      <c r="H1654" s="560">
        <f>E1654*H$1648</f>
        <v>0.75001600000000002</v>
      </c>
      <c r="I1654" s="66"/>
      <c r="J1654" s="859" t="s">
        <v>69</v>
      </c>
      <c r="K1654" s="859"/>
      <c r="L1654" s="67" t="s">
        <v>51</v>
      </c>
      <c r="M1654" s="68">
        <v>1.1719E-2</v>
      </c>
      <c r="N1654" s="262">
        <f>SUMIF('Cjenik VSO'!$B$9:$B$85,$B1654,'Cjenik VSO'!$C$9:$C$85)</f>
        <v>179.6</v>
      </c>
      <c r="O1654" s="70">
        <f>M1654*N1654</f>
        <v>2.1047324000000001</v>
      </c>
    </row>
    <row r="1655" spans="1:15" ht="25.15" customHeight="1" thickTop="1" thickBot="1">
      <c r="E1655" s="868" t="str">
        <f>'Obrazac kalkulacije'!$E$18</f>
        <v>Ukupno (kn):</v>
      </c>
      <c r="F1655" s="868"/>
      <c r="G1655" s="71">
        <f>ROUND(SUM(G1650+G1652),2)</f>
        <v>45.17</v>
      </c>
      <c r="H1655" s="269" t="e">
        <f>SUMIF(#REF!,$B1646,#REF!)</f>
        <v>#REF!</v>
      </c>
      <c r="M1655" s="868" t="str">
        <f>'Obrazac kalkulacije'!$E$18</f>
        <v>Ukupno (kn):</v>
      </c>
      <c r="N1655" s="868"/>
      <c r="O1655" s="71">
        <f>ROUND(SUM(O1650+O1652),2)</f>
        <v>45.17</v>
      </c>
    </row>
    <row r="1656" spans="1:15" ht="25.15" customHeight="1" thickTop="1" thickBot="1">
      <c r="E1656" s="27" t="str">
        <f>'Obrazac kalkulacije'!$E$19</f>
        <v>PDV:</v>
      </c>
      <c r="F1656" s="259">
        <f>'Obrazac kalkulacije'!$F$19</f>
        <v>0.25</v>
      </c>
      <c r="G1656" s="29">
        <f>G1655*F1656</f>
        <v>11.2925</v>
      </c>
      <c r="H1656" s="270" t="e">
        <f>H1655-G1655</f>
        <v>#REF!</v>
      </c>
      <c r="M1656" s="27" t="str">
        <f>'Obrazac kalkulacije'!$E$19</f>
        <v>PDV:</v>
      </c>
      <c r="N1656" s="259">
        <f>'Obrazac kalkulacije'!$F$19</f>
        <v>0.25</v>
      </c>
      <c r="O1656" s="29">
        <f>O1655*N1656</f>
        <v>11.2925</v>
      </c>
    </row>
    <row r="1657" spans="1:15" ht="25.15" customHeight="1" thickTop="1" thickBot="1">
      <c r="E1657" s="840" t="str">
        <f>'Obrazac kalkulacije'!$E$20</f>
        <v>Sveukupno (kn):</v>
      </c>
      <c r="F1657" s="840"/>
      <c r="G1657" s="29">
        <f>ROUND(SUM(G1655:G1656),2)</f>
        <v>56.46</v>
      </c>
      <c r="H1657" s="271" t="e">
        <f>G1653+H1656</f>
        <v>#REF!</v>
      </c>
      <c r="M1657" s="840" t="str">
        <f>'Obrazac kalkulacije'!$E$20</f>
        <v>Sveukupno (kn):</v>
      </c>
      <c r="N1657" s="840"/>
      <c r="O1657" s="29">
        <f>ROUND(SUM(O1655:O1656),2)</f>
        <v>56.46</v>
      </c>
    </row>
    <row r="1658" spans="1:15" ht="15" customHeight="1" thickTop="1"/>
    <row r="1659" spans="1:15" ht="15" customHeight="1"/>
    <row r="1660" spans="1:15" ht="15" customHeight="1"/>
    <row r="1661" spans="1:15" ht="15" customHeight="1">
      <c r="C1661" s="3" t="str">
        <f>'Obrazac kalkulacije'!$C$24</f>
        <v>IZVODITELJ:</v>
      </c>
      <c r="F1661" s="841" t="str">
        <f>'Obrazac kalkulacije'!$F$24</f>
        <v>NARUČITELJ:</v>
      </c>
      <c r="G1661" s="841"/>
      <c r="K1661" s="3" t="str">
        <f>'Obrazac kalkulacije'!$C$24</f>
        <v>IZVODITELJ:</v>
      </c>
      <c r="N1661" s="841" t="str">
        <f>'Obrazac kalkulacije'!$F$24</f>
        <v>NARUČITELJ:</v>
      </c>
      <c r="O1661" s="841"/>
    </row>
    <row r="1662" spans="1:15" ht="25.15" customHeight="1">
      <c r="C1662" s="3" t="str">
        <f>'Obrazac kalkulacije'!$C$25</f>
        <v>__________________</v>
      </c>
      <c r="F1662" s="841" t="str">
        <f>'Obrazac kalkulacije'!$F$25</f>
        <v>___________________</v>
      </c>
      <c r="G1662" s="841"/>
      <c r="K1662" s="3" t="str">
        <f>'Obrazac kalkulacije'!$C$25</f>
        <v>__________________</v>
      </c>
      <c r="N1662" s="841" t="str">
        <f>'Obrazac kalkulacije'!$F$25</f>
        <v>___________________</v>
      </c>
      <c r="O1662" s="841"/>
    </row>
    <row r="1663" spans="1:15" ht="15" customHeight="1">
      <c r="C1663" s="3"/>
      <c r="G1663" s="30"/>
      <c r="K1663" s="3"/>
      <c r="O1663" s="30"/>
    </row>
    <row r="1664" spans="1:15" ht="15" customHeight="1">
      <c r="F1664" s="841"/>
      <c r="G1664" s="841"/>
      <c r="N1664" s="841"/>
      <c r="O1664" s="841"/>
    </row>
    <row r="1665" spans="1:15" ht="15" customHeight="1">
      <c r="A1665" s="144"/>
      <c r="B1665" s="145" t="s">
        <v>39</v>
      </c>
      <c r="C1665" s="836" t="s">
        <v>360</v>
      </c>
      <c r="D1665" s="836"/>
      <c r="E1665" s="836"/>
      <c r="F1665" s="836"/>
      <c r="G1665" s="836"/>
      <c r="I1665" s="144"/>
      <c r="J1665" s="145" t="s">
        <v>39</v>
      </c>
      <c r="K1665" s="836" t="s">
        <v>360</v>
      </c>
      <c r="L1665" s="836"/>
      <c r="M1665" s="836"/>
      <c r="N1665" s="836"/>
      <c r="O1665" s="836"/>
    </row>
    <row r="1666" spans="1:15" ht="15" customHeight="1">
      <c r="A1666" s="38"/>
      <c r="B1666" s="39" t="s">
        <v>46</v>
      </c>
      <c r="C1666" s="860" t="s">
        <v>470</v>
      </c>
      <c r="D1666" s="860"/>
      <c r="E1666" s="860"/>
      <c r="F1666" s="860"/>
      <c r="G1666" s="860"/>
      <c r="I1666" s="38"/>
      <c r="J1666" s="39" t="s">
        <v>46</v>
      </c>
      <c r="K1666" s="860" t="s">
        <v>470</v>
      </c>
      <c r="L1666" s="860"/>
      <c r="M1666" s="860"/>
      <c r="N1666" s="860"/>
      <c r="O1666" s="860"/>
    </row>
    <row r="1667" spans="1:15" ht="15" customHeight="1">
      <c r="A1667" s="48"/>
      <c r="B1667" s="49" t="s">
        <v>547</v>
      </c>
      <c r="C1667" s="883" t="s">
        <v>548</v>
      </c>
      <c r="D1667" s="883"/>
      <c r="E1667" s="883"/>
      <c r="F1667" s="883"/>
      <c r="G1667" s="883"/>
      <c r="I1667" s="48"/>
      <c r="J1667" s="49" t="s">
        <v>547</v>
      </c>
      <c r="K1667" s="883" t="s">
        <v>548</v>
      </c>
      <c r="L1667" s="883"/>
      <c r="M1667" s="883"/>
      <c r="N1667" s="883"/>
      <c r="O1667" s="883"/>
    </row>
    <row r="1668" spans="1:15" ht="150" customHeight="1">
      <c r="A1668" s="276"/>
      <c r="B1668" s="556" t="s">
        <v>555</v>
      </c>
      <c r="C1668" s="852" t="s">
        <v>556</v>
      </c>
      <c r="D1668" s="852"/>
      <c r="E1668" s="852"/>
      <c r="F1668" s="852"/>
      <c r="G1668" s="852"/>
      <c r="I1668" s="40"/>
      <c r="J1668" s="41" t="s">
        <v>555</v>
      </c>
      <c r="K1668" s="869" t="s">
        <v>557</v>
      </c>
      <c r="L1668" s="869"/>
      <c r="M1668" s="869"/>
      <c r="N1668" s="869"/>
      <c r="O1668" s="869"/>
    </row>
    <row r="1669" spans="1:15" ht="15" customHeight="1" thickBot="1">
      <c r="A1669" s="277"/>
      <c r="B1669" s="278"/>
      <c r="C1669" s="279"/>
      <c r="D1669" s="280"/>
      <c r="E1669" s="281"/>
      <c r="F1669" s="283"/>
      <c r="G1669" s="282"/>
    </row>
    <row r="1670" spans="1:15" ht="30" customHeight="1" thickTop="1" thickBot="1">
      <c r="A1670" s="10"/>
      <c r="B1670" s="835" t="str">
        <f>'Obrazac kalkulacije'!$B$6:$C$6</f>
        <v>Opis</v>
      </c>
      <c r="C1670" s="835"/>
      <c r="D1670" s="10" t="str">
        <f>'Obrazac kalkulacije'!$D$6</f>
        <v>Jed.
mjere</v>
      </c>
      <c r="E1670" s="10" t="str">
        <f>'Obrazac kalkulacije'!$E$6</f>
        <v>Normativ</v>
      </c>
      <c r="F1670" s="10" t="str">
        <f>'Obrazac kalkulacije'!$F$6</f>
        <v>Jed.
cijena</v>
      </c>
      <c r="G1670" s="10" t="str">
        <f>'Obrazac kalkulacije'!$G$6</f>
        <v>Iznos</v>
      </c>
      <c r="I1670" s="10"/>
      <c r="J1670" s="835" t="e">
        <f>'Obrazac kalkulacije'!$B$6:$C$6</f>
        <v>#VALUE!</v>
      </c>
      <c r="K1670" s="835"/>
      <c r="L1670" s="10" t="str">
        <f>'Obrazac kalkulacije'!$D$6</f>
        <v>Jed.
mjere</v>
      </c>
      <c r="M1670" s="10" t="str">
        <f>'Obrazac kalkulacije'!$E$6</f>
        <v>Normativ</v>
      </c>
      <c r="N1670" s="10" t="str">
        <f>'Obrazac kalkulacije'!$F$6</f>
        <v>Jed.
cijena</v>
      </c>
      <c r="O1670" s="10" t="str">
        <f>'Obrazac kalkulacije'!$G$6</f>
        <v>Iznos</v>
      </c>
    </row>
    <row r="1671" spans="1:15" ht="4.5" customHeight="1" thickTop="1">
      <c r="B1671" s="42"/>
      <c r="C1671" s="1"/>
      <c r="D1671" s="11"/>
      <c r="E1671" s="13"/>
      <c r="F1671" s="258"/>
      <c r="G1671" s="15"/>
      <c r="J1671" s="42"/>
      <c r="K1671" s="1"/>
      <c r="L1671" s="11"/>
      <c r="M1671" s="13"/>
      <c r="N1671" s="258"/>
      <c r="O1671" s="15"/>
    </row>
    <row r="1672" spans="1:15" ht="25.15" customHeight="1">
      <c r="A1672" s="16"/>
      <c r="B1672" s="837" t="str">
        <f>'Obrazac kalkulacije'!$B$8</f>
        <v>Radna snaga:</v>
      </c>
      <c r="C1672" s="837"/>
      <c r="D1672" s="16"/>
      <c r="E1672" s="16"/>
      <c r="F1672" s="44"/>
      <c r="G1672" s="18">
        <f>SUM(G1673:G1673)</f>
        <v>0</v>
      </c>
      <c r="I1672" s="16"/>
      <c r="J1672" s="837" t="str">
        <f>'Obrazac kalkulacije'!$B$8</f>
        <v>Radna snaga:</v>
      </c>
      <c r="K1672" s="837"/>
      <c r="L1672" s="16"/>
      <c r="M1672" s="16"/>
      <c r="N1672" s="44"/>
      <c r="O1672" s="18">
        <f>SUM(O1673:O1673)</f>
        <v>0</v>
      </c>
    </row>
    <row r="1673" spans="1:15" ht="25.15" customHeight="1">
      <c r="A1673" s="32"/>
      <c r="B1673" s="854" t="s">
        <v>57</v>
      </c>
      <c r="C1673" s="854"/>
      <c r="D1673" s="33" t="s">
        <v>51</v>
      </c>
      <c r="E1673" s="34"/>
      <c r="F1673" s="238">
        <f>SUMIF('Cjenik RS'!$C$11:$C$26,$B1673,'Cjenik RS'!$D$11:$D$90)</f>
        <v>105.03</v>
      </c>
      <c r="G1673" s="35">
        <f>+F1673*E1673</f>
        <v>0</v>
      </c>
      <c r="I1673" s="32"/>
      <c r="J1673" s="854" t="s">
        <v>57</v>
      </c>
      <c r="K1673" s="854"/>
      <c r="L1673" s="33" t="s">
        <v>51</v>
      </c>
      <c r="M1673" s="34"/>
      <c r="N1673" s="44">
        <f>SUMIF('Cjenik RS'!$C$11:$C$26,J1673,'Cjenik RS'!$D$11:$D$90)</f>
        <v>105.03</v>
      </c>
      <c r="O1673" s="35">
        <f>+N1673*M1673</f>
        <v>0</v>
      </c>
    </row>
    <row r="1674" spans="1:15" ht="25.15" customHeight="1">
      <c r="A1674" s="16"/>
      <c r="B1674" s="837" t="str">
        <f>'Obrazac kalkulacije'!$B$11</f>
        <v>Vozila, strojevi i oprema:</v>
      </c>
      <c r="C1674" s="837"/>
      <c r="D1674" s="16"/>
      <c r="E1674" s="16"/>
      <c r="F1674" s="238">
        <f>'Obrazac kalkulacije'!$F$11</f>
        <v>0</v>
      </c>
      <c r="G1674" s="18">
        <f>SUM(G1675:G1676)</f>
        <v>0</v>
      </c>
      <c r="I1674" s="16"/>
      <c r="J1674" s="837" t="str">
        <f>'Obrazac kalkulacije'!$B$11</f>
        <v>Vozila, strojevi i oprema:</v>
      </c>
      <c r="K1674" s="837"/>
      <c r="L1674" s="16"/>
      <c r="M1674" s="16"/>
      <c r="N1674" s="238">
        <f>'Obrazac kalkulacije'!$F$11</f>
        <v>0</v>
      </c>
      <c r="O1674" s="18">
        <f>SUM(O1675:O1676)</f>
        <v>0</v>
      </c>
    </row>
    <row r="1675" spans="1:15" ht="25.15" customHeight="1">
      <c r="A1675" s="51"/>
      <c r="B1675" s="863"/>
      <c r="C1675" s="863"/>
      <c r="D1675" s="52"/>
      <c r="E1675" s="53"/>
      <c r="F1675" s="260"/>
      <c r="G1675" s="55">
        <f>E1675*F1675</f>
        <v>0</v>
      </c>
      <c r="I1675" s="51"/>
      <c r="J1675" s="863"/>
      <c r="K1675" s="863"/>
      <c r="L1675" s="52"/>
      <c r="M1675" s="53"/>
      <c r="N1675" s="260">
        <f>SUMIF('Cjenik VSO'!$B$9:$B$85,$B1675,'Cjenik VSO'!$C$9:$C$85)</f>
        <v>0</v>
      </c>
      <c r="O1675" s="55">
        <f>M1675*N1675</f>
        <v>0</v>
      </c>
    </row>
    <row r="1676" spans="1:15" ht="25.15" customHeight="1" thickBot="1">
      <c r="A1676" s="66"/>
      <c r="B1676" s="859"/>
      <c r="C1676" s="859"/>
      <c r="D1676" s="67"/>
      <c r="E1676" s="68"/>
      <c r="F1676" s="262"/>
      <c r="G1676" s="70">
        <f>E1676*F1676</f>
        <v>0</v>
      </c>
      <c r="I1676" s="66"/>
      <c r="J1676" s="859"/>
      <c r="K1676" s="859"/>
      <c r="L1676" s="67"/>
      <c r="M1676" s="68"/>
      <c r="N1676" s="262">
        <f>SUMIF('Cjenik VSO'!$B$9:$B$85,$B1676,'Cjenik VSO'!$C$9:$C$85)</f>
        <v>0</v>
      </c>
      <c r="O1676" s="70">
        <f>M1676*N1676</f>
        <v>0</v>
      </c>
    </row>
    <row r="1677" spans="1:15" ht="25.15" customHeight="1" thickTop="1" thickBot="1">
      <c r="E1677" s="868" t="str">
        <f>'Obrazac kalkulacije'!$E$18</f>
        <v>Ukupno (kn):</v>
      </c>
      <c r="F1677" s="868"/>
      <c r="G1677" s="631">
        <v>100</v>
      </c>
      <c r="H1677" s="269" t="e">
        <f>SUMIF(#REF!,$B1668,#REF!)</f>
        <v>#REF!</v>
      </c>
      <c r="M1677" s="868" t="str">
        <f>'Obrazac kalkulacije'!$E$18</f>
        <v>Ukupno (kn):</v>
      </c>
      <c r="N1677" s="868"/>
      <c r="O1677" s="71">
        <f>ROUND(SUM(O1672+O1674),2)</f>
        <v>0</v>
      </c>
    </row>
    <row r="1678" spans="1:15" ht="25.15" customHeight="1" thickTop="1" thickBot="1">
      <c r="E1678" s="27" t="str">
        <f>'Obrazac kalkulacije'!$E$19</f>
        <v>PDV:</v>
      </c>
      <c r="F1678" s="259">
        <f>'Obrazac kalkulacije'!$F$19</f>
        <v>0.25</v>
      </c>
      <c r="G1678" s="29">
        <f>G1677*F1678</f>
        <v>25</v>
      </c>
      <c r="H1678" s="270" t="e">
        <f>H1677-G1677</f>
        <v>#REF!</v>
      </c>
      <c r="M1678" s="27" t="str">
        <f>'Obrazac kalkulacije'!$E$19</f>
        <v>PDV:</v>
      </c>
      <c r="N1678" s="259">
        <f>'Obrazac kalkulacije'!$F$19</f>
        <v>0.25</v>
      </c>
      <c r="O1678" s="29">
        <f>O1677*N1678</f>
        <v>0</v>
      </c>
    </row>
    <row r="1679" spans="1:15" ht="25.15" customHeight="1" thickTop="1" thickBot="1">
      <c r="E1679" s="840" t="str">
        <f>'Obrazac kalkulacije'!$E$20</f>
        <v>Sveukupno (kn):</v>
      </c>
      <c r="F1679" s="840"/>
      <c r="G1679" s="29">
        <f>ROUND(SUM(G1677:G1678),2)</f>
        <v>125</v>
      </c>
      <c r="H1679" s="271" t="e">
        <f>G1675+H1678</f>
        <v>#REF!</v>
      </c>
      <c r="M1679" s="840" t="str">
        <f>'Obrazac kalkulacije'!$E$20</f>
        <v>Sveukupno (kn):</v>
      </c>
      <c r="N1679" s="840"/>
      <c r="O1679" s="29">
        <f>ROUND(SUM(O1677:O1678),2)</f>
        <v>0</v>
      </c>
    </row>
    <row r="1680" spans="1:15" ht="15" customHeight="1" thickTop="1"/>
    <row r="1681" spans="1:15" ht="15" customHeight="1"/>
    <row r="1682" spans="1:15" ht="15" customHeight="1"/>
    <row r="1683" spans="1:15" ht="15" customHeight="1">
      <c r="C1683" s="3" t="str">
        <f>'Obrazac kalkulacije'!$C$24</f>
        <v>IZVODITELJ:</v>
      </c>
      <c r="F1683" s="841" t="str">
        <f>'Obrazac kalkulacije'!$F$24</f>
        <v>NARUČITELJ:</v>
      </c>
      <c r="G1683" s="841"/>
      <c r="K1683" s="3" t="str">
        <f>'Obrazac kalkulacije'!$C$24</f>
        <v>IZVODITELJ:</v>
      </c>
      <c r="N1683" s="841" t="str">
        <f>'Obrazac kalkulacije'!$F$24</f>
        <v>NARUČITELJ:</v>
      </c>
      <c r="O1683" s="841"/>
    </row>
    <row r="1684" spans="1:15" ht="25.15" customHeight="1">
      <c r="C1684" s="3" t="str">
        <f>'Obrazac kalkulacije'!$C$25</f>
        <v>__________________</v>
      </c>
      <c r="F1684" s="841" t="str">
        <f>'Obrazac kalkulacije'!$F$25</f>
        <v>___________________</v>
      </c>
      <c r="G1684" s="841"/>
      <c r="K1684" s="3" t="str">
        <f>'Obrazac kalkulacije'!$C$25</f>
        <v>__________________</v>
      </c>
      <c r="N1684" s="841" t="str">
        <f>'Obrazac kalkulacije'!$F$25</f>
        <v>___________________</v>
      </c>
      <c r="O1684" s="841"/>
    </row>
    <row r="1685" spans="1:15" ht="15" customHeight="1">
      <c r="A1685" s="277"/>
      <c r="B1685" s="278"/>
      <c r="C1685" s="280"/>
      <c r="D1685" s="280"/>
      <c r="E1685" s="281"/>
      <c r="F1685" s="283"/>
      <c r="G1685" s="283"/>
      <c r="K1685" s="3"/>
      <c r="O1685" s="30"/>
    </row>
    <row r="1686" spans="1:15" ht="15" customHeight="1">
      <c r="F1686" s="841"/>
      <c r="G1686" s="841"/>
      <c r="N1686" s="841"/>
      <c r="O1686" s="841"/>
    </row>
    <row r="1687" spans="1:15" ht="15" customHeight="1">
      <c r="A1687" s="144"/>
      <c r="B1687" s="145" t="s">
        <v>39</v>
      </c>
      <c r="C1687" s="836" t="s">
        <v>360</v>
      </c>
      <c r="D1687" s="836"/>
      <c r="E1687" s="836"/>
      <c r="F1687" s="836"/>
      <c r="G1687" s="836"/>
      <c r="I1687" s="144"/>
      <c r="J1687" s="145" t="s">
        <v>39</v>
      </c>
      <c r="K1687" s="836" t="s">
        <v>360</v>
      </c>
      <c r="L1687" s="836"/>
      <c r="M1687" s="836"/>
      <c r="N1687" s="836"/>
      <c r="O1687" s="836"/>
    </row>
    <row r="1688" spans="1:15" ht="15" customHeight="1">
      <c r="A1688" s="38"/>
      <c r="B1688" s="39" t="s">
        <v>46</v>
      </c>
      <c r="C1688" s="860" t="s">
        <v>470</v>
      </c>
      <c r="D1688" s="860"/>
      <c r="E1688" s="860"/>
      <c r="F1688" s="860"/>
      <c r="G1688" s="860"/>
      <c r="I1688" s="38"/>
      <c r="J1688" s="39" t="s">
        <v>46</v>
      </c>
      <c r="K1688" s="860" t="s">
        <v>470</v>
      </c>
      <c r="L1688" s="860"/>
      <c r="M1688" s="860"/>
      <c r="N1688" s="860"/>
      <c r="O1688" s="860"/>
    </row>
    <row r="1689" spans="1:15" ht="15" customHeight="1">
      <c r="A1689" s="48"/>
      <c r="B1689" s="49" t="s">
        <v>547</v>
      </c>
      <c r="C1689" s="883" t="s">
        <v>548</v>
      </c>
      <c r="D1689" s="883"/>
      <c r="E1689" s="883"/>
      <c r="F1689" s="883"/>
      <c r="G1689" s="883"/>
      <c r="I1689" s="48"/>
      <c r="J1689" s="49" t="s">
        <v>547</v>
      </c>
      <c r="K1689" s="883" t="s">
        <v>548</v>
      </c>
      <c r="L1689" s="883"/>
      <c r="M1689" s="883"/>
      <c r="N1689" s="883"/>
      <c r="O1689" s="883"/>
    </row>
    <row r="1690" spans="1:15" ht="150" customHeight="1">
      <c r="A1690" s="40"/>
      <c r="B1690" s="556" t="s">
        <v>558</v>
      </c>
      <c r="C1690" s="852" t="s">
        <v>559</v>
      </c>
      <c r="D1690" s="852"/>
      <c r="E1690" s="852"/>
      <c r="F1690" s="852"/>
      <c r="G1690" s="852"/>
      <c r="I1690" s="40"/>
      <c r="J1690" s="41" t="s">
        <v>558</v>
      </c>
      <c r="K1690" s="869" t="s">
        <v>560</v>
      </c>
      <c r="L1690" s="869"/>
      <c r="M1690" s="869"/>
      <c r="N1690" s="869"/>
      <c r="O1690" s="869"/>
    </row>
    <row r="1691" spans="1:15" ht="15" customHeight="1" thickBot="1">
      <c r="A1691" s="277"/>
      <c r="B1691" s="278"/>
      <c r="C1691" s="279"/>
      <c r="D1691" s="280"/>
      <c r="E1691" s="281"/>
      <c r="F1691" s="283"/>
      <c r="G1691" s="282"/>
    </row>
    <row r="1692" spans="1:15" ht="30" customHeight="1" thickTop="1" thickBot="1">
      <c r="A1692" s="10"/>
      <c r="B1692" s="835" t="str">
        <f>'Obrazac kalkulacije'!$B$6:$C$6</f>
        <v>Opis</v>
      </c>
      <c r="C1692" s="835"/>
      <c r="D1692" s="10" t="str">
        <f>'Obrazac kalkulacije'!$D$6</f>
        <v>Jed.
mjere</v>
      </c>
      <c r="E1692" s="10" t="str">
        <f>'Obrazac kalkulacije'!$E$6</f>
        <v>Normativ</v>
      </c>
      <c r="F1692" s="10" t="str">
        <f>'Obrazac kalkulacije'!$F$6</f>
        <v>Jed.
cijena</v>
      </c>
      <c r="G1692" s="10" t="str">
        <f>'Obrazac kalkulacije'!$G$6</f>
        <v>Iznos</v>
      </c>
      <c r="I1692" s="10"/>
      <c r="J1692" s="835" t="e">
        <f>'Obrazac kalkulacije'!$B$6:$C$6</f>
        <v>#VALUE!</v>
      </c>
      <c r="K1692" s="835"/>
      <c r="L1692" s="10" t="str">
        <f>'Obrazac kalkulacije'!$D$6</f>
        <v>Jed.
mjere</v>
      </c>
      <c r="M1692" s="10" t="str">
        <f>'Obrazac kalkulacije'!$E$6</f>
        <v>Normativ</v>
      </c>
      <c r="N1692" s="10" t="str">
        <f>'Obrazac kalkulacije'!$F$6</f>
        <v>Jed.
cijena</v>
      </c>
      <c r="O1692" s="10" t="str">
        <f>'Obrazac kalkulacije'!$G$6</f>
        <v>Iznos</v>
      </c>
    </row>
    <row r="1693" spans="1:15" ht="4.5" customHeight="1" thickTop="1">
      <c r="B1693" s="42"/>
      <c r="C1693" s="1"/>
      <c r="D1693" s="11"/>
      <c r="E1693" s="13"/>
      <c r="F1693" s="258"/>
      <c r="G1693" s="15"/>
      <c r="J1693" s="42"/>
      <c r="K1693" s="1"/>
      <c r="L1693" s="11"/>
      <c r="M1693" s="13"/>
      <c r="N1693" s="258"/>
      <c r="O1693" s="15"/>
    </row>
    <row r="1694" spans="1:15" ht="25.15" customHeight="1">
      <c r="A1694" s="16"/>
      <c r="B1694" s="837" t="str">
        <f>'Obrazac kalkulacije'!$B$8</f>
        <v>Radna snaga:</v>
      </c>
      <c r="C1694" s="837"/>
      <c r="D1694" s="16"/>
      <c r="E1694" s="16"/>
      <c r="F1694" s="44"/>
      <c r="G1694" s="18">
        <f>SUM(G1695:G1695)</f>
        <v>0</v>
      </c>
      <c r="I1694" s="16"/>
      <c r="J1694" s="837" t="str">
        <f>'Obrazac kalkulacije'!$B$8</f>
        <v>Radna snaga:</v>
      </c>
      <c r="K1694" s="837"/>
      <c r="L1694" s="16"/>
      <c r="M1694" s="16"/>
      <c r="N1694" s="44"/>
      <c r="O1694" s="18">
        <f>SUM(O1695:O1695)</f>
        <v>0</v>
      </c>
    </row>
    <row r="1695" spans="1:15" ht="25.15" customHeight="1">
      <c r="A1695" s="32"/>
      <c r="B1695" s="854" t="s">
        <v>57</v>
      </c>
      <c r="C1695" s="854"/>
      <c r="D1695" s="33" t="s">
        <v>51</v>
      </c>
      <c r="E1695" s="34"/>
      <c r="F1695" s="238">
        <f>SUMIF('Cjenik RS'!$C$11:$C$26,$B1695,'Cjenik RS'!$D$11:$D$90)</f>
        <v>105.03</v>
      </c>
      <c r="G1695" s="35">
        <f>+F1695*E1695</f>
        <v>0</v>
      </c>
      <c r="I1695" s="32"/>
      <c r="J1695" s="854" t="s">
        <v>57</v>
      </c>
      <c r="K1695" s="854"/>
      <c r="L1695" s="33" t="s">
        <v>51</v>
      </c>
      <c r="M1695" s="34"/>
      <c r="N1695" s="44">
        <f>SUMIF('Cjenik RS'!$C$11:$C$26,J1695,'Cjenik RS'!$D$11:$D$90)</f>
        <v>105.03</v>
      </c>
      <c r="O1695" s="35">
        <f>+N1695*M1695</f>
        <v>0</v>
      </c>
    </row>
    <row r="1696" spans="1:15" ht="25.15" customHeight="1">
      <c r="A1696" s="16"/>
      <c r="B1696" s="837" t="str">
        <f>'Obrazac kalkulacije'!$B$11</f>
        <v>Vozila, strojevi i oprema:</v>
      </c>
      <c r="C1696" s="837"/>
      <c r="D1696" s="16"/>
      <c r="E1696" s="16"/>
      <c r="F1696" s="238">
        <f>'Obrazac kalkulacije'!$F$11</f>
        <v>0</v>
      </c>
      <c r="G1696" s="18">
        <f>SUM(G1697:G1698)</f>
        <v>0</v>
      </c>
      <c r="I1696" s="16"/>
      <c r="J1696" s="837" t="str">
        <f>'Obrazac kalkulacije'!$B$11</f>
        <v>Vozila, strojevi i oprema:</v>
      </c>
      <c r="K1696" s="837"/>
      <c r="L1696" s="16"/>
      <c r="M1696" s="16"/>
      <c r="N1696" s="238">
        <f>'Obrazac kalkulacije'!$F$11</f>
        <v>0</v>
      </c>
      <c r="O1696" s="18">
        <f>SUM(O1697:O1698)</f>
        <v>0</v>
      </c>
    </row>
    <row r="1697" spans="1:15" ht="25.15" customHeight="1">
      <c r="A1697" s="51"/>
      <c r="B1697" s="863"/>
      <c r="C1697" s="863"/>
      <c r="D1697" s="52"/>
      <c r="E1697" s="53"/>
      <c r="F1697" s="260"/>
      <c r="G1697" s="55">
        <f>E1697*F1697</f>
        <v>0</v>
      </c>
      <c r="I1697" s="51"/>
      <c r="J1697" s="863"/>
      <c r="K1697" s="863"/>
      <c r="L1697" s="52"/>
      <c r="M1697" s="53"/>
      <c r="N1697" s="260">
        <f>SUMIF('Cjenik VSO'!$B$9:$B$85,$B1697,'Cjenik VSO'!$C$9:$C$85)</f>
        <v>0</v>
      </c>
      <c r="O1697" s="55">
        <f>M1697*N1697</f>
        <v>0</v>
      </c>
    </row>
    <row r="1698" spans="1:15" ht="25.15" customHeight="1" thickBot="1">
      <c r="A1698" s="66"/>
      <c r="B1698" s="859"/>
      <c r="C1698" s="859"/>
      <c r="D1698" s="67"/>
      <c r="E1698" s="68"/>
      <c r="F1698" s="262"/>
      <c r="G1698" s="70">
        <f>E1698*F1698</f>
        <v>0</v>
      </c>
      <c r="I1698" s="66"/>
      <c r="J1698" s="859"/>
      <c r="K1698" s="859"/>
      <c r="L1698" s="67"/>
      <c r="M1698" s="68"/>
      <c r="N1698" s="262">
        <f>SUMIF('Cjenik VSO'!$B$9:$B$85,$B1698,'Cjenik VSO'!$C$9:$C$85)</f>
        <v>0</v>
      </c>
      <c r="O1698" s="70">
        <f>M1698*N1698</f>
        <v>0</v>
      </c>
    </row>
    <row r="1699" spans="1:15" ht="25.15" customHeight="1" thickTop="1" thickBot="1">
      <c r="E1699" s="868" t="str">
        <f>'Obrazac kalkulacije'!$E$18</f>
        <v>Ukupno (kn):</v>
      </c>
      <c r="F1699" s="868"/>
      <c r="G1699" s="631">
        <v>180</v>
      </c>
      <c r="H1699" s="269" t="e">
        <f>SUMIF(#REF!,$B1690,#REF!)</f>
        <v>#REF!</v>
      </c>
      <c r="M1699" s="868" t="str">
        <f>'Obrazac kalkulacije'!$E$18</f>
        <v>Ukupno (kn):</v>
      </c>
      <c r="N1699" s="868"/>
      <c r="O1699" s="71">
        <f>ROUND(SUM(O1694+O1696),2)</f>
        <v>0</v>
      </c>
    </row>
    <row r="1700" spans="1:15" ht="25.15" customHeight="1" thickTop="1" thickBot="1">
      <c r="E1700" s="27" t="str">
        <f>'Obrazac kalkulacije'!$E$19</f>
        <v>PDV:</v>
      </c>
      <c r="F1700" s="259">
        <f>'Obrazac kalkulacije'!$F$19</f>
        <v>0.25</v>
      </c>
      <c r="G1700" s="29">
        <f>G1699*F1700</f>
        <v>45</v>
      </c>
      <c r="H1700" s="270" t="e">
        <f>H1699-G1699</f>
        <v>#REF!</v>
      </c>
      <c r="M1700" s="27" t="str">
        <f>'Obrazac kalkulacije'!$E$19</f>
        <v>PDV:</v>
      </c>
      <c r="N1700" s="259">
        <f>'Obrazac kalkulacije'!$F$19</f>
        <v>0.25</v>
      </c>
      <c r="O1700" s="29">
        <f>O1699*N1700</f>
        <v>0</v>
      </c>
    </row>
    <row r="1701" spans="1:15" ht="25.15" customHeight="1" thickTop="1" thickBot="1">
      <c r="E1701" s="840" t="str">
        <f>'Obrazac kalkulacije'!$E$20</f>
        <v>Sveukupno (kn):</v>
      </c>
      <c r="F1701" s="840"/>
      <c r="G1701" s="29">
        <f>ROUND(SUM(G1699:G1700),2)</f>
        <v>225</v>
      </c>
      <c r="H1701" s="271" t="e">
        <f>G1697+H1700</f>
        <v>#REF!</v>
      </c>
      <c r="M1701" s="840" t="str">
        <f>'Obrazac kalkulacije'!$E$20</f>
        <v>Sveukupno (kn):</v>
      </c>
      <c r="N1701" s="840"/>
      <c r="O1701" s="29">
        <f>ROUND(SUM(O1699:O1700),2)</f>
        <v>0</v>
      </c>
    </row>
    <row r="1702" spans="1:15" ht="15" customHeight="1" thickTop="1"/>
    <row r="1703" spans="1:15" ht="15" customHeight="1"/>
    <row r="1704" spans="1:15" ht="15" customHeight="1"/>
    <row r="1705" spans="1:15" ht="15" customHeight="1">
      <c r="C1705" s="3" t="str">
        <f>'Obrazac kalkulacije'!$C$24</f>
        <v>IZVODITELJ:</v>
      </c>
      <c r="F1705" s="841" t="str">
        <f>'Obrazac kalkulacije'!$F$24</f>
        <v>NARUČITELJ:</v>
      </c>
      <c r="G1705" s="841"/>
      <c r="K1705" s="3" t="str">
        <f>'Obrazac kalkulacije'!$C$24</f>
        <v>IZVODITELJ:</v>
      </c>
      <c r="N1705" s="841" t="str">
        <f>'Obrazac kalkulacije'!$F$24</f>
        <v>NARUČITELJ:</v>
      </c>
      <c r="O1705" s="841"/>
    </row>
    <row r="1706" spans="1:15" ht="25.15" customHeight="1">
      <c r="C1706" s="3" t="str">
        <f>'Obrazac kalkulacije'!$C$25</f>
        <v>__________________</v>
      </c>
      <c r="F1706" s="841" t="str">
        <f>'Obrazac kalkulacije'!$F$25</f>
        <v>___________________</v>
      </c>
      <c r="G1706" s="841"/>
      <c r="K1706" s="3" t="str">
        <f>'Obrazac kalkulacije'!$C$25</f>
        <v>__________________</v>
      </c>
      <c r="N1706" s="841" t="str">
        <f>'Obrazac kalkulacije'!$F$25</f>
        <v>___________________</v>
      </c>
      <c r="O1706" s="841"/>
    </row>
    <row r="1707" spans="1:15" ht="15" customHeight="1">
      <c r="A1707" s="277"/>
      <c r="B1707" s="278"/>
      <c r="C1707" s="280"/>
      <c r="D1707" s="280"/>
      <c r="E1707" s="281"/>
      <c r="F1707" s="283"/>
      <c r="G1707" s="283"/>
      <c r="K1707" s="3"/>
      <c r="O1707" s="30"/>
    </row>
  </sheetData>
  <sheetProtection selectLockedCells="1"/>
  <mergeCells count="2434">
    <mergeCell ref="K1643:O1643"/>
    <mergeCell ref="K1644:O1644"/>
    <mergeCell ref="J1648:K1648"/>
    <mergeCell ref="J1650:K1650"/>
    <mergeCell ref="J1653:K1653"/>
    <mergeCell ref="J1583:K1583"/>
    <mergeCell ref="J1586:K1586"/>
    <mergeCell ref="K1598:O1598"/>
    <mergeCell ref="N1594:O1594"/>
    <mergeCell ref="N1595:O1595"/>
    <mergeCell ref="J1584:K1584"/>
    <mergeCell ref="J1585:K1585"/>
    <mergeCell ref="J1587:K1587"/>
    <mergeCell ref="N1639:O1639"/>
    <mergeCell ref="J1631:K1631"/>
    <mergeCell ref="J1632:K1632"/>
    <mergeCell ref="M1616:N1616"/>
    <mergeCell ref="J1609:K1609"/>
    <mergeCell ref="K1624:O1624"/>
    <mergeCell ref="K1627:O1627"/>
    <mergeCell ref="J1692:K1692"/>
    <mergeCell ref="K1599:O1599"/>
    <mergeCell ref="K1600:O1600"/>
    <mergeCell ref="K1601:O1601"/>
    <mergeCell ref="J1603:K1603"/>
    <mergeCell ref="N1620:O1620"/>
    <mergeCell ref="M1614:N1614"/>
    <mergeCell ref="N1621:O1621"/>
    <mergeCell ref="N1623:O1623"/>
    <mergeCell ref="J1605:K1605"/>
    <mergeCell ref="J1606:K1606"/>
    <mergeCell ref="K1625:O1625"/>
    <mergeCell ref="K1626:O1626"/>
    <mergeCell ref="J1607:K1607"/>
    <mergeCell ref="J1608:K1608"/>
    <mergeCell ref="J1673:K1673"/>
    <mergeCell ref="M1635:N1635"/>
    <mergeCell ref="K1645:O1645"/>
    <mergeCell ref="K1646:O1646"/>
    <mergeCell ref="N1640:O1640"/>
    <mergeCell ref="M1633:N1633"/>
    <mergeCell ref="J1610:K1610"/>
    <mergeCell ref="J1629:K1629"/>
    <mergeCell ref="K1666:O1666"/>
    <mergeCell ref="N1664:O1664"/>
    <mergeCell ref="K1665:O1665"/>
    <mergeCell ref="M1655:N1655"/>
    <mergeCell ref="J1611:K1611"/>
    <mergeCell ref="J1670:K1670"/>
    <mergeCell ref="N1661:O1661"/>
    <mergeCell ref="N1662:O1662"/>
    <mergeCell ref="J1652:K1652"/>
    <mergeCell ref="K1574:O1574"/>
    <mergeCell ref="K1575:O1575"/>
    <mergeCell ref="J1561:K1561"/>
    <mergeCell ref="M1562:N1562"/>
    <mergeCell ref="M1564:N1564"/>
    <mergeCell ref="N1568:O1568"/>
    <mergeCell ref="N1569:O1569"/>
    <mergeCell ref="J1559:K1559"/>
    <mergeCell ref="J1694:K1694"/>
    <mergeCell ref="K1687:O1687"/>
    <mergeCell ref="K1688:O1688"/>
    <mergeCell ref="M1679:N1679"/>
    <mergeCell ref="N1683:O1683"/>
    <mergeCell ref="K1689:O1689"/>
    <mergeCell ref="J1654:K1654"/>
    <mergeCell ref="M1657:N1657"/>
    <mergeCell ref="J1612:K1612"/>
    <mergeCell ref="J1613:K1613"/>
    <mergeCell ref="K1573:O1573"/>
    <mergeCell ref="J1672:K1672"/>
    <mergeCell ref="J1674:K1674"/>
    <mergeCell ref="K1667:O1667"/>
    <mergeCell ref="N1642:O1642"/>
    <mergeCell ref="K1668:O1668"/>
    <mergeCell ref="J1651:K1651"/>
    <mergeCell ref="M1588:N1588"/>
    <mergeCell ref="M1590:N1590"/>
    <mergeCell ref="N1597:O1597"/>
    <mergeCell ref="J1577:K1577"/>
    <mergeCell ref="J1579:K1579"/>
    <mergeCell ref="J1580:K1580"/>
    <mergeCell ref="J1582:K1582"/>
    <mergeCell ref="J1532:K1532"/>
    <mergeCell ref="J1533:K1533"/>
    <mergeCell ref="J1534:K1534"/>
    <mergeCell ref="J1535:K1535"/>
    <mergeCell ref="N1543:O1543"/>
    <mergeCell ref="J1558:K1558"/>
    <mergeCell ref="N1542:O1542"/>
    <mergeCell ref="J1551:K1551"/>
    <mergeCell ref="N1545:O1545"/>
    <mergeCell ref="K1546:O1546"/>
    <mergeCell ref="K1548:O1548"/>
    <mergeCell ref="J1555:K1555"/>
    <mergeCell ref="J1556:K1556"/>
    <mergeCell ref="J1557:K1557"/>
    <mergeCell ref="K1547:O1547"/>
    <mergeCell ref="J1530:K1530"/>
    <mergeCell ref="J1531:K1531"/>
    <mergeCell ref="M1536:N1536"/>
    <mergeCell ref="M1538:N1538"/>
    <mergeCell ref="J1581:K1581"/>
    <mergeCell ref="J1553:K1553"/>
    <mergeCell ref="J1554:K1554"/>
    <mergeCell ref="J1502:K1502"/>
    <mergeCell ref="J1503:K1503"/>
    <mergeCell ref="N1490:O1490"/>
    <mergeCell ref="N1491:O1491"/>
    <mergeCell ref="N1493:O1493"/>
    <mergeCell ref="K1494:O1494"/>
    <mergeCell ref="M1484:N1484"/>
    <mergeCell ref="J1483:K1483"/>
    <mergeCell ref="J1482:K1482"/>
    <mergeCell ref="N1571:O1571"/>
    <mergeCell ref="K1572:O1572"/>
    <mergeCell ref="K1522:O1522"/>
    <mergeCell ref="K1523:O1523"/>
    <mergeCell ref="J1525:K1525"/>
    <mergeCell ref="J1527:K1527"/>
    <mergeCell ref="J1528:K1528"/>
    <mergeCell ref="J1529:K1529"/>
    <mergeCell ref="K1549:O1549"/>
    <mergeCell ref="J1560:K1560"/>
    <mergeCell ref="J1508:K1508"/>
    <mergeCell ref="K1495:O1495"/>
    <mergeCell ref="K1496:O1496"/>
    <mergeCell ref="K1497:O1497"/>
    <mergeCell ref="J1499:K1499"/>
    <mergeCell ref="J1501:K1501"/>
    <mergeCell ref="J1507:K1507"/>
    <mergeCell ref="J1506:K1506"/>
    <mergeCell ref="J1504:K1504"/>
    <mergeCell ref="J1505:K1505"/>
    <mergeCell ref="J1509:K1509"/>
    <mergeCell ref="K1521:O1521"/>
    <mergeCell ref="M1510:N1510"/>
    <mergeCell ref="N1465:O1465"/>
    <mergeCell ref="N1467:O1467"/>
    <mergeCell ref="K1445:O1445"/>
    <mergeCell ref="J1452:K1452"/>
    <mergeCell ref="J1453:K1453"/>
    <mergeCell ref="J1454:K1454"/>
    <mergeCell ref="J1447:K1447"/>
    <mergeCell ref="J1449:K1449"/>
    <mergeCell ref="J1450:K1450"/>
    <mergeCell ref="J1451:K1451"/>
    <mergeCell ref="M1460:N1460"/>
    <mergeCell ref="M1486:N1486"/>
    <mergeCell ref="K1468:O1468"/>
    <mergeCell ref="K1469:O1469"/>
    <mergeCell ref="K1470:O1470"/>
    <mergeCell ref="K1471:O1471"/>
    <mergeCell ref="J1473:K1473"/>
    <mergeCell ref="J1475:K1475"/>
    <mergeCell ref="J1476:K1476"/>
    <mergeCell ref="J1481:K1481"/>
    <mergeCell ref="J1477:K1477"/>
    <mergeCell ref="J1478:K1478"/>
    <mergeCell ref="J1479:K1479"/>
    <mergeCell ref="J1480:K1480"/>
    <mergeCell ref="M1512:N1512"/>
    <mergeCell ref="N1516:O1516"/>
    <mergeCell ref="N1517:O1517"/>
    <mergeCell ref="N1519:O1519"/>
    <mergeCell ref="K1520:O1520"/>
    <mergeCell ref="M1406:N1406"/>
    <mergeCell ref="J1423:K1423"/>
    <mergeCell ref="K1443:O1443"/>
    <mergeCell ref="K1444:O1444"/>
    <mergeCell ref="J1424:K1424"/>
    <mergeCell ref="J1425:K1425"/>
    <mergeCell ref="J1426:K1426"/>
    <mergeCell ref="J1431:K1431"/>
    <mergeCell ref="M1432:N1432"/>
    <mergeCell ref="M1434:N1434"/>
    <mergeCell ref="N1464:O1464"/>
    <mergeCell ref="J1457:K1457"/>
    <mergeCell ref="M1458:N1458"/>
    <mergeCell ref="J1455:K1455"/>
    <mergeCell ref="J1456:K1456"/>
    <mergeCell ref="N1439:O1439"/>
    <mergeCell ref="N1441:O1441"/>
    <mergeCell ref="J1405:K1405"/>
    <mergeCell ref="J1427:K1427"/>
    <mergeCell ref="J1428:K1428"/>
    <mergeCell ref="J1429:K1429"/>
    <mergeCell ref="J1401:K1401"/>
    <mergeCell ref="J1402:K1402"/>
    <mergeCell ref="J1403:K1403"/>
    <mergeCell ref="J1404:K1404"/>
    <mergeCell ref="N1413:O1413"/>
    <mergeCell ref="N1415:O1415"/>
    <mergeCell ref="K1416:O1416"/>
    <mergeCell ref="K1417:O1417"/>
    <mergeCell ref="K1418:O1418"/>
    <mergeCell ref="K1419:O1419"/>
    <mergeCell ref="K1366:O1366"/>
    <mergeCell ref="K1367:O1367"/>
    <mergeCell ref="J1369:K1369"/>
    <mergeCell ref="J1371:K1371"/>
    <mergeCell ref="J1374:K1374"/>
    <mergeCell ref="J1375:K1375"/>
    <mergeCell ref="K1393:O1393"/>
    <mergeCell ref="J1395:K1395"/>
    <mergeCell ref="J1372:K1372"/>
    <mergeCell ref="J1373:K1373"/>
    <mergeCell ref="J1378:K1378"/>
    <mergeCell ref="J1379:K1379"/>
    <mergeCell ref="M1380:N1380"/>
    <mergeCell ref="M1382:N1382"/>
    <mergeCell ref="J1376:K1376"/>
    <mergeCell ref="J1377:K1377"/>
    <mergeCell ref="N1386:O1386"/>
    <mergeCell ref="N1387:O1387"/>
    <mergeCell ref="N1389:O1389"/>
    <mergeCell ref="K1390:O1390"/>
    <mergeCell ref="K1391:O1391"/>
    <mergeCell ref="K1392:O1392"/>
    <mergeCell ref="J1400:K1400"/>
    <mergeCell ref="J1421:K1421"/>
    <mergeCell ref="J1397:K1397"/>
    <mergeCell ref="M1408:N1408"/>
    <mergeCell ref="N1412:O1412"/>
    <mergeCell ref="K1442:O1442"/>
    <mergeCell ref="N1438:O1438"/>
    <mergeCell ref="J1398:K1398"/>
    <mergeCell ref="J1399:K1399"/>
    <mergeCell ref="J1430:K1430"/>
    <mergeCell ref="N1361:O1361"/>
    <mergeCell ref="J1353:K1353"/>
    <mergeCell ref="N1284:O1284"/>
    <mergeCell ref="N1285:O1285"/>
    <mergeCell ref="K1286:O1286"/>
    <mergeCell ref="J1297:K1297"/>
    <mergeCell ref="J1298:K1298"/>
    <mergeCell ref="K1287:O1287"/>
    <mergeCell ref="K1288:O1288"/>
    <mergeCell ref="J1324:K1324"/>
    <mergeCell ref="N1363:O1363"/>
    <mergeCell ref="K1364:O1364"/>
    <mergeCell ref="K1365:O1365"/>
    <mergeCell ref="K1341:O1341"/>
    <mergeCell ref="J1343:K1343"/>
    <mergeCell ref="J1345:K1345"/>
    <mergeCell ref="J1346:K1346"/>
    <mergeCell ref="M1354:N1354"/>
    <mergeCell ref="M1356:N1356"/>
    <mergeCell ref="N1360:O1360"/>
    <mergeCell ref="K1339:O1339"/>
    <mergeCell ref="K1340:O1340"/>
    <mergeCell ref="M1304:N1304"/>
    <mergeCell ref="N1308:O1308"/>
    <mergeCell ref="N1334:O1334"/>
    <mergeCell ref="N1335:O1335"/>
    <mergeCell ref="N1337:O1337"/>
    <mergeCell ref="K1338:O1338"/>
    <mergeCell ref="J1325:K1325"/>
    <mergeCell ref="J1326:K1326"/>
    <mergeCell ref="J1351:K1351"/>
    <mergeCell ref="J1352:K1352"/>
    <mergeCell ref="J1347:K1347"/>
    <mergeCell ref="J1348:K1348"/>
    <mergeCell ref="J1349:K1349"/>
    <mergeCell ref="J1350:K1350"/>
    <mergeCell ref="M1328:N1328"/>
    <mergeCell ref="M1330:N1330"/>
    <mergeCell ref="J1327:K1327"/>
    <mergeCell ref="J1320:K1320"/>
    <mergeCell ref="J1321:K1321"/>
    <mergeCell ref="J1322:K1322"/>
    <mergeCell ref="J1323:K1323"/>
    <mergeCell ref="N1309:O1309"/>
    <mergeCell ref="N1311:O1311"/>
    <mergeCell ref="J1268:K1268"/>
    <mergeCell ref="J1272:K1272"/>
    <mergeCell ref="J1273:K1273"/>
    <mergeCell ref="J1270:K1270"/>
    <mergeCell ref="J1271:K1271"/>
    <mergeCell ref="J1269:K1269"/>
    <mergeCell ref="J1274:K1274"/>
    <mergeCell ref="J1275:K1275"/>
    <mergeCell ref="J1301:K1301"/>
    <mergeCell ref="M1302:N1302"/>
    <mergeCell ref="N1282:O1282"/>
    <mergeCell ref="N1283:O1283"/>
    <mergeCell ref="K1314:O1314"/>
    <mergeCell ref="K1315:O1315"/>
    <mergeCell ref="J1317:K1317"/>
    <mergeCell ref="J1319:K1319"/>
    <mergeCell ref="K1312:O1312"/>
    <mergeCell ref="K1313:O1313"/>
    <mergeCell ref="J1299:K1299"/>
    <mergeCell ref="J1300:K1300"/>
    <mergeCell ref="K1289:O1289"/>
    <mergeCell ref="J1291:K1291"/>
    <mergeCell ref="J1293:K1293"/>
    <mergeCell ref="J1294:K1294"/>
    <mergeCell ref="J1295:K1295"/>
    <mergeCell ref="J1296:K1296"/>
    <mergeCell ref="M1276:N1276"/>
    <mergeCell ref="M1278:N1278"/>
    <mergeCell ref="K1255:O1255"/>
    <mergeCell ref="K1256:O1256"/>
    <mergeCell ref="J1241:K1241"/>
    <mergeCell ref="J1238:K1238"/>
    <mergeCell ref="J1242:K1242"/>
    <mergeCell ref="J1243:K1243"/>
    <mergeCell ref="J1244:K1244"/>
    <mergeCell ref="M1245:N1245"/>
    <mergeCell ref="M1247:N1247"/>
    <mergeCell ref="J1239:K1239"/>
    <mergeCell ref="J1267:K1267"/>
    <mergeCell ref="K1257:O1257"/>
    <mergeCell ref="K1258:O1258"/>
    <mergeCell ref="K1259:O1259"/>
    <mergeCell ref="J1261:K1261"/>
    <mergeCell ref="J1263:K1263"/>
    <mergeCell ref="J1264:K1264"/>
    <mergeCell ref="J1265:K1265"/>
    <mergeCell ref="J1266:K1266"/>
    <mergeCell ref="N1220:O1220"/>
    <mergeCell ref="N1221:O1221"/>
    <mergeCell ref="N1222:O1222"/>
    <mergeCell ref="K1224:O1224"/>
    <mergeCell ref="K1227:O1227"/>
    <mergeCell ref="K1228:O1228"/>
    <mergeCell ref="J1234:K1234"/>
    <mergeCell ref="J1240:K1240"/>
    <mergeCell ref="N1252:O1252"/>
    <mergeCell ref="J1235:K1235"/>
    <mergeCell ref="J1236:K1236"/>
    <mergeCell ref="J1237:K1237"/>
    <mergeCell ref="K1194:O1194"/>
    <mergeCell ref="K1195:O1195"/>
    <mergeCell ref="K1196:O1196"/>
    <mergeCell ref="N1253:O1253"/>
    <mergeCell ref="K1225:O1225"/>
    <mergeCell ref="K1226:O1226"/>
    <mergeCell ref="N1251:O1251"/>
    <mergeCell ref="J1230:K1230"/>
    <mergeCell ref="J1232:K1232"/>
    <mergeCell ref="J1233:K1233"/>
    <mergeCell ref="J1204:K1204"/>
    <mergeCell ref="J1205:K1205"/>
    <mergeCell ref="J1206:K1206"/>
    <mergeCell ref="K1197:O1197"/>
    <mergeCell ref="J1199:K1199"/>
    <mergeCell ref="J1201:K1201"/>
    <mergeCell ref="J1202:K1202"/>
    <mergeCell ref="J1203:K1203"/>
    <mergeCell ref="J1208:K1208"/>
    <mergeCell ref="J1209:K1209"/>
    <mergeCell ref="J1210:K1210"/>
    <mergeCell ref="J1211:K1211"/>
    <mergeCell ref="J1212:K1212"/>
    <mergeCell ref="J1213:K1213"/>
    <mergeCell ref="M1156:N1156"/>
    <mergeCell ref="N1160:O1160"/>
    <mergeCell ref="N1161:O1161"/>
    <mergeCell ref="N1163:O1163"/>
    <mergeCell ref="M1214:N1214"/>
    <mergeCell ref="M1216:N1216"/>
    <mergeCell ref="M1185:N1185"/>
    <mergeCell ref="N1189:O1189"/>
    <mergeCell ref="N1190:O1190"/>
    <mergeCell ref="K1193:O1193"/>
    <mergeCell ref="J1148:K1148"/>
    <mergeCell ref="J1150:K1150"/>
    <mergeCell ref="J1151:K1151"/>
    <mergeCell ref="M1154:N1154"/>
    <mergeCell ref="J1152:K1152"/>
    <mergeCell ref="J1153:K1153"/>
    <mergeCell ref="J1149:K1149"/>
    <mergeCell ref="K1164:O1164"/>
    <mergeCell ref="N1162:O1162"/>
    <mergeCell ref="J1182:K1182"/>
    <mergeCell ref="M1183:N1183"/>
    <mergeCell ref="K1165:O1165"/>
    <mergeCell ref="K1166:O1166"/>
    <mergeCell ref="K1167:O1167"/>
    <mergeCell ref="K1168:O1168"/>
    <mergeCell ref="J1170:K1170"/>
    <mergeCell ref="J1172:K1172"/>
    <mergeCell ref="J1173:K1173"/>
    <mergeCell ref="J1178:K1178"/>
    <mergeCell ref="J1179:K1179"/>
    <mergeCell ref="J1180:K1180"/>
    <mergeCell ref="J1181:K1181"/>
    <mergeCell ref="J1174:K1174"/>
    <mergeCell ref="J1175:K1175"/>
    <mergeCell ref="J1177:K1177"/>
    <mergeCell ref="J1176:K1176"/>
    <mergeCell ref="K1138:O1138"/>
    <mergeCell ref="K1139:O1139"/>
    <mergeCell ref="M1125:N1125"/>
    <mergeCell ref="M1127:N1127"/>
    <mergeCell ref="N1133:O1133"/>
    <mergeCell ref="K1135:O1135"/>
    <mergeCell ref="K1136:O1136"/>
    <mergeCell ref="K1137:O1137"/>
    <mergeCell ref="N1132:O1132"/>
    <mergeCell ref="N1131:O1131"/>
    <mergeCell ref="J1145:K1145"/>
    <mergeCell ref="J1146:K1146"/>
    <mergeCell ref="J1144:K1144"/>
    <mergeCell ref="J1141:K1141"/>
    <mergeCell ref="J1143:K1143"/>
    <mergeCell ref="J1094:K1094"/>
    <mergeCell ref="J1124:K1124"/>
    <mergeCell ref="J1024:K1024"/>
    <mergeCell ref="J1063:K1063"/>
    <mergeCell ref="J1086:K1086"/>
    <mergeCell ref="J1056:K1056"/>
    <mergeCell ref="J1034:K1034"/>
    <mergeCell ref="J1035:K1035"/>
    <mergeCell ref="K1050:O1050"/>
    <mergeCell ref="J1087:K1087"/>
    <mergeCell ref="N1042:O1042"/>
    <mergeCell ref="J1123:K1123"/>
    <mergeCell ref="J1120:K1120"/>
    <mergeCell ref="M1098:N1098"/>
    <mergeCell ref="N1102:O1102"/>
    <mergeCell ref="J1119:K1119"/>
    <mergeCell ref="J1112:K1112"/>
    <mergeCell ref="J1115:K1115"/>
    <mergeCell ref="J1116:K1116"/>
    <mergeCell ref="J1117:K1117"/>
    <mergeCell ref="K1107:O1107"/>
    <mergeCell ref="K1108:O1108"/>
    <mergeCell ref="J1095:K1095"/>
    <mergeCell ref="J1118:K1118"/>
    <mergeCell ref="K1109:O1109"/>
    <mergeCell ref="K1110:O1110"/>
    <mergeCell ref="N1103:O1103"/>
    <mergeCell ref="N1104:O1104"/>
    <mergeCell ref="K1106:O1106"/>
    <mergeCell ref="J1114:K1114"/>
    <mergeCell ref="M1096:N1096"/>
    <mergeCell ref="J1093:K1093"/>
    <mergeCell ref="J1065:K1065"/>
    <mergeCell ref="J1066:K1066"/>
    <mergeCell ref="M1067:N1067"/>
    <mergeCell ref="K1077:O1077"/>
    <mergeCell ref="J1121:K1121"/>
    <mergeCell ref="J1033:K1033"/>
    <mergeCell ref="J1088:K1088"/>
    <mergeCell ref="J1090:K1090"/>
    <mergeCell ref="J1091:K1091"/>
    <mergeCell ref="J1089:K1089"/>
    <mergeCell ref="J1062:K1062"/>
    <mergeCell ref="J1061:K1061"/>
    <mergeCell ref="J1064:K1064"/>
    <mergeCell ref="K1078:O1078"/>
    <mergeCell ref="J1060:K1060"/>
    <mergeCell ref="J1031:K1031"/>
    <mergeCell ref="J1032:K1032"/>
    <mergeCell ref="K1046:O1046"/>
    <mergeCell ref="K1047:O1047"/>
    <mergeCell ref="M1036:N1036"/>
    <mergeCell ref="K1048:O1048"/>
    <mergeCell ref="J1092:K1092"/>
    <mergeCell ref="M1069:N1069"/>
    <mergeCell ref="J1085:K1085"/>
    <mergeCell ref="N1073:O1073"/>
    <mergeCell ref="N1074:O1074"/>
    <mergeCell ref="N1075:O1075"/>
    <mergeCell ref="K1079:O1079"/>
    <mergeCell ref="K1080:O1080"/>
    <mergeCell ref="K1081:O1081"/>
    <mergeCell ref="J1083:K1083"/>
    <mergeCell ref="N1044:O1044"/>
    <mergeCell ref="J1023:K1023"/>
    <mergeCell ref="J1021:K1021"/>
    <mergeCell ref="J992:K992"/>
    <mergeCell ref="J1003:K1003"/>
    <mergeCell ref="J1004:K1004"/>
    <mergeCell ref="J1001:K1001"/>
    <mergeCell ref="J1002:K1002"/>
    <mergeCell ref="M974:N974"/>
    <mergeCell ref="M976:N976"/>
    <mergeCell ref="K1019:O1019"/>
    <mergeCell ref="K1015:O1015"/>
    <mergeCell ref="K1016:O1016"/>
    <mergeCell ref="K1017:O1017"/>
    <mergeCell ref="J1030:K1030"/>
    <mergeCell ref="J1026:K1026"/>
    <mergeCell ref="J1027:K1027"/>
    <mergeCell ref="N982:O982"/>
    <mergeCell ref="K987:O987"/>
    <mergeCell ref="J997:K997"/>
    <mergeCell ref="J966:K966"/>
    <mergeCell ref="J968:K968"/>
    <mergeCell ref="J967:K967"/>
    <mergeCell ref="J996:K996"/>
    <mergeCell ref="J990:K990"/>
    <mergeCell ref="J973:K973"/>
    <mergeCell ref="J972:K972"/>
    <mergeCell ref="M1005:N1005"/>
    <mergeCell ref="J969:K969"/>
    <mergeCell ref="J1058:K1058"/>
    <mergeCell ref="J1059:K1059"/>
    <mergeCell ref="J1057:K1057"/>
    <mergeCell ref="J999:K999"/>
    <mergeCell ref="K984:O984"/>
    <mergeCell ref="K985:O985"/>
    <mergeCell ref="K986:O986"/>
    <mergeCell ref="J1028:K1028"/>
    <mergeCell ref="J1029:K1029"/>
    <mergeCell ref="J1055:K1055"/>
    <mergeCell ref="K1049:O1049"/>
    <mergeCell ref="J1054:K1054"/>
    <mergeCell ref="N1043:O1043"/>
    <mergeCell ref="J1052:K1052"/>
    <mergeCell ref="J1000:K1000"/>
    <mergeCell ref="K1018:O1018"/>
    <mergeCell ref="J1025:K1025"/>
    <mergeCell ref="M1038:N1038"/>
    <mergeCell ref="M1007:N1007"/>
    <mergeCell ref="J998:K998"/>
    <mergeCell ref="N1011:O1011"/>
    <mergeCell ref="N1012:O1012"/>
    <mergeCell ref="N1013:O1013"/>
    <mergeCell ref="J940:K940"/>
    <mergeCell ref="J941:K941"/>
    <mergeCell ref="N950:O950"/>
    <mergeCell ref="M943:N943"/>
    <mergeCell ref="J995:K995"/>
    <mergeCell ref="J970:K970"/>
    <mergeCell ref="J971:K971"/>
    <mergeCell ref="K988:O988"/>
    <mergeCell ref="J942:K942"/>
    <mergeCell ref="N949:O949"/>
    <mergeCell ref="J909:K909"/>
    <mergeCell ref="J912:K912"/>
    <mergeCell ref="M945:N945"/>
    <mergeCell ref="J937:K937"/>
    <mergeCell ref="J934:K934"/>
    <mergeCell ref="J935:K935"/>
    <mergeCell ref="J936:K936"/>
    <mergeCell ref="J963:K963"/>
    <mergeCell ref="K953:O953"/>
    <mergeCell ref="K954:O954"/>
    <mergeCell ref="K955:O955"/>
    <mergeCell ref="K956:O956"/>
    <mergeCell ref="K957:O957"/>
    <mergeCell ref="J959:K959"/>
    <mergeCell ref="J961:K961"/>
    <mergeCell ref="K924:O924"/>
    <mergeCell ref="J993:K993"/>
    <mergeCell ref="J994:K994"/>
    <mergeCell ref="N980:O980"/>
    <mergeCell ref="N981:O981"/>
    <mergeCell ref="J964:K964"/>
    <mergeCell ref="J965:K965"/>
    <mergeCell ref="J854:K854"/>
    <mergeCell ref="J855:K855"/>
    <mergeCell ref="K898:O898"/>
    <mergeCell ref="N863:O863"/>
    <mergeCell ref="J880:K880"/>
    <mergeCell ref="M885:N885"/>
    <mergeCell ref="M887:N887"/>
    <mergeCell ref="J881:K881"/>
    <mergeCell ref="K896:O896"/>
    <mergeCell ref="K897:O897"/>
    <mergeCell ref="J883:K883"/>
    <mergeCell ref="J884:K884"/>
    <mergeCell ref="K899:O899"/>
    <mergeCell ref="J962:K962"/>
    <mergeCell ref="J938:K938"/>
    <mergeCell ref="N951:O951"/>
    <mergeCell ref="J932:K932"/>
    <mergeCell ref="M914:N914"/>
    <mergeCell ref="M916:N916"/>
    <mergeCell ref="N920:O920"/>
    <mergeCell ref="N921:O921"/>
    <mergeCell ref="J882:K882"/>
    <mergeCell ref="J904:K904"/>
    <mergeCell ref="J903:K903"/>
    <mergeCell ref="N893:O893"/>
    <mergeCell ref="K895:O895"/>
    <mergeCell ref="J905:K905"/>
    <mergeCell ref="J913:K913"/>
    <mergeCell ref="K925:O925"/>
    <mergeCell ref="J908:K908"/>
    <mergeCell ref="J907:K907"/>
    <mergeCell ref="N922:O922"/>
    <mergeCell ref="J879:K879"/>
    <mergeCell ref="M858:N858"/>
    <mergeCell ref="B1651:C1651"/>
    <mergeCell ref="M1699:N1699"/>
    <mergeCell ref="F1686:G1686"/>
    <mergeCell ref="C1687:G1687"/>
    <mergeCell ref="C1688:G1688"/>
    <mergeCell ref="C1690:G1690"/>
    <mergeCell ref="N1686:O1686"/>
    <mergeCell ref="B1697:C1697"/>
    <mergeCell ref="K867:O867"/>
    <mergeCell ref="K868:O868"/>
    <mergeCell ref="M1677:N1677"/>
    <mergeCell ref="B1670:C1670"/>
    <mergeCell ref="C1522:G1522"/>
    <mergeCell ref="M856:N856"/>
    <mergeCell ref="K926:O926"/>
    <mergeCell ref="K927:O927"/>
    <mergeCell ref="K928:O928"/>
    <mergeCell ref="J930:K930"/>
    <mergeCell ref="K869:O869"/>
    <mergeCell ref="C1600:G1600"/>
    <mergeCell ref="F1597:G1597"/>
    <mergeCell ref="E1588:F1588"/>
    <mergeCell ref="B990:C990"/>
    <mergeCell ref="F981:G981"/>
    <mergeCell ref="F982:G982"/>
    <mergeCell ref="C1494:G1494"/>
    <mergeCell ref="F1493:G1493"/>
    <mergeCell ref="B1350:C1350"/>
    <mergeCell ref="F1284:G1284"/>
    <mergeCell ref="B1503:C1503"/>
    <mergeCell ref="F1706:G1706"/>
    <mergeCell ref="N1706:O1706"/>
    <mergeCell ref="C1521:G1521"/>
    <mergeCell ref="C1523:G1523"/>
    <mergeCell ref="B1527:C1527"/>
    <mergeCell ref="B1528:C1528"/>
    <mergeCell ref="M1701:N1701"/>
    <mergeCell ref="B1533:C1533"/>
    <mergeCell ref="J1695:K1695"/>
    <mergeCell ref="K1690:O1690"/>
    <mergeCell ref="K816:O816"/>
    <mergeCell ref="K817:O817"/>
    <mergeCell ref="J819:K819"/>
    <mergeCell ref="J821:K821"/>
    <mergeCell ref="J933:K933"/>
    <mergeCell ref="J939:K939"/>
    <mergeCell ref="J876:K876"/>
    <mergeCell ref="K870:O870"/>
    <mergeCell ref="J872:K872"/>
    <mergeCell ref="J874:K874"/>
    <mergeCell ref="J822:K822"/>
    <mergeCell ref="J823:K823"/>
    <mergeCell ref="J1697:K1697"/>
    <mergeCell ref="N892:O892"/>
    <mergeCell ref="J910:K910"/>
    <mergeCell ref="J911:K911"/>
    <mergeCell ref="J906:K906"/>
    <mergeCell ref="J878:K878"/>
    <mergeCell ref="J877:K877"/>
    <mergeCell ref="N891:O891"/>
    <mergeCell ref="J901:K901"/>
    <mergeCell ref="J847:K847"/>
    <mergeCell ref="J853:K853"/>
    <mergeCell ref="J851:K851"/>
    <mergeCell ref="J852:K852"/>
    <mergeCell ref="N862:O862"/>
    <mergeCell ref="J875:K875"/>
    <mergeCell ref="N864:O864"/>
    <mergeCell ref="K866:O866"/>
    <mergeCell ref="J826:K826"/>
    <mergeCell ref="N833:O833"/>
    <mergeCell ref="N834:O834"/>
    <mergeCell ref="J848:K848"/>
    <mergeCell ref="J850:K850"/>
    <mergeCell ref="J845:K845"/>
    <mergeCell ref="J846:K846"/>
    <mergeCell ref="J849:K849"/>
    <mergeCell ref="N1684:O1684"/>
    <mergeCell ref="E1701:F1701"/>
    <mergeCell ref="M827:N827"/>
    <mergeCell ref="C953:G953"/>
    <mergeCell ref="B967:C967"/>
    <mergeCell ref="B1508:C1508"/>
    <mergeCell ref="B1116:C1116"/>
    <mergeCell ref="C1106:G1106"/>
    <mergeCell ref="C1168:G1168"/>
    <mergeCell ref="B1403:C1403"/>
    <mergeCell ref="B1426:C1426"/>
    <mergeCell ref="B959:C959"/>
    <mergeCell ref="C955:G955"/>
    <mergeCell ref="F980:G980"/>
    <mergeCell ref="C988:G988"/>
    <mergeCell ref="C984:G984"/>
    <mergeCell ref="C985:G985"/>
    <mergeCell ref="J801:K801"/>
    <mergeCell ref="J802:K802"/>
    <mergeCell ref="M805:N805"/>
    <mergeCell ref="M807:N807"/>
    <mergeCell ref="J803:K803"/>
    <mergeCell ref="J804:K804"/>
    <mergeCell ref="N811:O811"/>
    <mergeCell ref="B1531:C1531"/>
    <mergeCell ref="B1530:C1530"/>
    <mergeCell ref="M829:N829"/>
    <mergeCell ref="F1705:G1705"/>
    <mergeCell ref="N1705:O1705"/>
    <mergeCell ref="J1675:K1675"/>
    <mergeCell ref="J1676:K1676"/>
    <mergeCell ref="C1689:G1689"/>
    <mergeCell ref="B1696:C1696"/>
    <mergeCell ref="E1699:F1699"/>
    <mergeCell ref="N835:O835"/>
    <mergeCell ref="B1181:C1181"/>
    <mergeCell ref="B1175:C1175"/>
    <mergeCell ref="B1293:C1293"/>
    <mergeCell ref="B1425:C1425"/>
    <mergeCell ref="B1424:C1424"/>
    <mergeCell ref="F1517:G1517"/>
    <mergeCell ref="C1520:G1520"/>
    <mergeCell ref="F1516:G1516"/>
    <mergeCell ref="E1510:F1510"/>
    <mergeCell ref="B1507:C1507"/>
    <mergeCell ref="B1509:C1509"/>
    <mergeCell ref="B1506:C1506"/>
    <mergeCell ref="B934:C934"/>
    <mergeCell ref="C956:G956"/>
    <mergeCell ref="J800:K800"/>
    <mergeCell ref="J824:K824"/>
    <mergeCell ref="B1698:C1698"/>
    <mergeCell ref="J1698:K1698"/>
    <mergeCell ref="B1692:C1692"/>
    <mergeCell ref="B1694:C1694"/>
    <mergeCell ref="B1695:C1695"/>
    <mergeCell ref="J1696:K1696"/>
    <mergeCell ref="B1532:C1532"/>
    <mergeCell ref="K837:O837"/>
    <mergeCell ref="J843:K843"/>
    <mergeCell ref="K838:O838"/>
    <mergeCell ref="K839:O839"/>
    <mergeCell ref="K840:O840"/>
    <mergeCell ref="K841:O841"/>
    <mergeCell ref="K815:O815"/>
    <mergeCell ref="N790:O790"/>
    <mergeCell ref="N791:O791"/>
    <mergeCell ref="K793:O793"/>
    <mergeCell ref="K794:O794"/>
    <mergeCell ref="K795:O795"/>
    <mergeCell ref="J797:K797"/>
    <mergeCell ref="N813:O813"/>
    <mergeCell ref="J799:K799"/>
    <mergeCell ref="N812:O812"/>
    <mergeCell ref="C1495:G1495"/>
    <mergeCell ref="B1505:C1505"/>
    <mergeCell ref="B1060:C1060"/>
    <mergeCell ref="B907:C907"/>
    <mergeCell ref="B1261:C1261"/>
    <mergeCell ref="B1173:C1173"/>
    <mergeCell ref="C1167:G1167"/>
    <mergeCell ref="M785:N785"/>
    <mergeCell ref="J782:K782"/>
    <mergeCell ref="M783:N783"/>
    <mergeCell ref="J761:K761"/>
    <mergeCell ref="J762:K762"/>
    <mergeCell ref="K749:O749"/>
    <mergeCell ref="K750:O750"/>
    <mergeCell ref="K751:O751"/>
    <mergeCell ref="J753:K753"/>
    <mergeCell ref="J755:K755"/>
    <mergeCell ref="M739:N739"/>
    <mergeCell ref="M741:N741"/>
    <mergeCell ref="N745:O745"/>
    <mergeCell ref="N746:O746"/>
    <mergeCell ref="N789:O789"/>
    <mergeCell ref="M763:N763"/>
    <mergeCell ref="M765:N765"/>
    <mergeCell ref="N769:O769"/>
    <mergeCell ref="N770:O770"/>
    <mergeCell ref="N771:O771"/>
    <mergeCell ref="N747:O747"/>
    <mergeCell ref="K774:O774"/>
    <mergeCell ref="K775:O775"/>
    <mergeCell ref="J780:K780"/>
    <mergeCell ref="J757:K757"/>
    <mergeCell ref="J758:K758"/>
    <mergeCell ref="J777:K777"/>
    <mergeCell ref="J779:K779"/>
    <mergeCell ref="K773:O773"/>
    <mergeCell ref="J756:K756"/>
    <mergeCell ref="J781:K781"/>
    <mergeCell ref="J759:K759"/>
    <mergeCell ref="J760:K760"/>
    <mergeCell ref="M715:N715"/>
    <mergeCell ref="M717:N717"/>
    <mergeCell ref="J736:K736"/>
    <mergeCell ref="J737:K737"/>
    <mergeCell ref="J735:K735"/>
    <mergeCell ref="K726:O726"/>
    <mergeCell ref="J738:K738"/>
    <mergeCell ref="J710:K710"/>
    <mergeCell ref="J713:K713"/>
    <mergeCell ref="J714:K714"/>
    <mergeCell ref="N702:O702"/>
    <mergeCell ref="K704:O704"/>
    <mergeCell ref="K705:O705"/>
    <mergeCell ref="K706:O706"/>
    <mergeCell ref="N680:O680"/>
    <mergeCell ref="J732:K732"/>
    <mergeCell ref="J733:K733"/>
    <mergeCell ref="J734:K734"/>
    <mergeCell ref="J731:K731"/>
    <mergeCell ref="N721:O721"/>
    <mergeCell ref="N722:O722"/>
    <mergeCell ref="N723:O723"/>
    <mergeCell ref="K725:O725"/>
    <mergeCell ref="J708:K708"/>
    <mergeCell ref="J711:K711"/>
    <mergeCell ref="J712:K712"/>
    <mergeCell ref="J690:K690"/>
    <mergeCell ref="J692:K692"/>
    <mergeCell ref="K727:O727"/>
    <mergeCell ref="J729:K729"/>
    <mergeCell ref="M694:N694"/>
    <mergeCell ref="M696:N696"/>
    <mergeCell ref="N700:O700"/>
    <mergeCell ref="N701:O701"/>
    <mergeCell ref="J689:K689"/>
    <mergeCell ref="J691:K691"/>
    <mergeCell ref="J693:K693"/>
    <mergeCell ref="J686:K686"/>
    <mergeCell ref="K682:O682"/>
    <mergeCell ref="K683:O683"/>
    <mergeCell ref="K684:O684"/>
    <mergeCell ref="J688:K688"/>
    <mergeCell ref="N678:O678"/>
    <mergeCell ref="N679:O679"/>
    <mergeCell ref="K616:O616"/>
    <mergeCell ref="K617:O617"/>
    <mergeCell ref="K660:O660"/>
    <mergeCell ref="J667:K667"/>
    <mergeCell ref="J627:K627"/>
    <mergeCell ref="J620:K620"/>
    <mergeCell ref="J622:K622"/>
    <mergeCell ref="J623:K623"/>
    <mergeCell ref="K638:O638"/>
    <mergeCell ref="K639:O639"/>
    <mergeCell ref="J624:K624"/>
    <mergeCell ref="J625:K625"/>
    <mergeCell ref="N613:O613"/>
    <mergeCell ref="M652:N652"/>
    <mergeCell ref="J626:K626"/>
    <mergeCell ref="N614:O614"/>
    <mergeCell ref="J669:K669"/>
    <mergeCell ref="J670:K670"/>
    <mergeCell ref="J671:K671"/>
    <mergeCell ref="M674:N674"/>
    <mergeCell ref="K618:O618"/>
    <mergeCell ref="J578:K578"/>
    <mergeCell ref="J581:K581"/>
    <mergeCell ref="M584:N584"/>
    <mergeCell ref="N656:O656"/>
    <mergeCell ref="M628:N628"/>
    <mergeCell ref="M630:N630"/>
    <mergeCell ref="N634:O634"/>
    <mergeCell ref="N635:O635"/>
    <mergeCell ref="N636:O636"/>
    <mergeCell ref="K640:O640"/>
    <mergeCell ref="J647:K647"/>
    <mergeCell ref="K662:O662"/>
    <mergeCell ref="J664:K664"/>
    <mergeCell ref="M650:N650"/>
    <mergeCell ref="J605:K605"/>
    <mergeCell ref="N612:O612"/>
    <mergeCell ref="M606:N606"/>
    <mergeCell ref="M672:N672"/>
    <mergeCell ref="K574:O574"/>
    <mergeCell ref="M548:N548"/>
    <mergeCell ref="N552:O552"/>
    <mergeCell ref="N553:O553"/>
    <mergeCell ref="N554:O554"/>
    <mergeCell ref="K576:O576"/>
    <mergeCell ref="M608:N608"/>
    <mergeCell ref="J563:K563"/>
    <mergeCell ref="M564:N564"/>
    <mergeCell ref="M566:N566"/>
    <mergeCell ref="N570:O570"/>
    <mergeCell ref="J582:K582"/>
    <mergeCell ref="J583:K583"/>
    <mergeCell ref="J600:K600"/>
    <mergeCell ref="J601:K601"/>
    <mergeCell ref="J602:K602"/>
    <mergeCell ref="N590:O590"/>
    <mergeCell ref="N591:O591"/>
    <mergeCell ref="N592:O592"/>
    <mergeCell ref="K594:O594"/>
    <mergeCell ref="K595:O595"/>
    <mergeCell ref="J604:K604"/>
    <mergeCell ref="N535:O535"/>
    <mergeCell ref="N536:O536"/>
    <mergeCell ref="J603:K603"/>
    <mergeCell ref="K575:O575"/>
    <mergeCell ref="J580:K580"/>
    <mergeCell ref="M586:N586"/>
    <mergeCell ref="N571:O571"/>
    <mergeCell ref="N572:O572"/>
    <mergeCell ref="K596:O596"/>
    <mergeCell ref="J598:K598"/>
    <mergeCell ref="J484:K484"/>
    <mergeCell ref="J560:K560"/>
    <mergeCell ref="N495:O495"/>
    <mergeCell ref="J524:K524"/>
    <mergeCell ref="J526:K526"/>
    <mergeCell ref="J527:K527"/>
    <mergeCell ref="K556:O556"/>
    <mergeCell ref="K557:O557"/>
    <mergeCell ref="M530:N530"/>
    <mergeCell ref="N534:O534"/>
    <mergeCell ref="N517:O517"/>
    <mergeCell ref="J562:K562"/>
    <mergeCell ref="K538:O538"/>
    <mergeCell ref="K539:O539"/>
    <mergeCell ref="K540:O540"/>
    <mergeCell ref="J542:K542"/>
    <mergeCell ref="J544:K544"/>
    <mergeCell ref="J545:K545"/>
    <mergeCell ref="M546:N546"/>
    <mergeCell ref="K558:O558"/>
    <mergeCell ref="J487:K487"/>
    <mergeCell ref="M488:N488"/>
    <mergeCell ref="J505:K505"/>
    <mergeCell ref="J506:K506"/>
    <mergeCell ref="J507:K507"/>
    <mergeCell ref="K429:O429"/>
    <mergeCell ref="J412:K412"/>
    <mergeCell ref="N494:O494"/>
    <mergeCell ref="K498:O498"/>
    <mergeCell ref="K499:O499"/>
    <mergeCell ref="N474:O474"/>
    <mergeCell ref="K476:O476"/>
    <mergeCell ref="J480:K480"/>
    <mergeCell ref="J482:K482"/>
    <mergeCell ref="J483:K483"/>
    <mergeCell ref="K454:O454"/>
    <mergeCell ref="J417:K417"/>
    <mergeCell ref="J441:K441"/>
    <mergeCell ref="J442:K442"/>
    <mergeCell ref="J418:K418"/>
    <mergeCell ref="K430:O430"/>
    <mergeCell ref="M419:N419"/>
    <mergeCell ref="J435:K435"/>
    <mergeCell ref="K521:O521"/>
    <mergeCell ref="K522:O522"/>
    <mergeCell ref="M528:N528"/>
    <mergeCell ref="K456:O456"/>
    <mergeCell ref="J458:K458"/>
    <mergeCell ref="K477:O477"/>
    <mergeCell ref="M466:N466"/>
    <mergeCell ref="M468:N468"/>
    <mergeCell ref="N472:O472"/>
    <mergeCell ref="N473:O473"/>
    <mergeCell ref="N496:O496"/>
    <mergeCell ref="K455:O455"/>
    <mergeCell ref="J462:K462"/>
    <mergeCell ref="J463:K463"/>
    <mergeCell ref="J460:K460"/>
    <mergeCell ref="J464:K464"/>
    <mergeCell ref="J465:K465"/>
    <mergeCell ref="J486:K486"/>
    <mergeCell ref="J485:K485"/>
    <mergeCell ref="K478:O478"/>
    <mergeCell ref="J461:K461"/>
    <mergeCell ref="M490:N490"/>
    <mergeCell ref="K520:O520"/>
    <mergeCell ref="K500:O500"/>
    <mergeCell ref="N518:O518"/>
    <mergeCell ref="J509:K509"/>
    <mergeCell ref="M510:N510"/>
    <mergeCell ref="M512:N512"/>
    <mergeCell ref="N516:O516"/>
    <mergeCell ref="J508:K508"/>
    <mergeCell ref="J502:K502"/>
    <mergeCell ref="J504:K504"/>
    <mergeCell ref="J386:K386"/>
    <mergeCell ref="K406:O406"/>
    <mergeCell ref="M396:N396"/>
    <mergeCell ref="J387:K387"/>
    <mergeCell ref="J388:K388"/>
    <mergeCell ref="J389:K389"/>
    <mergeCell ref="J390:K390"/>
    <mergeCell ref="N452:O452"/>
    <mergeCell ref="J408:K408"/>
    <mergeCell ref="J411:K411"/>
    <mergeCell ref="K431:O431"/>
    <mergeCell ref="J433:K433"/>
    <mergeCell ref="J439:K439"/>
    <mergeCell ref="J440:K440"/>
    <mergeCell ref="N401:O401"/>
    <mergeCell ref="N402:O402"/>
    <mergeCell ref="K404:O404"/>
    <mergeCell ref="K405:O405"/>
    <mergeCell ref="J438:K438"/>
    <mergeCell ref="M421:N421"/>
    <mergeCell ref="N425:O425"/>
    <mergeCell ref="N426:O426"/>
    <mergeCell ref="N451:O451"/>
    <mergeCell ref="J359:K359"/>
    <mergeCell ref="J361:K361"/>
    <mergeCell ref="J368:K368"/>
    <mergeCell ref="M369:N369"/>
    <mergeCell ref="J410:K410"/>
    <mergeCell ref="J393:K393"/>
    <mergeCell ref="M394:N394"/>
    <mergeCell ref="N427:O427"/>
    <mergeCell ref="J391:K391"/>
    <mergeCell ref="M444:N444"/>
    <mergeCell ref="M446:N446"/>
    <mergeCell ref="N450:O450"/>
    <mergeCell ref="J415:K415"/>
    <mergeCell ref="J416:K416"/>
    <mergeCell ref="N353:O353"/>
    <mergeCell ref="K355:O355"/>
    <mergeCell ref="K356:O356"/>
    <mergeCell ref="K357:O357"/>
    <mergeCell ref="J443:K443"/>
    <mergeCell ref="J413:K413"/>
    <mergeCell ref="J414:K414"/>
    <mergeCell ref="N400:O400"/>
    <mergeCell ref="J392:K392"/>
    <mergeCell ref="J436:K436"/>
    <mergeCell ref="N376:O376"/>
    <mergeCell ref="N377:O377"/>
    <mergeCell ref="K379:O379"/>
    <mergeCell ref="K380:O380"/>
    <mergeCell ref="J437:K437"/>
    <mergeCell ref="K381:O381"/>
    <mergeCell ref="J383:K383"/>
    <mergeCell ref="J385:K385"/>
    <mergeCell ref="N351:O351"/>
    <mergeCell ref="J284:K284"/>
    <mergeCell ref="J286:K286"/>
    <mergeCell ref="K306:O306"/>
    <mergeCell ref="K307:O307"/>
    <mergeCell ref="J287:K287"/>
    <mergeCell ref="J288:K288"/>
    <mergeCell ref="J289:K289"/>
    <mergeCell ref="J318:K318"/>
    <mergeCell ref="J319:K319"/>
    <mergeCell ref="J367:K367"/>
    <mergeCell ref="M371:N371"/>
    <mergeCell ref="N375:O375"/>
    <mergeCell ref="J339:K339"/>
    <mergeCell ref="J340:K340"/>
    <mergeCell ref="K331:O331"/>
    <mergeCell ref="K332:O332"/>
    <mergeCell ref="J334:K334"/>
    <mergeCell ref="J336:K336"/>
    <mergeCell ref="N352:O352"/>
    <mergeCell ref="J362:K362"/>
    <mergeCell ref="J363:K363"/>
    <mergeCell ref="J364:K364"/>
    <mergeCell ref="J365:K365"/>
    <mergeCell ref="J366:K366"/>
    <mergeCell ref="N328:O328"/>
    <mergeCell ref="K330:O330"/>
    <mergeCell ref="M345:N345"/>
    <mergeCell ref="M347:N347"/>
    <mergeCell ref="J341:K341"/>
    <mergeCell ref="J342:K342"/>
    <mergeCell ref="J343:K343"/>
    <mergeCell ref="J344:K344"/>
    <mergeCell ref="J337:K337"/>
    <mergeCell ref="J338:K338"/>
    <mergeCell ref="J317:K317"/>
    <mergeCell ref="J309:K309"/>
    <mergeCell ref="J311:K311"/>
    <mergeCell ref="J312:K312"/>
    <mergeCell ref="J313:K313"/>
    <mergeCell ref="J314:K314"/>
    <mergeCell ref="J315:K315"/>
    <mergeCell ref="J293:K293"/>
    <mergeCell ref="N302:O302"/>
    <mergeCell ref="N303:O303"/>
    <mergeCell ref="M270:N270"/>
    <mergeCell ref="M272:N272"/>
    <mergeCell ref="J316:K316"/>
    <mergeCell ref="N278:O278"/>
    <mergeCell ref="K280:O280"/>
    <mergeCell ref="K305:O305"/>
    <mergeCell ref="N326:O326"/>
    <mergeCell ref="N327:O327"/>
    <mergeCell ref="M320:N320"/>
    <mergeCell ref="M322:N322"/>
    <mergeCell ref="J290:K290"/>
    <mergeCell ref="J291:K291"/>
    <mergeCell ref="J292:K292"/>
    <mergeCell ref="J294:K294"/>
    <mergeCell ref="M295:N295"/>
    <mergeCell ref="M297:N297"/>
    <mergeCell ref="N301:O301"/>
    <mergeCell ref="J268:K268"/>
    <mergeCell ref="J269:K269"/>
    <mergeCell ref="K281:O281"/>
    <mergeCell ref="K282:O282"/>
    <mergeCell ref="N276:O276"/>
    <mergeCell ref="N277:O277"/>
    <mergeCell ref="M248:N248"/>
    <mergeCell ref="N252:O252"/>
    <mergeCell ref="J262:K262"/>
    <mergeCell ref="J263:K263"/>
    <mergeCell ref="J260:K260"/>
    <mergeCell ref="N253:O253"/>
    <mergeCell ref="N254:O254"/>
    <mergeCell ref="K256:O256"/>
    <mergeCell ref="K257:O257"/>
    <mergeCell ref="K258:O258"/>
    <mergeCell ref="M246:N246"/>
    <mergeCell ref="N234:O234"/>
    <mergeCell ref="K236:O236"/>
    <mergeCell ref="J240:K240"/>
    <mergeCell ref="J242:K242"/>
    <mergeCell ref="M226:N226"/>
    <mergeCell ref="M228:N228"/>
    <mergeCell ref="N232:O232"/>
    <mergeCell ref="N233:O233"/>
    <mergeCell ref="J264:K264"/>
    <mergeCell ref="J265:K265"/>
    <mergeCell ref="J266:K266"/>
    <mergeCell ref="J267:K267"/>
    <mergeCell ref="J243:K243"/>
    <mergeCell ref="J244:K244"/>
    <mergeCell ref="J245:K245"/>
    <mergeCell ref="J221:K221"/>
    <mergeCell ref="J219:K219"/>
    <mergeCell ref="M205:N205"/>
    <mergeCell ref="M207:N207"/>
    <mergeCell ref="N211:O211"/>
    <mergeCell ref="J203:K203"/>
    <mergeCell ref="J204:K204"/>
    <mergeCell ref="K216:O216"/>
    <mergeCell ref="K217:O217"/>
    <mergeCell ref="K149:O149"/>
    <mergeCell ref="J224:K224"/>
    <mergeCell ref="J225:K225"/>
    <mergeCell ref="K237:O237"/>
    <mergeCell ref="K238:O238"/>
    <mergeCell ref="J222:K222"/>
    <mergeCell ref="J223:K223"/>
    <mergeCell ref="N212:O212"/>
    <mergeCell ref="N213:O213"/>
    <mergeCell ref="K215:O215"/>
    <mergeCell ref="J202:K202"/>
    <mergeCell ref="M184:N184"/>
    <mergeCell ref="N188:O188"/>
    <mergeCell ref="N189:O189"/>
    <mergeCell ref="N190:O190"/>
    <mergeCell ref="K192:O192"/>
    <mergeCell ref="J201:K201"/>
    <mergeCell ref="J198:K198"/>
    <mergeCell ref="J199:K199"/>
    <mergeCell ref="J178:K178"/>
    <mergeCell ref="J179:K179"/>
    <mergeCell ref="J180:K180"/>
    <mergeCell ref="J200:K200"/>
    <mergeCell ref="J181:K181"/>
    <mergeCell ref="K193:O193"/>
    <mergeCell ref="K194:O194"/>
    <mergeCell ref="J196:K196"/>
    <mergeCell ref="M182:N182"/>
    <mergeCell ref="J176:K176"/>
    <mergeCell ref="K169:O169"/>
    <mergeCell ref="J132:K132"/>
    <mergeCell ref="J133:K133"/>
    <mergeCell ref="N167:O167"/>
    <mergeCell ref="J134:K134"/>
    <mergeCell ref="J135:K135"/>
    <mergeCell ref="J136:K136"/>
    <mergeCell ref="J151:K151"/>
    <mergeCell ref="J156:K156"/>
    <mergeCell ref="J177:K177"/>
    <mergeCell ref="J173:K173"/>
    <mergeCell ref="J157:K157"/>
    <mergeCell ref="J158:K158"/>
    <mergeCell ref="K170:O170"/>
    <mergeCell ref="M159:N159"/>
    <mergeCell ref="M161:N161"/>
    <mergeCell ref="N165:O165"/>
    <mergeCell ref="N166:O166"/>
    <mergeCell ref="J175:K175"/>
    <mergeCell ref="K171:O171"/>
    <mergeCell ref="M137:N137"/>
    <mergeCell ref="M139:N139"/>
    <mergeCell ref="N143:O143"/>
    <mergeCell ref="N144:O144"/>
    <mergeCell ref="K148:O148"/>
    <mergeCell ref="J155:K155"/>
    <mergeCell ref="J90:K90"/>
    <mergeCell ref="J92:K92"/>
    <mergeCell ref="J93:K93"/>
    <mergeCell ref="N145:O145"/>
    <mergeCell ref="K147:O147"/>
    <mergeCell ref="J111:K111"/>
    <mergeCell ref="J112:K112"/>
    <mergeCell ref="J113:K113"/>
    <mergeCell ref="J114:K114"/>
    <mergeCell ref="N100:O100"/>
    <mergeCell ref="N101:O101"/>
    <mergeCell ref="N102:O102"/>
    <mergeCell ref="K104:O104"/>
    <mergeCell ref="J108:K108"/>
    <mergeCell ref="J110:K110"/>
    <mergeCell ref="N122:O122"/>
    <mergeCell ref="K126:O126"/>
    <mergeCell ref="K127:O127"/>
    <mergeCell ref="J129:K129"/>
    <mergeCell ref="N123:O123"/>
    <mergeCell ref="K125:O125"/>
    <mergeCell ref="K2:O2"/>
    <mergeCell ref="K3:O3"/>
    <mergeCell ref="K4:O4"/>
    <mergeCell ref="J6:K6"/>
    <mergeCell ref="M117:N117"/>
    <mergeCell ref="N121:O121"/>
    <mergeCell ref="M94:N94"/>
    <mergeCell ref="M96:N96"/>
    <mergeCell ref="N83:O83"/>
    <mergeCell ref="M115:N115"/>
    <mergeCell ref="J45:K45"/>
    <mergeCell ref="K40:O40"/>
    <mergeCell ref="J42:K42"/>
    <mergeCell ref="M30:N30"/>
    <mergeCell ref="N34:O34"/>
    <mergeCell ref="N35:O35"/>
    <mergeCell ref="N36:O36"/>
    <mergeCell ref="K39:O39"/>
    <mergeCell ref="J8:K8"/>
    <mergeCell ref="N18:O18"/>
    <mergeCell ref="J26:K26"/>
    <mergeCell ref="N16:O16"/>
    <mergeCell ref="N17:O17"/>
    <mergeCell ref="J44:K44"/>
    <mergeCell ref="N57:O57"/>
    <mergeCell ref="K63:O63"/>
    <mergeCell ref="J65:K65"/>
    <mergeCell ref="J67:K67"/>
    <mergeCell ref="J71:K71"/>
    <mergeCell ref="J72:K72"/>
    <mergeCell ref="K38:O38"/>
    <mergeCell ref="K88:O88"/>
    <mergeCell ref="E53:F53"/>
    <mergeCell ref="B155:C155"/>
    <mergeCell ref="J46:K46"/>
    <mergeCell ref="J47:K47"/>
    <mergeCell ref="J48:K48"/>
    <mergeCell ref="J68:K68"/>
    <mergeCell ref="N82:O82"/>
    <mergeCell ref="J73:K73"/>
    <mergeCell ref="J74:K74"/>
    <mergeCell ref="J75:K75"/>
    <mergeCell ref="M76:N76"/>
    <mergeCell ref="C170:G170"/>
    <mergeCell ref="B157:C157"/>
    <mergeCell ref="K105:O105"/>
    <mergeCell ref="K106:O106"/>
    <mergeCell ref="N84:O84"/>
    <mergeCell ref="N58:O58"/>
    <mergeCell ref="N59:O59"/>
    <mergeCell ref="J50:K50"/>
    <mergeCell ref="M51:N51"/>
    <mergeCell ref="M53:N53"/>
    <mergeCell ref="B156:C156"/>
    <mergeCell ref="B49:C49"/>
    <mergeCell ref="F59:G59"/>
    <mergeCell ref="B47:C47"/>
    <mergeCell ref="E51:F51"/>
    <mergeCell ref="F57:G57"/>
    <mergeCell ref="F58:G58"/>
    <mergeCell ref="B112:C112"/>
    <mergeCell ref="J131:K131"/>
    <mergeCell ref="J153:K153"/>
    <mergeCell ref="J154:K154"/>
    <mergeCell ref="C194:G194"/>
    <mergeCell ref="F188:G188"/>
    <mergeCell ref="K61:O61"/>
    <mergeCell ref="K62:O62"/>
    <mergeCell ref="M78:N78"/>
    <mergeCell ref="F1415:G1415"/>
    <mergeCell ref="E1406:F1406"/>
    <mergeCell ref="F1363:G1363"/>
    <mergeCell ref="E1354:F1354"/>
    <mergeCell ref="F1360:G1360"/>
    <mergeCell ref="J49:K49"/>
    <mergeCell ref="J69:K69"/>
    <mergeCell ref="J70:K70"/>
    <mergeCell ref="K86:O86"/>
    <mergeCell ref="K87:O87"/>
    <mergeCell ref="J9:K9"/>
    <mergeCell ref="M10:N10"/>
    <mergeCell ref="M12:N12"/>
    <mergeCell ref="J24:K24"/>
    <mergeCell ref="K22:O22"/>
    <mergeCell ref="K20:O20"/>
    <mergeCell ref="K21:O21"/>
    <mergeCell ref="J27:K27"/>
    <mergeCell ref="M28:N28"/>
    <mergeCell ref="C215:G215"/>
    <mergeCell ref="E205:F205"/>
    <mergeCell ref="F166:G166"/>
    <mergeCell ref="B178:C178"/>
    <mergeCell ref="B204:C204"/>
    <mergeCell ref="B202:C202"/>
    <mergeCell ref="B200:C200"/>
    <mergeCell ref="C193:G193"/>
    <mergeCell ref="B177:C177"/>
    <mergeCell ref="F167:G167"/>
    <mergeCell ref="B175:C175"/>
    <mergeCell ref="B158:C158"/>
    <mergeCell ref="E184:F184"/>
    <mergeCell ref="C171:G171"/>
    <mergeCell ref="E161:F161"/>
    <mergeCell ref="C258:G258"/>
    <mergeCell ref="B284:C284"/>
    <mergeCell ref="B264:C264"/>
    <mergeCell ref="F276:G276"/>
    <mergeCell ref="F277:G277"/>
    <mergeCell ref="E272:F272"/>
    <mergeCell ref="C280:G280"/>
    <mergeCell ref="B263:C263"/>
    <mergeCell ref="B266:C266"/>
    <mergeCell ref="B287:C287"/>
    <mergeCell ref="B223:C223"/>
    <mergeCell ref="B219:C219"/>
    <mergeCell ref="B225:C225"/>
    <mergeCell ref="B222:C222"/>
    <mergeCell ref="B224:C224"/>
    <mergeCell ref="F190:G190"/>
    <mergeCell ref="B201:C201"/>
    <mergeCell ref="B196:C196"/>
    <mergeCell ref="B221:C221"/>
    <mergeCell ref="C217:G217"/>
    <mergeCell ref="F211:G211"/>
    <mergeCell ref="F213:G213"/>
    <mergeCell ref="C216:G216"/>
    <mergeCell ref="B203:C203"/>
    <mergeCell ref="F212:G212"/>
    <mergeCell ref="B289:C289"/>
    <mergeCell ref="B855:C855"/>
    <mergeCell ref="F301:G301"/>
    <mergeCell ref="C1418:G1418"/>
    <mergeCell ref="B1404:C1404"/>
    <mergeCell ref="B286:C286"/>
    <mergeCell ref="B1483:C1483"/>
    <mergeCell ref="B1482:C1482"/>
    <mergeCell ref="F1490:G1490"/>
    <mergeCell ref="B1481:C1481"/>
    <mergeCell ref="B1480:C1480"/>
    <mergeCell ref="B1151:C1151"/>
    <mergeCell ref="E943:F943"/>
    <mergeCell ref="B966:C966"/>
    <mergeCell ref="B964:C964"/>
    <mergeCell ref="F252:G252"/>
    <mergeCell ref="F232:G232"/>
    <mergeCell ref="B245:C245"/>
    <mergeCell ref="B244:C244"/>
    <mergeCell ref="B1124:C1124"/>
    <mergeCell ref="B992:C992"/>
    <mergeCell ref="B993:C993"/>
    <mergeCell ref="B940:C940"/>
    <mergeCell ref="B942:C942"/>
    <mergeCell ref="B936:C936"/>
    <mergeCell ref="B932:C932"/>
    <mergeCell ref="B243:C243"/>
    <mergeCell ref="F253:G253"/>
    <mergeCell ref="C1416:G1416"/>
    <mergeCell ref="E1154:F1154"/>
    <mergeCell ref="C1259:G1259"/>
    <mergeCell ref="B1264:C1264"/>
    <mergeCell ref="B1502:C1502"/>
    <mergeCell ref="B1499:C1499"/>
    <mergeCell ref="C1497:G1497"/>
    <mergeCell ref="F1491:G1491"/>
    <mergeCell ref="C1016:G1016"/>
    <mergeCell ref="C1017:G1017"/>
    <mergeCell ref="B1421:C1421"/>
    <mergeCell ref="B1423:C1423"/>
    <mergeCell ref="F1412:G1412"/>
    <mergeCell ref="B1428:C1428"/>
    <mergeCell ref="B1427:C1427"/>
    <mergeCell ref="B1399:C1399"/>
    <mergeCell ref="B1400:C1400"/>
    <mergeCell ref="B1580:C1580"/>
    <mergeCell ref="E1538:F1538"/>
    <mergeCell ref="B1525:C1525"/>
    <mergeCell ref="E1486:F1486"/>
    <mergeCell ref="C1496:G1496"/>
    <mergeCell ref="B1504:C1504"/>
    <mergeCell ref="B1554:C1554"/>
    <mergeCell ref="C1548:G1548"/>
    <mergeCell ref="F1542:G1542"/>
    <mergeCell ref="E1512:F1512"/>
    <mergeCell ref="F1543:G1543"/>
    <mergeCell ref="C1393:G1393"/>
    <mergeCell ref="C1417:G1417"/>
    <mergeCell ref="F1386:G1386"/>
    <mergeCell ref="F1361:G1361"/>
    <mergeCell ref="C1364:G1364"/>
    <mergeCell ref="C1367:G1367"/>
    <mergeCell ref="F1389:G1389"/>
    <mergeCell ref="C1366:G1366"/>
    <mergeCell ref="E1458:F1458"/>
    <mergeCell ref="B1451:C1451"/>
    <mergeCell ref="B1447:C1447"/>
    <mergeCell ref="F1464:G1464"/>
    <mergeCell ref="C1288:G1288"/>
    <mergeCell ref="C1287:G1287"/>
    <mergeCell ref="C1315:G1315"/>
    <mergeCell ref="C1312:G1312"/>
    <mergeCell ref="C1289:G1289"/>
    <mergeCell ref="B1291:C1291"/>
    <mergeCell ref="C1365:G1365"/>
    <mergeCell ref="B1373:C1373"/>
    <mergeCell ref="B1372:C1372"/>
    <mergeCell ref="B1371:C1371"/>
    <mergeCell ref="B1456:C1456"/>
    <mergeCell ref="C1469:G1469"/>
    <mergeCell ref="C1445:G1445"/>
    <mergeCell ref="B1455:C1455"/>
    <mergeCell ref="B1450:C1450"/>
    <mergeCell ref="B1449:C1449"/>
    <mergeCell ref="B1378:C1378"/>
    <mergeCell ref="B1401:C1401"/>
    <mergeCell ref="C1419:G1419"/>
    <mergeCell ref="E1408:F1408"/>
    <mergeCell ref="F1413:G1413"/>
    <mergeCell ref="B1402:C1402"/>
    <mergeCell ref="B1405:C1405"/>
    <mergeCell ref="B1369:C1369"/>
    <mergeCell ref="B1375:C1375"/>
    <mergeCell ref="B1377:C1377"/>
    <mergeCell ref="B1376:C1376"/>
    <mergeCell ref="B1374:C1374"/>
    <mergeCell ref="B1379:C1379"/>
    <mergeCell ref="C1390:G1390"/>
    <mergeCell ref="B1397:C1397"/>
    <mergeCell ref="C1391:G1391"/>
    <mergeCell ref="B1398:C1398"/>
    <mergeCell ref="C1392:G1392"/>
    <mergeCell ref="B1395:C1395"/>
    <mergeCell ref="E1382:F1382"/>
    <mergeCell ref="E1380:F1380"/>
    <mergeCell ref="F1387:G1387"/>
    <mergeCell ref="B1352:C1352"/>
    <mergeCell ref="E1356:F1356"/>
    <mergeCell ref="B1353:C1353"/>
    <mergeCell ref="B1348:C1348"/>
    <mergeCell ref="E1328:F1328"/>
    <mergeCell ref="C1341:G1341"/>
    <mergeCell ref="B443:C443"/>
    <mergeCell ref="B504:C504"/>
    <mergeCell ref="B1349:C1349"/>
    <mergeCell ref="B1325:C1325"/>
    <mergeCell ref="F1334:G1334"/>
    <mergeCell ref="B1319:C1319"/>
    <mergeCell ref="B1317:C1317"/>
    <mergeCell ref="F1283:G1283"/>
    <mergeCell ref="C1314:G1314"/>
    <mergeCell ref="C1313:G1313"/>
    <mergeCell ref="F1309:G1309"/>
    <mergeCell ref="F1311:G1311"/>
    <mergeCell ref="B1301:C1301"/>
    <mergeCell ref="E1304:F1304"/>
    <mergeCell ref="F1282:G1282"/>
    <mergeCell ref="B1299:C1299"/>
    <mergeCell ref="E421:F421"/>
    <mergeCell ref="E394:F394"/>
    <mergeCell ref="F377:G377"/>
    <mergeCell ref="F400:G400"/>
    <mergeCell ref="F401:G401"/>
    <mergeCell ref="E1276:F1276"/>
    <mergeCell ref="C1258:G1258"/>
    <mergeCell ref="B1275:C1275"/>
    <mergeCell ref="B1240:C1240"/>
    <mergeCell ref="E1247:F1247"/>
    <mergeCell ref="E586:F586"/>
    <mergeCell ref="B1152:C1152"/>
    <mergeCell ref="B1153:C1153"/>
    <mergeCell ref="F1011:G1011"/>
    <mergeCell ref="B933:C933"/>
    <mergeCell ref="E396:F396"/>
    <mergeCell ref="F425:G425"/>
    <mergeCell ref="E566:F566"/>
    <mergeCell ref="C431:G431"/>
    <mergeCell ref="E419:F419"/>
    <mergeCell ref="C429:G429"/>
    <mergeCell ref="C430:G430"/>
    <mergeCell ref="F427:G427"/>
    <mergeCell ref="B1232:C1232"/>
    <mergeCell ref="B1235:C1235"/>
    <mergeCell ref="F426:G426"/>
    <mergeCell ref="B1239:C1239"/>
    <mergeCell ref="B1123:C1123"/>
    <mergeCell ref="C1107:G1107"/>
    <mergeCell ref="B1064:C1064"/>
    <mergeCell ref="C1049:G1049"/>
    <mergeCell ref="C1050:G1050"/>
    <mergeCell ref="E1302:F1302"/>
    <mergeCell ref="B1297:C1297"/>
    <mergeCell ref="B1296:C1296"/>
    <mergeCell ref="C1286:G1286"/>
    <mergeCell ref="F1285:G1285"/>
    <mergeCell ref="B1298:C1298"/>
    <mergeCell ref="B1294:C1294"/>
    <mergeCell ref="B1295:C1295"/>
    <mergeCell ref="B1327:C1327"/>
    <mergeCell ref="B1323:C1323"/>
    <mergeCell ref="C1339:G1339"/>
    <mergeCell ref="F1308:G1308"/>
    <mergeCell ref="B1320:C1320"/>
    <mergeCell ref="B1322:C1322"/>
    <mergeCell ref="B1321:C1321"/>
    <mergeCell ref="B1347:C1347"/>
    <mergeCell ref="C1340:G1340"/>
    <mergeCell ref="F1335:G1335"/>
    <mergeCell ref="F1337:G1337"/>
    <mergeCell ref="B1346:C1346"/>
    <mergeCell ref="C1338:G1338"/>
    <mergeCell ref="B1343:C1343"/>
    <mergeCell ref="B1351:C1351"/>
    <mergeCell ref="B602:C602"/>
    <mergeCell ref="C617:G617"/>
    <mergeCell ref="C618:G618"/>
    <mergeCell ref="B1326:C1326"/>
    <mergeCell ref="B1324:C1324"/>
    <mergeCell ref="E1330:F1330"/>
    <mergeCell ref="B1300:C1300"/>
    <mergeCell ref="F1162:G1162"/>
    <mergeCell ref="B1345:C1345"/>
    <mergeCell ref="B1273:C1273"/>
    <mergeCell ref="B1265:C1265"/>
    <mergeCell ref="C1165:G1165"/>
    <mergeCell ref="B1234:C1234"/>
    <mergeCell ref="F1253:G1253"/>
    <mergeCell ref="C1256:G1256"/>
    <mergeCell ref="B1179:C1179"/>
    <mergeCell ref="B1174:C1174"/>
    <mergeCell ref="B1201:C1201"/>
    <mergeCell ref="B1182:C1182"/>
    <mergeCell ref="B1199:C1199"/>
    <mergeCell ref="C1195:G1195"/>
    <mergeCell ref="C1194:G1194"/>
    <mergeCell ref="B1274:C1274"/>
    <mergeCell ref="F1043:G1043"/>
    <mergeCell ref="B1268:C1268"/>
    <mergeCell ref="B1266:C1266"/>
    <mergeCell ref="B1269:C1269"/>
    <mergeCell ref="B1272:C1272"/>
    <mergeCell ref="B1267:C1267"/>
    <mergeCell ref="B1270:C1270"/>
    <mergeCell ref="B1271:C1271"/>
    <mergeCell ref="B312:C312"/>
    <mergeCell ref="B309:C309"/>
    <mergeCell ref="C305:G305"/>
    <mergeCell ref="C307:G307"/>
    <mergeCell ref="F302:G302"/>
    <mergeCell ref="B1263:C1263"/>
    <mergeCell ref="C332:G332"/>
    <mergeCell ref="B314:C314"/>
    <mergeCell ref="C330:G330"/>
    <mergeCell ref="E322:F322"/>
    <mergeCell ref="F326:G326"/>
    <mergeCell ref="F327:G327"/>
    <mergeCell ref="F328:G328"/>
    <mergeCell ref="B315:C315"/>
    <mergeCell ref="B317:C317"/>
    <mergeCell ref="C1164:G1164"/>
    <mergeCell ref="E1245:F1245"/>
    <mergeCell ref="B1241:C1241"/>
    <mergeCell ref="B1244:C1244"/>
    <mergeCell ref="B1243:C1243"/>
    <mergeCell ref="F1252:G1252"/>
    <mergeCell ref="F1251:G1251"/>
    <mergeCell ref="C1257:G1257"/>
    <mergeCell ref="C1193:G1193"/>
    <mergeCell ref="E1183:F1183"/>
    <mergeCell ref="E1185:F1185"/>
    <mergeCell ref="C1166:G1166"/>
    <mergeCell ref="B1170:C1170"/>
    <mergeCell ref="B436:C436"/>
    <mergeCell ref="F402:G402"/>
    <mergeCell ref="B412:C412"/>
    <mergeCell ref="B1204:C1204"/>
    <mergeCell ref="E1278:F1278"/>
    <mergeCell ref="B1150:C1150"/>
    <mergeCell ref="C281:G281"/>
    <mergeCell ref="B293:C293"/>
    <mergeCell ref="C282:G282"/>
    <mergeCell ref="B290:C290"/>
    <mergeCell ref="B288:C288"/>
    <mergeCell ref="B292:C292"/>
    <mergeCell ref="F1074:G1074"/>
    <mergeCell ref="B1083:C1083"/>
    <mergeCell ref="E1098:F1098"/>
    <mergeCell ref="E1125:F1125"/>
    <mergeCell ref="F1104:G1104"/>
    <mergeCell ref="C1109:G1109"/>
    <mergeCell ref="C1110:G1110"/>
    <mergeCell ref="B1120:C1120"/>
    <mergeCell ref="B1117:C1117"/>
    <mergeCell ref="B1114:C1114"/>
    <mergeCell ref="F1161:G1161"/>
    <mergeCell ref="E1156:F1156"/>
    <mergeCell ref="F1160:G1160"/>
    <mergeCell ref="B1172:C1172"/>
    <mergeCell ref="F1163:G1163"/>
    <mergeCell ref="F1042:G1042"/>
    <mergeCell ref="B1058:C1058"/>
    <mergeCell ref="B1059:C1059"/>
    <mergeCell ref="B1085:C1085"/>
    <mergeCell ref="C1047:G1047"/>
    <mergeCell ref="C1136:G1136"/>
    <mergeCell ref="B1055:C1055"/>
    <mergeCell ref="C1046:G1046"/>
    <mergeCell ref="B1061:C1061"/>
    <mergeCell ref="B1052:C1052"/>
    <mergeCell ref="B1054:C1054"/>
    <mergeCell ref="B1087:C1087"/>
    <mergeCell ref="C1139:G1139"/>
    <mergeCell ref="F1132:G1132"/>
    <mergeCell ref="C1078:G1078"/>
    <mergeCell ref="B1149:C1149"/>
    <mergeCell ref="F1131:G1131"/>
    <mergeCell ref="C1080:G1080"/>
    <mergeCell ref="B1115:C1115"/>
    <mergeCell ref="B1086:C1086"/>
    <mergeCell ref="B1118:C1118"/>
    <mergeCell ref="B1119:C1119"/>
    <mergeCell ref="B1146:C1146"/>
    <mergeCell ref="C1081:G1081"/>
    <mergeCell ref="C1079:G1079"/>
    <mergeCell ref="B1088:C1088"/>
    <mergeCell ref="B1089:C1089"/>
    <mergeCell ref="B1112:C1112"/>
    <mergeCell ref="E1127:F1127"/>
    <mergeCell ref="C1108:G1108"/>
    <mergeCell ref="B1094:C1094"/>
    <mergeCell ref="B1095:C1095"/>
    <mergeCell ref="E1036:F1036"/>
    <mergeCell ref="B1030:C1030"/>
    <mergeCell ref="B1025:C1025"/>
    <mergeCell ref="C1077:G1077"/>
    <mergeCell ref="F1073:G1073"/>
    <mergeCell ref="B1065:C1065"/>
    <mergeCell ref="E1069:F1069"/>
    <mergeCell ref="F1044:G1044"/>
    <mergeCell ref="B1066:C1066"/>
    <mergeCell ref="F1075:G1075"/>
    <mergeCell ref="C1048:G1048"/>
    <mergeCell ref="E1067:F1067"/>
    <mergeCell ref="B1056:C1056"/>
    <mergeCell ref="B1057:C1057"/>
    <mergeCell ref="B1062:C1062"/>
    <mergeCell ref="B1063:C1063"/>
    <mergeCell ref="E1005:F1005"/>
    <mergeCell ref="E1038:F1038"/>
    <mergeCell ref="B1028:C1028"/>
    <mergeCell ref="B1035:C1035"/>
    <mergeCell ref="B1031:C1031"/>
    <mergeCell ref="B1032:C1032"/>
    <mergeCell ref="B1034:C1034"/>
    <mergeCell ref="B1033:C1033"/>
    <mergeCell ref="B1023:C1023"/>
    <mergeCell ref="B1024:C1024"/>
    <mergeCell ref="F1012:G1012"/>
    <mergeCell ref="F1013:G1013"/>
    <mergeCell ref="B1029:C1029"/>
    <mergeCell ref="C1018:G1018"/>
    <mergeCell ref="B1026:C1026"/>
    <mergeCell ref="B1027:C1027"/>
    <mergeCell ref="B1021:C1021"/>
    <mergeCell ref="B843:C843"/>
    <mergeCell ref="B848:C848"/>
    <mergeCell ref="B872:C872"/>
    <mergeCell ref="B852:C852"/>
    <mergeCell ref="B853:C853"/>
    <mergeCell ref="C869:G869"/>
    <mergeCell ref="F863:G863"/>
    <mergeCell ref="F864:G864"/>
    <mergeCell ref="C868:G868"/>
    <mergeCell ref="C870:G870"/>
    <mergeCell ref="B963:C963"/>
    <mergeCell ref="B875:C875"/>
    <mergeCell ref="B883:C883"/>
    <mergeCell ref="E945:F945"/>
    <mergeCell ref="F921:G921"/>
    <mergeCell ref="C925:G925"/>
    <mergeCell ref="B930:C930"/>
    <mergeCell ref="B884:C884"/>
    <mergeCell ref="B881:C881"/>
    <mergeCell ref="B882:C882"/>
    <mergeCell ref="B878:C878"/>
    <mergeCell ref="B877:C877"/>
    <mergeCell ref="B879:C879"/>
    <mergeCell ref="E858:F858"/>
    <mergeCell ref="B847:C847"/>
    <mergeCell ref="C866:G866"/>
    <mergeCell ref="B874:C874"/>
    <mergeCell ref="B968:C968"/>
    <mergeCell ref="B969:C969"/>
    <mergeCell ref="B972:C972"/>
    <mergeCell ref="B970:C970"/>
    <mergeCell ref="B876:C876"/>
    <mergeCell ref="F922:G922"/>
    <mergeCell ref="B906:C906"/>
    <mergeCell ref="C899:G899"/>
    <mergeCell ref="C897:G897"/>
    <mergeCell ref="B911:C911"/>
    <mergeCell ref="C1019:G1019"/>
    <mergeCell ref="B994:C994"/>
    <mergeCell ref="B999:C999"/>
    <mergeCell ref="C1015:G1015"/>
    <mergeCell ref="B1002:C1002"/>
    <mergeCell ref="B1003:C1003"/>
    <mergeCell ref="B1004:C1004"/>
    <mergeCell ref="B997:C997"/>
    <mergeCell ref="B1000:C1000"/>
    <mergeCell ref="E1007:F1007"/>
    <mergeCell ref="B971:C971"/>
    <mergeCell ref="E974:F974"/>
    <mergeCell ref="B995:C995"/>
    <mergeCell ref="C986:G986"/>
    <mergeCell ref="C987:G987"/>
    <mergeCell ref="B973:C973"/>
    <mergeCell ref="B965:C965"/>
    <mergeCell ref="C928:G928"/>
    <mergeCell ref="F920:G920"/>
    <mergeCell ref="B1001:C1001"/>
    <mergeCell ref="B998:C998"/>
    <mergeCell ref="B962:C962"/>
    <mergeCell ref="B941:C941"/>
    <mergeCell ref="C954:G954"/>
    <mergeCell ref="B996:C996"/>
    <mergeCell ref="B909:C909"/>
    <mergeCell ref="B913:C913"/>
    <mergeCell ref="B904:C904"/>
    <mergeCell ref="B901:C901"/>
    <mergeCell ref="F892:G892"/>
    <mergeCell ref="B903:C903"/>
    <mergeCell ref="C898:G898"/>
    <mergeCell ref="C895:G895"/>
    <mergeCell ref="B912:C912"/>
    <mergeCell ref="B908:C908"/>
    <mergeCell ref="B937:C937"/>
    <mergeCell ref="B938:C938"/>
    <mergeCell ref="C957:G957"/>
    <mergeCell ref="F893:G893"/>
    <mergeCell ref="E976:F976"/>
    <mergeCell ref="F949:G949"/>
    <mergeCell ref="F951:G951"/>
    <mergeCell ref="B939:C939"/>
    <mergeCell ref="B961:C961"/>
    <mergeCell ref="C817:G817"/>
    <mergeCell ref="C896:G896"/>
    <mergeCell ref="F950:G950"/>
    <mergeCell ref="C924:G924"/>
    <mergeCell ref="B935:C935"/>
    <mergeCell ref="E916:F916"/>
    <mergeCell ref="B905:C905"/>
    <mergeCell ref="B910:C910"/>
    <mergeCell ref="E885:F885"/>
    <mergeCell ref="E914:F914"/>
    <mergeCell ref="F811:G811"/>
    <mergeCell ref="F812:G812"/>
    <mergeCell ref="C816:G816"/>
    <mergeCell ref="B826:C826"/>
    <mergeCell ref="F813:G813"/>
    <mergeCell ref="B819:C819"/>
    <mergeCell ref="B821:C821"/>
    <mergeCell ref="B825:C825"/>
    <mergeCell ref="B822:C822"/>
    <mergeCell ref="C815:G815"/>
    <mergeCell ref="B851:C851"/>
    <mergeCell ref="B850:C850"/>
    <mergeCell ref="B823:C823"/>
    <mergeCell ref="C838:G838"/>
    <mergeCell ref="B845:C845"/>
    <mergeCell ref="B849:C849"/>
    <mergeCell ref="F834:G834"/>
    <mergeCell ref="C839:G839"/>
    <mergeCell ref="C841:G841"/>
    <mergeCell ref="B824:C824"/>
    <mergeCell ref="C926:G926"/>
    <mergeCell ref="C927:G927"/>
    <mergeCell ref="F351:G351"/>
    <mergeCell ref="F352:G352"/>
    <mergeCell ref="C357:G357"/>
    <mergeCell ref="B359:C359"/>
    <mergeCell ref="F353:G353"/>
    <mergeCell ref="C355:G355"/>
    <mergeCell ref="C356:G356"/>
    <mergeCell ref="B368:C368"/>
    <mergeCell ref="B388:C388"/>
    <mergeCell ref="B389:C389"/>
    <mergeCell ref="B362:C362"/>
    <mergeCell ref="B393:C393"/>
    <mergeCell ref="C381:G381"/>
    <mergeCell ref="F534:G534"/>
    <mergeCell ref="F536:G536"/>
    <mergeCell ref="B545:C545"/>
    <mergeCell ref="B544:C544"/>
    <mergeCell ref="F535:G535"/>
    <mergeCell ref="F450:G450"/>
    <mergeCell ref="B390:C390"/>
    <mergeCell ref="B366:C366"/>
    <mergeCell ref="E369:F369"/>
    <mergeCell ref="E371:F371"/>
    <mergeCell ref="F375:G375"/>
    <mergeCell ref="C380:G380"/>
    <mergeCell ref="F376:G376"/>
    <mergeCell ref="B367:C367"/>
    <mergeCell ref="B383:C383"/>
    <mergeCell ref="B387:C387"/>
    <mergeCell ref="B385:C385"/>
    <mergeCell ref="E530:F530"/>
    <mergeCell ref="C521:G521"/>
    <mergeCell ref="B801:C801"/>
    <mergeCell ref="B780:C780"/>
    <mergeCell ref="B782:C782"/>
    <mergeCell ref="B781:C781"/>
    <mergeCell ref="C794:G794"/>
    <mergeCell ref="C454:G454"/>
    <mergeCell ref="E446:F446"/>
    <mergeCell ref="F452:G452"/>
    <mergeCell ref="F451:G451"/>
    <mergeCell ref="B392:C392"/>
    <mergeCell ref="F790:G790"/>
    <mergeCell ref="C795:G795"/>
    <mergeCell ref="B799:C799"/>
    <mergeCell ref="B797:C797"/>
    <mergeCell ref="C793:G793"/>
    <mergeCell ref="F791:G791"/>
    <mergeCell ref="F591:G591"/>
    <mergeCell ref="C574:G574"/>
    <mergeCell ref="C575:G575"/>
    <mergeCell ref="F553:G553"/>
    <mergeCell ref="F552:G552"/>
    <mergeCell ref="E650:F650"/>
    <mergeCell ref="E584:F584"/>
    <mergeCell ref="C773:G773"/>
    <mergeCell ref="E548:F548"/>
    <mergeCell ref="F554:G554"/>
    <mergeCell ref="F590:G590"/>
    <mergeCell ref="F789:G789"/>
    <mergeCell ref="B800:C800"/>
    <mergeCell ref="B601:C601"/>
    <mergeCell ref="B416:C416"/>
    <mergeCell ref="F517:G517"/>
    <mergeCell ref="B339:C339"/>
    <mergeCell ref="B364:C364"/>
    <mergeCell ref="B365:C365"/>
    <mergeCell ref="B344:C344"/>
    <mergeCell ref="E785:F785"/>
    <mergeCell ref="B363:C363"/>
    <mergeCell ref="B391:C391"/>
    <mergeCell ref="B386:C386"/>
    <mergeCell ref="C379:G379"/>
    <mergeCell ref="F254:G254"/>
    <mergeCell ref="B268:C268"/>
    <mergeCell ref="F278:G278"/>
    <mergeCell ref="B262:C262"/>
    <mergeCell ref="B267:C267"/>
    <mergeCell ref="E270:F270"/>
    <mergeCell ref="B265:C265"/>
    <mergeCell ref="C256:G256"/>
    <mergeCell ref="C257:G257"/>
    <mergeCell ref="B269:C269"/>
    <mergeCell ref="E345:F345"/>
    <mergeCell ref="B342:C342"/>
    <mergeCell ref="B343:C343"/>
    <mergeCell ref="B316:C316"/>
    <mergeCell ref="B319:C319"/>
    <mergeCell ref="B334:C334"/>
    <mergeCell ref="B318:C318"/>
    <mergeCell ref="B340:C340"/>
    <mergeCell ref="B341:C341"/>
    <mergeCell ref="C331:G331"/>
    <mergeCell ref="E347:F347"/>
    <mergeCell ref="B361:C361"/>
    <mergeCell ref="E444:F444"/>
    <mergeCell ref="F233:G233"/>
    <mergeCell ref="E226:F226"/>
    <mergeCell ref="E228:F228"/>
    <mergeCell ref="C236:G236"/>
    <mergeCell ref="B338:C338"/>
    <mergeCell ref="B337:C337"/>
    <mergeCell ref="C306:G306"/>
    <mergeCell ref="B291:C291"/>
    <mergeCell ref="B240:C240"/>
    <mergeCell ref="B336:C336"/>
    <mergeCell ref="F303:G303"/>
    <mergeCell ref="B311:C311"/>
    <mergeCell ref="B313:C313"/>
    <mergeCell ref="F165:G165"/>
    <mergeCell ref="B180:C180"/>
    <mergeCell ref="B179:C179"/>
    <mergeCell ref="E207:F207"/>
    <mergeCell ref="C192:G192"/>
    <mergeCell ref="E248:F248"/>
    <mergeCell ref="B260:C260"/>
    <mergeCell ref="B242:C242"/>
    <mergeCell ref="B181:C181"/>
    <mergeCell ref="B199:C199"/>
    <mergeCell ref="B198:C198"/>
    <mergeCell ref="F234:G234"/>
    <mergeCell ref="C238:G238"/>
    <mergeCell ref="C237:G237"/>
    <mergeCell ref="E246:F246"/>
    <mergeCell ref="E320:F320"/>
    <mergeCell ref="E295:F295"/>
    <mergeCell ref="E297:F297"/>
    <mergeCell ref="B294:C294"/>
    <mergeCell ref="C2:G2"/>
    <mergeCell ref="E30:F30"/>
    <mergeCell ref="F34:G34"/>
    <mergeCell ref="C3:G3"/>
    <mergeCell ref="C4:G4"/>
    <mergeCell ref="E10:F10"/>
    <mergeCell ref="B8:C8"/>
    <mergeCell ref="B6:C6"/>
    <mergeCell ref="E12:F12"/>
    <mergeCell ref="E28:F28"/>
    <mergeCell ref="B9:C9"/>
    <mergeCell ref="F121:G121"/>
    <mergeCell ref="B135:C135"/>
    <mergeCell ref="B131:C131"/>
    <mergeCell ref="C125:G125"/>
    <mergeCell ref="C126:G126"/>
    <mergeCell ref="B129:C129"/>
    <mergeCell ref="F122:G122"/>
    <mergeCell ref="F123:G123"/>
    <mergeCell ref="C127:G127"/>
    <mergeCell ref="F16:G16"/>
    <mergeCell ref="C22:G22"/>
    <mergeCell ref="B26:C26"/>
    <mergeCell ref="F18:G18"/>
    <mergeCell ref="C21:G21"/>
    <mergeCell ref="C20:G20"/>
    <mergeCell ref="F17:G17"/>
    <mergeCell ref="B50:C50"/>
    <mergeCell ref="C62:G62"/>
    <mergeCell ref="B44:C44"/>
    <mergeCell ref="B48:C48"/>
    <mergeCell ref="B45:C45"/>
    <mergeCell ref="F36:G36"/>
    <mergeCell ref="B46:C46"/>
    <mergeCell ref="B24:C24"/>
    <mergeCell ref="F35:G35"/>
    <mergeCell ref="C38:G38"/>
    <mergeCell ref="C39:G39"/>
    <mergeCell ref="C40:G40"/>
    <mergeCell ref="B42:C42"/>
    <mergeCell ref="B27:C27"/>
    <mergeCell ref="C61:G61"/>
    <mergeCell ref="B133:C133"/>
    <mergeCell ref="B136:C136"/>
    <mergeCell ref="F100:G100"/>
    <mergeCell ref="E115:F115"/>
    <mergeCell ref="B108:C108"/>
    <mergeCell ref="C105:G105"/>
    <mergeCell ref="C106:G106"/>
    <mergeCell ref="B114:C114"/>
    <mergeCell ref="B111:C111"/>
    <mergeCell ref="E76:F76"/>
    <mergeCell ref="E96:F96"/>
    <mergeCell ref="B90:C90"/>
    <mergeCell ref="B93:C93"/>
    <mergeCell ref="F82:G82"/>
    <mergeCell ref="F83:G83"/>
    <mergeCell ref="C87:G87"/>
    <mergeCell ref="E94:F94"/>
    <mergeCell ref="C86:G86"/>
    <mergeCell ref="B132:C132"/>
    <mergeCell ref="F102:G102"/>
    <mergeCell ref="C104:G104"/>
    <mergeCell ref="B110:C110"/>
    <mergeCell ref="B113:C113"/>
    <mergeCell ref="F84:G84"/>
    <mergeCell ref="C63:G63"/>
    <mergeCell ref="B65:C65"/>
    <mergeCell ref="B72:C72"/>
    <mergeCell ref="E78:F78"/>
    <mergeCell ref="B69:C69"/>
    <mergeCell ref="B74:C74"/>
    <mergeCell ref="B70:C70"/>
    <mergeCell ref="B73:C73"/>
    <mergeCell ref="B75:C75"/>
    <mergeCell ref="E137:F137"/>
    <mergeCell ref="C147:G147"/>
    <mergeCell ref="B154:C154"/>
    <mergeCell ref="B153:C153"/>
    <mergeCell ref="B151:C151"/>
    <mergeCell ref="C149:G149"/>
    <mergeCell ref="C148:G148"/>
    <mergeCell ref="F101:G101"/>
    <mergeCell ref="C88:G88"/>
    <mergeCell ref="B92:C92"/>
    <mergeCell ref="E159:F159"/>
    <mergeCell ref="B67:C67"/>
    <mergeCell ref="B71:C71"/>
    <mergeCell ref="B68:C68"/>
    <mergeCell ref="E182:F182"/>
    <mergeCell ref="F143:G143"/>
    <mergeCell ref="F145:G145"/>
    <mergeCell ref="E117:F117"/>
    <mergeCell ref="F144:G144"/>
    <mergeCell ref="B134:C134"/>
    <mergeCell ref="B441:C441"/>
    <mergeCell ref="B442:C442"/>
    <mergeCell ref="E139:F139"/>
    <mergeCell ref="B418:C418"/>
    <mergeCell ref="B415:C415"/>
    <mergeCell ref="C404:G404"/>
    <mergeCell ref="C405:G405"/>
    <mergeCell ref="C406:G406"/>
    <mergeCell ref="B408:C408"/>
    <mergeCell ref="B417:C417"/>
    <mergeCell ref="B414:C414"/>
    <mergeCell ref="B437:C437"/>
    <mergeCell ref="B438:C438"/>
    <mergeCell ref="B439:C439"/>
    <mergeCell ref="B440:C440"/>
    <mergeCell ref="F189:G189"/>
    <mergeCell ref="B173:C173"/>
    <mergeCell ref="C169:G169"/>
    <mergeCell ref="B176:C176"/>
    <mergeCell ref="B411:C411"/>
    <mergeCell ref="B413:C413"/>
    <mergeCell ref="B410:C410"/>
    <mergeCell ref="B524:C524"/>
    <mergeCell ref="B526:C526"/>
    <mergeCell ref="E546:F546"/>
    <mergeCell ref="E528:F528"/>
    <mergeCell ref="B542:C542"/>
    <mergeCell ref="C538:G538"/>
    <mergeCell ref="C539:G539"/>
    <mergeCell ref="C455:G455"/>
    <mergeCell ref="C456:G456"/>
    <mergeCell ref="B460:C460"/>
    <mergeCell ref="B458:C458"/>
    <mergeCell ref="E512:F512"/>
    <mergeCell ref="F516:G516"/>
    <mergeCell ref="B461:C461"/>
    <mergeCell ref="B464:C464"/>
    <mergeCell ref="B509:C509"/>
    <mergeCell ref="B482:C482"/>
    <mergeCell ref="B483:C483"/>
    <mergeCell ref="B485:C485"/>
    <mergeCell ref="E739:F739"/>
    <mergeCell ref="B578:C578"/>
    <mergeCell ref="E564:F564"/>
    <mergeCell ref="B562:C562"/>
    <mergeCell ref="B581:C581"/>
    <mergeCell ref="B624:C624"/>
    <mergeCell ref="B738:C738"/>
    <mergeCell ref="B627:C627"/>
    <mergeCell ref="B465:C465"/>
    <mergeCell ref="B433:C433"/>
    <mergeCell ref="B435:C435"/>
    <mergeCell ref="C520:G520"/>
    <mergeCell ref="C476:G476"/>
    <mergeCell ref="F495:G495"/>
    <mergeCell ref="E510:F510"/>
    <mergeCell ref="E468:F468"/>
    <mergeCell ref="B507:C507"/>
    <mergeCell ref="E466:F466"/>
    <mergeCell ref="B462:C462"/>
    <mergeCell ref="F518:G518"/>
    <mergeCell ref="C522:G522"/>
    <mergeCell ref="B463:C463"/>
    <mergeCell ref="F472:G472"/>
    <mergeCell ref="E488:F488"/>
    <mergeCell ref="C498:G498"/>
    <mergeCell ref="B484:C484"/>
    <mergeCell ref="F474:G474"/>
    <mergeCell ref="B732:C732"/>
    <mergeCell ref="B737:C737"/>
    <mergeCell ref="B733:C733"/>
    <mergeCell ref="B735:C735"/>
    <mergeCell ref="B734:C734"/>
    <mergeCell ref="B736:C736"/>
    <mergeCell ref="E741:F741"/>
    <mergeCell ref="B527:C527"/>
    <mergeCell ref="B604:C604"/>
    <mergeCell ref="B605:C605"/>
    <mergeCell ref="B626:C626"/>
    <mergeCell ref="B622:C622"/>
    <mergeCell ref="B623:C623"/>
    <mergeCell ref="C540:G540"/>
    <mergeCell ref="C558:G558"/>
    <mergeCell ref="C557:G557"/>
    <mergeCell ref="F570:G570"/>
    <mergeCell ref="C556:G556"/>
    <mergeCell ref="B583:C583"/>
    <mergeCell ref="B582:C582"/>
    <mergeCell ref="B563:C563"/>
    <mergeCell ref="C576:G576"/>
    <mergeCell ref="B580:C580"/>
    <mergeCell ref="B560:C560"/>
    <mergeCell ref="F572:G572"/>
    <mergeCell ref="F571:G571"/>
    <mergeCell ref="C616:G616"/>
    <mergeCell ref="B603:C603"/>
    <mergeCell ref="B598:C598"/>
    <mergeCell ref="B600:C600"/>
    <mergeCell ref="F592:G592"/>
    <mergeCell ref="C594:G594"/>
    <mergeCell ref="B625:C625"/>
    <mergeCell ref="C595:G595"/>
    <mergeCell ref="C596:G596"/>
    <mergeCell ref="E606:F606"/>
    <mergeCell ref="B620:C620"/>
    <mergeCell ref="B759:C759"/>
    <mergeCell ref="B756:C756"/>
    <mergeCell ref="B755:C755"/>
    <mergeCell ref="F746:G746"/>
    <mergeCell ref="C751:G751"/>
    <mergeCell ref="F747:G747"/>
    <mergeCell ref="C749:G749"/>
    <mergeCell ref="F1222:G1222"/>
    <mergeCell ref="C1225:G1225"/>
    <mergeCell ref="B1206:C1206"/>
    <mergeCell ref="C750:G750"/>
    <mergeCell ref="C774:G774"/>
    <mergeCell ref="C775:G775"/>
    <mergeCell ref="B760:C760"/>
    <mergeCell ref="B757:C757"/>
    <mergeCell ref="B761:C761"/>
    <mergeCell ref="F771:G771"/>
    <mergeCell ref="B1212:C1212"/>
    <mergeCell ref="B1207:C1207"/>
    <mergeCell ref="B803:C803"/>
    <mergeCell ref="E783:F783"/>
    <mergeCell ref="E765:F765"/>
    <mergeCell ref="F769:G769"/>
    <mergeCell ref="B762:C762"/>
    <mergeCell ref="F1133:G1133"/>
    <mergeCell ref="B1122:C1122"/>
    <mergeCell ref="C1135:G1135"/>
    <mergeCell ref="B1092:C1092"/>
    <mergeCell ref="F1102:G1102"/>
    <mergeCell ref="B802:C802"/>
    <mergeCell ref="E805:F805"/>
    <mergeCell ref="E807:F807"/>
    <mergeCell ref="C1227:G1227"/>
    <mergeCell ref="C1228:G1228"/>
    <mergeCell ref="B1238:C1238"/>
    <mergeCell ref="B1236:C1236"/>
    <mergeCell ref="B1237:C1237"/>
    <mergeCell ref="E1214:F1214"/>
    <mergeCell ref="C1226:G1226"/>
    <mergeCell ref="F1220:G1220"/>
    <mergeCell ref="F1221:G1221"/>
    <mergeCell ref="F1684:G1684"/>
    <mergeCell ref="B1676:C1676"/>
    <mergeCell ref="F1683:G1683"/>
    <mergeCell ref="C1667:G1667"/>
    <mergeCell ref="E1679:F1679"/>
    <mergeCell ref="C1668:G1668"/>
    <mergeCell ref="B1674:C1674"/>
    <mergeCell ref="B1672:C1672"/>
    <mergeCell ref="E1677:F1677"/>
    <mergeCell ref="F1662:G1662"/>
    <mergeCell ref="B1673:C1673"/>
    <mergeCell ref="C1574:G1574"/>
    <mergeCell ref="F1623:G1623"/>
    <mergeCell ref="B1612:C1612"/>
    <mergeCell ref="B1583:C1583"/>
    <mergeCell ref="B1631:C1631"/>
    <mergeCell ref="B1632:C1632"/>
    <mergeCell ref="B1648:C1648"/>
    <mergeCell ref="B1603:C1603"/>
    <mergeCell ref="B1607:C1607"/>
    <mergeCell ref="B1629:C1629"/>
    <mergeCell ref="F1595:G1595"/>
    <mergeCell ref="C1599:G1599"/>
    <mergeCell ref="C1627:G1627"/>
    <mergeCell ref="C1624:G1624"/>
    <mergeCell ref="B1605:C1605"/>
    <mergeCell ref="B1609:C1609"/>
    <mergeCell ref="C1601:G1601"/>
    <mergeCell ref="B1650:C1650"/>
    <mergeCell ref="C1646:G1646"/>
    <mergeCell ref="C1644:G1644"/>
    <mergeCell ref="E1635:F1635"/>
    <mergeCell ref="F1642:G1642"/>
    <mergeCell ref="C1643:G1643"/>
    <mergeCell ref="F1639:G1639"/>
    <mergeCell ref="B1652:C1652"/>
    <mergeCell ref="C1666:G1666"/>
    <mergeCell ref="F1664:G1664"/>
    <mergeCell ref="E1655:F1655"/>
    <mergeCell ref="B1654:C1654"/>
    <mergeCell ref="B1610:C1610"/>
    <mergeCell ref="B1675:C1675"/>
    <mergeCell ref="C1665:G1665"/>
    <mergeCell ref="E1657:F1657"/>
    <mergeCell ref="B1653:C1653"/>
    <mergeCell ref="F1661:G1661"/>
    <mergeCell ref="C1572:G1572"/>
    <mergeCell ref="B1551:C1551"/>
    <mergeCell ref="B1556:C1556"/>
    <mergeCell ref="B1584:C1584"/>
    <mergeCell ref="C1573:G1573"/>
    <mergeCell ref="B1559:C1559"/>
    <mergeCell ref="B1555:C1555"/>
    <mergeCell ref="C1575:G1575"/>
    <mergeCell ref="B1577:C1577"/>
    <mergeCell ref="E1564:F1564"/>
    <mergeCell ref="C1645:G1645"/>
    <mergeCell ref="E1633:F1633"/>
    <mergeCell ref="F1640:G1640"/>
    <mergeCell ref="B1557:C1557"/>
    <mergeCell ref="B1560:C1560"/>
    <mergeCell ref="B1613:C1613"/>
    <mergeCell ref="C1626:G1626"/>
    <mergeCell ref="B1611:C1611"/>
    <mergeCell ref="B1579:C1579"/>
    <mergeCell ref="F1594:G1594"/>
    <mergeCell ref="B1586:C1586"/>
    <mergeCell ref="B1606:C1606"/>
    <mergeCell ref="C1625:G1625"/>
    <mergeCell ref="E1614:F1614"/>
    <mergeCell ref="E1616:F1616"/>
    <mergeCell ref="F1620:G1620"/>
    <mergeCell ref="F1621:G1621"/>
    <mergeCell ref="E1590:F1590"/>
    <mergeCell ref="B1608:C1608"/>
    <mergeCell ref="B1561:C1561"/>
    <mergeCell ref="B1479:C1479"/>
    <mergeCell ref="B1473:C1473"/>
    <mergeCell ref="B1534:C1534"/>
    <mergeCell ref="C1468:G1468"/>
    <mergeCell ref="E1484:F1484"/>
    <mergeCell ref="B1535:C1535"/>
    <mergeCell ref="B1501:C1501"/>
    <mergeCell ref="C1470:G1470"/>
    <mergeCell ref="C1471:G1471"/>
    <mergeCell ref="E1562:F1562"/>
    <mergeCell ref="F1571:G1571"/>
    <mergeCell ref="F1569:G1569"/>
    <mergeCell ref="F1568:G1568"/>
    <mergeCell ref="F1465:G1465"/>
    <mergeCell ref="F1467:G1467"/>
    <mergeCell ref="F1519:G1519"/>
    <mergeCell ref="C1549:G1549"/>
    <mergeCell ref="B1553:C1553"/>
    <mergeCell ref="B1558:C1558"/>
    <mergeCell ref="E1536:F1536"/>
    <mergeCell ref="C1547:G1547"/>
    <mergeCell ref="F1545:G1545"/>
    <mergeCell ref="C1546:G1546"/>
    <mergeCell ref="C1598:G1598"/>
    <mergeCell ref="B1587:C1587"/>
    <mergeCell ref="B1581:C1581"/>
    <mergeCell ref="B1582:C1582"/>
    <mergeCell ref="B1585:C1585"/>
    <mergeCell ref="B1529:C1529"/>
    <mergeCell ref="C1442:G1442"/>
    <mergeCell ref="E1432:F1432"/>
    <mergeCell ref="E1434:F1434"/>
    <mergeCell ref="F1439:G1439"/>
    <mergeCell ref="B1211:C1211"/>
    <mergeCell ref="B502:C502"/>
    <mergeCell ref="B506:C506"/>
    <mergeCell ref="C500:G500"/>
    <mergeCell ref="B487:C487"/>
    <mergeCell ref="B505:C505"/>
    <mergeCell ref="E490:F490"/>
    <mergeCell ref="F494:G494"/>
    <mergeCell ref="C499:G499"/>
    <mergeCell ref="B1429:C1429"/>
    <mergeCell ref="B1213:C1213"/>
    <mergeCell ref="B1430:C1430"/>
    <mergeCell ref="B1431:C1431"/>
    <mergeCell ref="C1255:G1255"/>
    <mergeCell ref="B1230:C1230"/>
    <mergeCell ref="B1233:C1233"/>
    <mergeCell ref="C1224:G1224"/>
    <mergeCell ref="B1242:C1242"/>
    <mergeCell ref="E1216:F1216"/>
    <mergeCell ref="B1208:C1208"/>
    <mergeCell ref="B1210:C1210"/>
    <mergeCell ref="B689:C689"/>
    <mergeCell ref="B779:C779"/>
    <mergeCell ref="B777:C777"/>
    <mergeCell ref="B1091:C1091"/>
    <mergeCell ref="B508:C508"/>
    <mergeCell ref="F614:G614"/>
    <mergeCell ref="F613:G613"/>
    <mergeCell ref="E1460:F1460"/>
    <mergeCell ref="F1438:G1438"/>
    <mergeCell ref="B1478:C1478"/>
    <mergeCell ref="B1454:C1454"/>
    <mergeCell ref="B1476:C1476"/>
    <mergeCell ref="B1475:C1475"/>
    <mergeCell ref="B1457:C1457"/>
    <mergeCell ref="B1477:C1477"/>
    <mergeCell ref="C1443:G1443"/>
    <mergeCell ref="C1444:G1444"/>
    <mergeCell ref="B1453:C1453"/>
    <mergeCell ref="F1441:G1441"/>
    <mergeCell ref="B1452:C1452"/>
    <mergeCell ref="B486:C486"/>
    <mergeCell ref="F496:G496"/>
    <mergeCell ref="F473:G473"/>
    <mergeCell ref="C477:G477"/>
    <mergeCell ref="C478:G478"/>
    <mergeCell ref="B480:C480"/>
    <mergeCell ref="B1209:C1209"/>
    <mergeCell ref="B1205:C1205"/>
    <mergeCell ref="B854:C854"/>
    <mergeCell ref="C867:G867"/>
    <mergeCell ref="E856:F856"/>
    <mergeCell ref="F862:G862"/>
    <mergeCell ref="F833:G833"/>
    <mergeCell ref="B1203:C1203"/>
    <mergeCell ref="B1145:C1145"/>
    <mergeCell ref="B1202:C1202"/>
    <mergeCell ref="C1197:G1197"/>
    <mergeCell ref="E608:F608"/>
    <mergeCell ref="F612:G612"/>
    <mergeCell ref="C662:G662"/>
    <mergeCell ref="B668:C668"/>
    <mergeCell ref="B649:C649"/>
    <mergeCell ref="B666:C666"/>
    <mergeCell ref="C661:G661"/>
    <mergeCell ref="F658:G658"/>
    <mergeCell ref="F656:G656"/>
    <mergeCell ref="F657:G657"/>
    <mergeCell ref="E652:F652"/>
    <mergeCell ref="J666:K666"/>
    <mergeCell ref="K661:O661"/>
    <mergeCell ref="J642:K642"/>
    <mergeCell ref="J644:K644"/>
    <mergeCell ref="J645:K645"/>
    <mergeCell ref="J646:K646"/>
    <mergeCell ref="J648:K648"/>
    <mergeCell ref="J649:K649"/>
    <mergeCell ref="N657:O657"/>
    <mergeCell ref="N658:O658"/>
    <mergeCell ref="J668:K668"/>
    <mergeCell ref="C640:G640"/>
    <mergeCell ref="C638:G638"/>
    <mergeCell ref="B729:C729"/>
    <mergeCell ref="C727:G727"/>
    <mergeCell ref="B714:C714"/>
    <mergeCell ref="F722:G722"/>
    <mergeCell ref="C660:G660"/>
    <mergeCell ref="B648:C648"/>
    <mergeCell ref="B664:C664"/>
    <mergeCell ref="B690:C690"/>
    <mergeCell ref="F680:G680"/>
    <mergeCell ref="F678:G678"/>
    <mergeCell ref="B688:C688"/>
    <mergeCell ref="C684:G684"/>
    <mergeCell ref="E628:F628"/>
    <mergeCell ref="E630:F630"/>
    <mergeCell ref="F636:G636"/>
    <mergeCell ref="B644:C644"/>
    <mergeCell ref="C639:G639"/>
    <mergeCell ref="B667:C667"/>
    <mergeCell ref="B669:C669"/>
    <mergeCell ref="B670:C670"/>
    <mergeCell ref="C683:G683"/>
    <mergeCell ref="B671:C671"/>
    <mergeCell ref="F679:G679"/>
    <mergeCell ref="C682:G682"/>
    <mergeCell ref="E672:F672"/>
    <mergeCell ref="E674:F674"/>
    <mergeCell ref="F634:G634"/>
    <mergeCell ref="B647:C647"/>
    <mergeCell ref="B645:C645"/>
    <mergeCell ref="B642:C642"/>
    <mergeCell ref="F635:G635"/>
    <mergeCell ref="B712:C712"/>
    <mergeCell ref="B686:C686"/>
    <mergeCell ref="B691:C691"/>
    <mergeCell ref="B692:C692"/>
    <mergeCell ref="B646:C646"/>
    <mergeCell ref="B713:C713"/>
    <mergeCell ref="C725:G725"/>
    <mergeCell ref="E827:F827"/>
    <mergeCell ref="C837:G837"/>
    <mergeCell ref="F835:G835"/>
    <mergeCell ref="C840:G840"/>
    <mergeCell ref="B804:C804"/>
    <mergeCell ref="E829:F829"/>
    <mergeCell ref="F770:G770"/>
    <mergeCell ref="E763:F763"/>
    <mergeCell ref="J1122:K1122"/>
    <mergeCell ref="B846:C846"/>
    <mergeCell ref="B731:C731"/>
    <mergeCell ref="J825:K825"/>
    <mergeCell ref="F745:G745"/>
    <mergeCell ref="B758:C758"/>
    <mergeCell ref="B753:C753"/>
    <mergeCell ref="B708:C708"/>
    <mergeCell ref="B711:C711"/>
    <mergeCell ref="B710:C710"/>
    <mergeCell ref="F700:G700"/>
    <mergeCell ref="B693:C693"/>
    <mergeCell ref="E694:F694"/>
    <mergeCell ref="C704:G704"/>
    <mergeCell ref="F701:G701"/>
    <mergeCell ref="F702:G702"/>
    <mergeCell ref="E696:F696"/>
    <mergeCell ref="F891:G891"/>
    <mergeCell ref="B880:C880"/>
    <mergeCell ref="E887:F887"/>
    <mergeCell ref="E715:F715"/>
    <mergeCell ref="E717:F717"/>
    <mergeCell ref="C705:G705"/>
    <mergeCell ref="F721:G721"/>
    <mergeCell ref="C706:G706"/>
    <mergeCell ref="C726:G726"/>
    <mergeCell ref="F723:G723"/>
    <mergeCell ref="J1207:K1207"/>
    <mergeCell ref="B1090:C1090"/>
    <mergeCell ref="B1176:C1176"/>
    <mergeCell ref="B1148:C1148"/>
    <mergeCell ref="C1196:G1196"/>
    <mergeCell ref="B1177:C1177"/>
    <mergeCell ref="B1178:C1178"/>
    <mergeCell ref="B1180:C1180"/>
    <mergeCell ref="F1190:G1190"/>
    <mergeCell ref="F1189:G1189"/>
    <mergeCell ref="B1093:C1093"/>
    <mergeCell ref="J1147:K1147"/>
    <mergeCell ref="B1143:C1143"/>
    <mergeCell ref="B1147:C1147"/>
    <mergeCell ref="F1103:G1103"/>
    <mergeCell ref="E1096:F1096"/>
    <mergeCell ref="B1121:C1121"/>
    <mergeCell ref="B1141:C1141"/>
    <mergeCell ref="C1138:G1138"/>
    <mergeCell ref="C1137:G1137"/>
    <mergeCell ref="B1144:C1144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94" orientation="portrait" horizontalDpi="4294967293" r:id="rId1"/>
  <headerFooter alignWithMargins="0">
    <oddHeader>&amp;L&amp;8HRVATSKE CESTE d.o.o.&amp;C&amp;8STANDARD REDOVNOG ODRŽAVANJA CESTA 2009.&amp;R&amp;8&amp;D</oddHeader>
    <oddFooter>&amp;L&amp;8&amp;F&amp;C&amp;8&amp;A&amp;R&amp;8&amp;P / &amp;N</oddFooter>
  </headerFooter>
  <rowBreaks count="69" manualBreakCount="69">
    <brk id="18" max="16383" man="1"/>
    <brk id="36" max="6" man="1"/>
    <brk id="59" max="6" man="1"/>
    <brk id="84" max="6" man="1"/>
    <brk id="102" max="6" man="1"/>
    <brk id="123" max="6" man="1"/>
    <brk id="145" max="6" man="1"/>
    <brk id="167" max="6" man="1"/>
    <brk id="190" max="6" man="1"/>
    <brk id="213" max="6" man="1"/>
    <brk id="234" max="6" man="1"/>
    <brk id="254" max="6" man="1"/>
    <brk id="278" max="6" man="1"/>
    <brk id="303" max="6" man="1"/>
    <brk id="328" max="6" man="1"/>
    <brk id="353" max="6" man="1"/>
    <brk id="377" max="6" man="1"/>
    <brk id="402" max="6" man="1"/>
    <brk id="427" max="6" man="1"/>
    <brk id="452" max="6" man="1"/>
    <brk id="474" max="6" man="1"/>
    <brk id="496" max="6" man="1"/>
    <brk id="518" max="6" man="1"/>
    <brk id="536" max="6" man="1"/>
    <brk id="554" max="6" man="1"/>
    <brk id="572" max="6" man="1"/>
    <brk id="592" max="6" man="1"/>
    <brk id="614" max="6" man="1"/>
    <brk id="636" max="6" man="1"/>
    <brk id="658" max="6" man="1"/>
    <brk id="680" max="6" man="1"/>
    <brk id="702" max="6" man="1"/>
    <brk id="723" max="6" man="1"/>
    <brk id="747" max="6" man="1"/>
    <brk id="771" max="6" man="1"/>
    <brk id="791" max="6" man="1"/>
    <brk id="813" max="6" man="1"/>
    <brk id="835" max="6" man="1"/>
    <brk id="864" max="6" man="1"/>
    <brk id="893" max="6" man="1"/>
    <brk id="922" max="6" man="1"/>
    <brk id="951" max="6" man="1"/>
    <brk id="982" max="6" man="1"/>
    <brk id="1013" max="6" man="1"/>
    <brk id="1044" max="6" man="1"/>
    <brk id="1075" max="6" man="1"/>
    <brk id="1104" max="6" man="1"/>
    <brk id="1133" max="6" man="1"/>
    <brk id="1162" max="6" man="1"/>
    <brk id="1191" max="6" man="1"/>
    <brk id="1222" max="6" man="1"/>
    <brk id="1253" max="6" man="1"/>
    <brk id="1284" max="6" man="1"/>
    <brk id="1310" max="6" man="1"/>
    <brk id="1336" max="6" man="1"/>
    <brk id="1362" max="6" man="1"/>
    <brk id="1388" max="6" man="1"/>
    <brk id="1414" max="6" man="1"/>
    <brk id="1440" max="6" man="1"/>
    <brk id="1466" max="6" man="1"/>
    <brk id="1492" max="6" man="1"/>
    <brk id="1518" max="6" man="1"/>
    <brk id="1544" max="6" man="1"/>
    <brk id="1570" max="6" man="1"/>
    <brk id="1596" max="6" man="1"/>
    <brk id="1622" max="6" man="1"/>
    <brk id="1641" max="6" man="1"/>
    <brk id="1663" max="6" man="1"/>
    <brk id="1685" max="6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'Cjenik RS'!$C$11:$C$26</xm:f>
          </x14:formula1>
          <xm:sqref>B132:C132 J483:K483 J1651:K1651 J312:K312 B27:C27 J27:K27 B45:C45 J45:K45 B68:C68 J68:K68 B93:C93 J93:K93 B111:C111 J111:K111 J132:K132 B154:C154 J154:K154 B176:C176 J176:K176 B199:C199 J199:K199 B222:C222 J222:K222 B243:C243 J243:K243 B263:C263 J263:K263 B287:C287 J287:K287 J337:K337 B312:C312 B711:C711 J732:K732 B9:C9 B1695:C1695 J1695:K1695 B1673:C1673 J1673:K1673 B1651:C1651 B1606:C1606 J1606:K1606 B1580:C1580 J1580:K1580 B1554:C1554 J1554:K1554 B1528:C1528 J1528:K1528 B1502:C1502 J1502:K1502 B1476:C1476 J1476:K1476 B1450:C1450 J1450:K1450 B1424:C1424 J1424:K1424 B1398:C1398 J1398:K1398 B1372:C1372 J1372:K1372 B1346:C1346 J1346:K1346 J1294:K1294 B1320:C1320 J1115:K1115 B1115:C1115 B1086:C1086 J1086:K1086 B1055:C1055 J1055:K1055 B1024:C1024 J1024:K1024 B993:C993 J993:K993 B962:C962 J962:K962 B933:C933 J933:K933 B904:C904 J904:K904 B875:C875 J875:K875 B846:C846 J846:K846 B822:C822 J822:K822 B800:C800 J800:K800 B780:C780 J780:K780 B756:C756 J756:K756 B732:C732 J711:K711 J667:K667 J689:K689 B505:C505 J505:K505 B483:C483 B461:C461 J461:K461 B436:C436 J436:K436 B411:C411 J411:K411 B386:C386 J386:K386 B362:C362 J362:K362 B337:C337 J9:K9 B527:C527 J527:K527 B545:C545 J545:K545 B563:C563 J563:K563 B581:C581 J581:K581 B601:C601 J601:K601 B623:C623 J623:K623 B645:C645 J645:K645 B667:C667 B689:C689 B1144:C1144 J1144:K1144 B1173:C1173 J1173:K1173 B1202:C1202 J1202:K1202 B1233:C1233 J1233:K1233 B1264:C1264 J1264:K1264 B1294:C1294 J1320:K1320</xm:sqref>
        </x14:dataValidation>
        <x14:dataValidation type="list" allowBlank="1" showInputMessage="1" showErrorMessage="1" xr:uid="{00000000-0002-0000-0700-000001000000}">
          <x14:formula1>
            <xm:f>'Cjenik VSO (pomoćna)'!$B$9:$B$13</xm:f>
          </x14:formula1>
          <xm:sqref>J782:K782 B802:C802 B824:C824 J824:K824 B848:C851 J848:K851 B877:C880 J877:K880 B906:C909 J906:K909 B935:C938 J935:K938 B964:C969 J964:K969 B995:C1000 J995:K1000 B1026:C1031 J1026:K1031 B1057:C1062 J1057:K1062 B1088:C1091 J1088:K1091 B1117:C1120 J1117:K1120 B1146:C1149 J1146:K1149 B1175:C1178 J1175:K1178 B1204:C1209 J1204:K1209 B1235:C1240 J1235:K1240 B1266:C1271 J1266:K1271 B1296:C1297 J1296:K1297 B1322:C1323 J1322:K1323 B1348:C1349 J1348:K1349 B1374:C1375 J1374:K1375 B1400:C1401 J1400:K1401 B1426:C1427 J1426:K1427 B1452:C1453 J1452:K1453 B1478:C1479 J1478:K1479 B1504:C1505 J1504:K1505 B1530:C1531 J1530:K1531 B1556:C1557 J1556:K1557 B1582:C1583 J1582:K1583 B1608:C1609 J1608:K1609 B1653:C1654 J1653:K1654 B1697:C1698 J1697:K1698 B47:C48 B782:C782 J802:K803</xm:sqref>
        </x14:dataValidation>
        <x14:dataValidation type="list" allowBlank="1" showInputMessage="1" showErrorMessage="1" xr:uid="{00000000-0002-0000-0700-000002000000}">
          <x14:formula1>
            <xm:f>'Cjenik M'!$B$11:$B$119</xm:f>
          </x14:formula1>
          <xm:sqref>B826:C826 J826:K826 B853:C855 J853:K855 B882:C884 J882:K884 B911:C913 J911:K913 B940:C942 J940:K942 B971:C973 J971:K973 B1002:C1004 J1002:K1004 B1033:C1035 J1033:K1035 B1064:C1066 J1064:K1066 B1093:C1095 J1093:K1095 B1122:C1124 J1122:K1124 B1151:C1153 J1151:K1153 B1180:C1182 J1180:K1182 B1211:C1213 J1211:K1213 B1242:C1244 J1242:K1244 B1273:C1275 J1273:K1275 B1299:C1301 J1299:K1301 B1325:C1327 J1325:K1327 B1351:C1353 J1351:K1353 B1377:C1379 J1377:K1379 B1403:C1405 J1403:K1405 B1429:C1431 J1429:K1431 B1455:C1457 J1455:K1457 B1481:C1483 J1481:K1483 B1507:C1509 J1507:K1509 B1533:C1535 J1533:K1535 B1559:C1561 J1559:K1561 B1585:C1587 J1585:K1587 B1611:C1613 J1611:K1613 B804:C804 J804:K804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R329"/>
  <sheetViews>
    <sheetView showZeros="0" view="pageBreakPreview" topLeftCell="A308" zoomScaleNormal="70" zoomScaleSheetLayoutView="70" workbookViewId="0">
      <selection activeCell="F313" sqref="F313"/>
    </sheetView>
  </sheetViews>
  <sheetFormatPr defaultRowHeight="12.75"/>
  <cols>
    <col min="1" max="1" width="3.7109375" style="1" customWidth="1"/>
    <col min="2" max="2" width="10.7109375" style="37" customWidth="1"/>
    <col min="3" max="3" width="25.7109375" style="2" customWidth="1"/>
    <col min="4" max="4" width="6.7109375" style="3" customWidth="1"/>
    <col min="5" max="5" width="11.7109375" style="4" customWidth="1"/>
    <col min="6" max="6" width="11.7109375" style="30" customWidth="1"/>
    <col min="7" max="7" width="11.7109375" style="5" customWidth="1"/>
    <col min="8" max="8" width="9.42578125" style="2" bestFit="1" customWidth="1"/>
    <col min="9" max="9" width="3.7109375" style="1" customWidth="1"/>
    <col min="10" max="10" width="10.7109375" style="37" customWidth="1"/>
    <col min="11" max="11" width="25.7109375" style="2" customWidth="1"/>
    <col min="12" max="12" width="6.7109375" style="3" customWidth="1"/>
    <col min="13" max="13" width="11.7109375" style="4" customWidth="1"/>
    <col min="14" max="14" width="11.7109375" style="30" customWidth="1"/>
    <col min="15" max="15" width="11.7109375" style="5" customWidth="1"/>
    <col min="16" max="16384" width="9.140625" style="2"/>
  </cols>
  <sheetData>
    <row r="1" spans="1:15" ht="15" customHeight="1"/>
    <row r="2" spans="1:15" s="6" customFormat="1" ht="15" customHeight="1">
      <c r="A2" s="149"/>
      <c r="B2" s="145" t="s">
        <v>561</v>
      </c>
      <c r="C2" s="836" t="s">
        <v>562</v>
      </c>
      <c r="D2" s="836"/>
      <c r="E2" s="836"/>
      <c r="F2" s="836"/>
      <c r="G2" s="836"/>
      <c r="I2" s="149"/>
      <c r="J2" s="145" t="s">
        <v>561</v>
      </c>
      <c r="K2" s="836" t="s">
        <v>562</v>
      </c>
      <c r="L2" s="836"/>
      <c r="M2" s="836"/>
      <c r="N2" s="836"/>
      <c r="O2" s="836"/>
    </row>
    <row r="3" spans="1:15" ht="150" customHeight="1">
      <c r="A3" s="40"/>
      <c r="B3" s="556" t="s">
        <v>563</v>
      </c>
      <c r="C3" s="852" t="s">
        <v>564</v>
      </c>
      <c r="D3" s="852"/>
      <c r="E3" s="852"/>
      <c r="F3" s="852"/>
      <c r="G3" s="852"/>
      <c r="I3" s="40"/>
      <c r="J3" s="41" t="s">
        <v>563</v>
      </c>
      <c r="K3" s="869" t="s">
        <v>564</v>
      </c>
      <c r="L3" s="869"/>
      <c r="M3" s="869"/>
      <c r="N3" s="869"/>
      <c r="O3" s="869"/>
    </row>
    <row r="4" spans="1:15" ht="15" customHeight="1" thickBot="1"/>
    <row r="5" spans="1:15" s="11" customFormat="1" ht="30" customHeight="1" thickTop="1" thickBot="1">
      <c r="A5" s="10"/>
      <c r="B5" s="835" t="str">
        <f>'Obrazac kalkulacije'!$B$6:$C$6</f>
        <v>Opis</v>
      </c>
      <c r="C5" s="835"/>
      <c r="D5" s="10" t="str">
        <f>'Obrazac kalkulacije'!$D$6</f>
        <v>Jed.
mjere</v>
      </c>
      <c r="E5" s="10" t="str">
        <f>'Obrazac kalkulacije'!$E$6</f>
        <v>Normativ</v>
      </c>
      <c r="F5" s="10" t="str">
        <f>'Obrazac kalkulacije'!$F$6</f>
        <v>Jed.
cijena</v>
      </c>
      <c r="G5" s="10" t="str">
        <f>'Obrazac kalkulacije'!$G$6</f>
        <v>Iznos</v>
      </c>
      <c r="I5" s="10"/>
      <c r="J5" s="835" t="e">
        <f>'Obrazac kalkulacije'!$B$6:$C$6</f>
        <v>#VALUE!</v>
      </c>
      <c r="K5" s="835"/>
      <c r="L5" s="10" t="str">
        <f>'Obrazac kalkulacije'!$D$6</f>
        <v>Jed.
mjere</v>
      </c>
      <c r="M5" s="10" t="str">
        <f>'Obrazac kalkulacije'!$E$6</f>
        <v>Normativ</v>
      </c>
      <c r="N5" s="10" t="str">
        <f>'Obrazac kalkulacije'!$F$6</f>
        <v>Jed.
cijena</v>
      </c>
      <c r="O5" s="10" t="str">
        <f>'Obrazac kalkulacije'!$G$6</f>
        <v>Iznos</v>
      </c>
    </row>
    <row r="6" spans="1:15" s="12" customFormat="1" ht="4.5" customHeight="1" thickTop="1">
      <c r="A6" s="1"/>
      <c r="B6" s="42"/>
      <c r="C6" s="1"/>
      <c r="D6" s="11"/>
      <c r="E6" s="13"/>
      <c r="F6" s="258"/>
      <c r="G6" s="15"/>
      <c r="I6" s="1"/>
      <c r="J6" s="42"/>
      <c r="K6" s="1"/>
      <c r="L6" s="11"/>
      <c r="M6" s="13"/>
      <c r="N6" s="258"/>
      <c r="O6" s="15"/>
    </row>
    <row r="7" spans="1:15" s="12" customFormat="1" ht="25.15" customHeight="1">
      <c r="A7" s="16"/>
      <c r="B7" s="837" t="s">
        <v>565</v>
      </c>
      <c r="C7" s="837"/>
      <c r="D7" s="16"/>
      <c r="E7" s="16"/>
      <c r="F7" s="44"/>
      <c r="G7" s="18">
        <f>SUM(G8:G8)</f>
        <v>0.65686764000000009</v>
      </c>
      <c r="I7" s="16"/>
      <c r="J7" s="837" t="s">
        <v>565</v>
      </c>
      <c r="K7" s="837"/>
      <c r="L7" s="16"/>
      <c r="M7" s="16"/>
      <c r="N7" s="44"/>
      <c r="O7" s="18">
        <f>SUM(O8:O8)</f>
        <v>0.45042634000000009</v>
      </c>
    </row>
    <row r="8" spans="1:15" s="12" customFormat="1" ht="25.15" customHeight="1">
      <c r="A8" s="32"/>
      <c r="B8" s="838" t="s">
        <v>53</v>
      </c>
      <c r="C8" s="838"/>
      <c r="D8" s="33" t="s">
        <v>51</v>
      </c>
      <c r="E8" s="34">
        <v>6.6660000000000001E-3</v>
      </c>
      <c r="F8" s="238">
        <f>SUMIF('Cjenik RS'!$C$11:$C$26,$B8,'Cjenik RS'!$D$11:$D$90)</f>
        <v>98.54</v>
      </c>
      <c r="G8" s="35">
        <f>E8*F8</f>
        <v>0.65686764000000009</v>
      </c>
      <c r="I8" s="32"/>
      <c r="J8" s="838" t="s">
        <v>53</v>
      </c>
      <c r="K8" s="838"/>
      <c r="L8" s="33" t="s">
        <v>51</v>
      </c>
      <c r="M8" s="34">
        <v>4.5710000000000004E-3</v>
      </c>
      <c r="N8" s="238">
        <f>SUMIF('Cjenik RS'!$C$11:$C$26,J8,'Cjenik RS'!$D$11:$D$90)</f>
        <v>98.54</v>
      </c>
      <c r="O8" s="35">
        <f>M8*N8</f>
        <v>0.45042634000000009</v>
      </c>
    </row>
    <row r="9" spans="1:15" s="12" customFormat="1" ht="25.15" customHeight="1">
      <c r="A9" s="16"/>
      <c r="B9" s="837" t="s">
        <v>566</v>
      </c>
      <c r="C9" s="837"/>
      <c r="D9" s="16"/>
      <c r="E9" s="16"/>
      <c r="F9" s="238"/>
      <c r="G9" s="18">
        <f>SUM(G10:G10)</f>
        <v>0.29863679999999998</v>
      </c>
      <c r="I9" s="16"/>
      <c r="J9" s="837" t="s">
        <v>566</v>
      </c>
      <c r="K9" s="837"/>
      <c r="L9" s="16"/>
      <c r="M9" s="16"/>
      <c r="N9" s="238"/>
      <c r="O9" s="18">
        <f>SUM(O10:O10)</f>
        <v>0.1792</v>
      </c>
    </row>
    <row r="10" spans="1:15" s="12" customFormat="1" ht="25.15" customHeight="1">
      <c r="A10" s="19"/>
      <c r="B10" s="889" t="s">
        <v>567</v>
      </c>
      <c r="C10" s="889"/>
      <c r="D10" s="97" t="s">
        <v>51</v>
      </c>
      <c r="E10" s="21">
        <v>6.6660000000000001E-3</v>
      </c>
      <c r="F10" s="239">
        <f>SUMIF('Cjenik VSO'!$B$9:$B$85,$B10,'Cjenik VSO'!$C$9:$C$85)</f>
        <v>44.8</v>
      </c>
      <c r="G10" s="36">
        <f>E10*F10</f>
        <v>0.29863679999999998</v>
      </c>
      <c r="H10" s="12">
        <f>SUM(8/0.00666)</f>
        <v>1201.2012012012012</v>
      </c>
      <c r="I10" s="19"/>
      <c r="J10" s="889" t="s">
        <v>567</v>
      </c>
      <c r="K10" s="889"/>
      <c r="L10" s="97" t="s">
        <v>51</v>
      </c>
      <c r="M10" s="21">
        <v>4.0000000000000001E-3</v>
      </c>
      <c r="N10" s="688">
        <f>SUMIF('Cjenik VSO'!$B$9:$B$85,$B10,'Cjenik VSO'!$C$9:$C$85)</f>
        <v>44.8</v>
      </c>
      <c r="O10" s="36">
        <f>M10*N10</f>
        <v>0.1792</v>
      </c>
    </row>
    <row r="11" spans="1:15" ht="25.15" customHeight="1">
      <c r="E11" s="868" t="str">
        <f>'Obrazac kalkulacije'!$E$18</f>
        <v>Ukupno (kn):</v>
      </c>
      <c r="F11" s="868"/>
      <c r="G11" s="71">
        <f>ROUND(SUM(G7+G9),2)</f>
        <v>0.96</v>
      </c>
      <c r="H11" s="269" t="e">
        <f>SUMIF(#REF!,$B3,#REF!)</f>
        <v>#REF!</v>
      </c>
      <c r="M11" s="868" t="str">
        <f>'Obrazac kalkulacije'!$E$18</f>
        <v>Ukupno (kn):</v>
      </c>
      <c r="N11" s="868"/>
      <c r="O11" s="71">
        <f>ROUND(SUM(O7+O9),2)</f>
        <v>0.63</v>
      </c>
    </row>
    <row r="12" spans="1:15" ht="25.15" customHeight="1" thickTop="1" thickBot="1">
      <c r="E12" s="27" t="str">
        <f>'Obrazac kalkulacije'!$E$19</f>
        <v>PDV:</v>
      </c>
      <c r="F12" s="259">
        <f>'Obrazac kalkulacije'!$F$19</f>
        <v>0.25</v>
      </c>
      <c r="G12" s="29">
        <f>G11*F12</f>
        <v>0.24</v>
      </c>
      <c r="H12" s="270" t="e">
        <f>H11-G11</f>
        <v>#REF!</v>
      </c>
      <c r="M12" s="27" t="str">
        <f>'Obrazac kalkulacije'!$E$19</f>
        <v>PDV:</v>
      </c>
      <c r="N12" s="259">
        <f>'Obrazac kalkulacije'!$F$19</f>
        <v>0.25</v>
      </c>
      <c r="O12" s="29">
        <f>O11*N12</f>
        <v>0.1575</v>
      </c>
    </row>
    <row r="13" spans="1:15" ht="25.15" customHeight="1" thickTop="1" thickBot="1">
      <c r="E13" s="840" t="str">
        <f>'Obrazac kalkulacije'!$E$20</f>
        <v>Sveukupno (kn):</v>
      </c>
      <c r="F13" s="840"/>
      <c r="G13" s="29">
        <f>ROUND(SUM(G11:G12),2)</f>
        <v>1.2</v>
      </c>
      <c r="H13" s="271" t="e">
        <f>G10+H12</f>
        <v>#REF!</v>
      </c>
      <c r="M13" s="840" t="str">
        <f>'Obrazac kalkulacije'!$E$20</f>
        <v>Sveukupno (kn):</v>
      </c>
      <c r="N13" s="840"/>
      <c r="O13" s="29">
        <f>ROUND(SUM(O11:O12),2)</f>
        <v>0.79</v>
      </c>
    </row>
    <row r="14" spans="1:15" ht="15" customHeight="1" thickTop="1"/>
    <row r="15" spans="1:15" ht="15" customHeight="1"/>
    <row r="16" spans="1:15" ht="15" customHeight="1"/>
    <row r="17" spans="1:15" ht="15" customHeight="1">
      <c r="C17" s="3" t="str">
        <f>'Obrazac kalkulacije'!$C$24</f>
        <v>IZVODITELJ:</v>
      </c>
      <c r="F17" s="841" t="str">
        <f>'Obrazac kalkulacije'!$F$24</f>
        <v>NARUČITELJ:</v>
      </c>
      <c r="G17" s="841"/>
      <c r="K17" s="3" t="str">
        <f>'Obrazac kalkulacije'!$C$24</f>
        <v>IZVODITELJ:</v>
      </c>
      <c r="N17" s="841" t="str">
        <f>'Obrazac kalkulacije'!$F$24</f>
        <v>NARUČITELJ:</v>
      </c>
      <c r="O17" s="841"/>
    </row>
    <row r="18" spans="1:15" ht="25.15" customHeight="1">
      <c r="C18" s="3" t="str">
        <f>'Obrazac kalkulacije'!$C$25</f>
        <v>__________________</v>
      </c>
      <c r="F18" s="841" t="str">
        <f>'Obrazac kalkulacije'!$F$25</f>
        <v>___________________</v>
      </c>
      <c r="G18" s="841"/>
      <c r="K18" s="3" t="str">
        <f>'Obrazac kalkulacije'!$C$25</f>
        <v>__________________</v>
      </c>
      <c r="N18" s="841" t="str">
        <f>'Obrazac kalkulacije'!$F$25</f>
        <v>___________________</v>
      </c>
      <c r="O18" s="841"/>
    </row>
    <row r="19" spans="1:15">
      <c r="F19" s="841"/>
      <c r="G19" s="841"/>
      <c r="N19" s="841"/>
      <c r="O19" s="841"/>
    </row>
    <row r="20" spans="1:15" ht="15" customHeight="1"/>
    <row r="21" spans="1:15" ht="15" customHeight="1">
      <c r="A21" s="149"/>
      <c r="B21" s="145" t="s">
        <v>561</v>
      </c>
      <c r="C21" s="836" t="s">
        <v>562</v>
      </c>
      <c r="D21" s="836"/>
      <c r="E21" s="836"/>
      <c r="F21" s="836"/>
      <c r="G21" s="836"/>
      <c r="I21" s="149"/>
      <c r="J21" s="145" t="s">
        <v>561</v>
      </c>
      <c r="K21" s="836" t="s">
        <v>562</v>
      </c>
      <c r="L21" s="836"/>
      <c r="M21" s="836"/>
      <c r="N21" s="836"/>
      <c r="O21" s="836"/>
    </row>
    <row r="22" spans="1:15" ht="150" customHeight="1">
      <c r="A22" s="9"/>
      <c r="B22" s="556" t="s">
        <v>568</v>
      </c>
      <c r="C22" s="852" t="s">
        <v>569</v>
      </c>
      <c r="D22" s="852"/>
      <c r="E22" s="852"/>
      <c r="F22" s="852"/>
      <c r="G22" s="852"/>
      <c r="I22" s="9"/>
      <c r="J22" s="41" t="s">
        <v>568</v>
      </c>
      <c r="K22" s="869" t="s">
        <v>569</v>
      </c>
      <c r="L22" s="869"/>
      <c r="M22" s="869"/>
      <c r="N22" s="869"/>
      <c r="O22" s="869"/>
    </row>
    <row r="23" spans="1:15" ht="15" customHeight="1" thickBot="1"/>
    <row r="24" spans="1:15" ht="30" customHeight="1" thickTop="1" thickBot="1">
      <c r="A24" s="10"/>
      <c r="B24" s="835" t="str">
        <f>'Obrazac kalkulacije'!$B$6:$C$6</f>
        <v>Opis</v>
      </c>
      <c r="C24" s="835"/>
      <c r="D24" s="10" t="str">
        <f>'Obrazac kalkulacije'!$D$6</f>
        <v>Jed.
mjere</v>
      </c>
      <c r="E24" s="10" t="str">
        <f>'Obrazac kalkulacije'!$E$6</f>
        <v>Normativ</v>
      </c>
      <c r="F24" s="10" t="str">
        <f>'Obrazac kalkulacije'!$F$6</f>
        <v>Jed.
cijena</v>
      </c>
      <c r="G24" s="10" t="str">
        <f>'Obrazac kalkulacije'!$G$6</f>
        <v>Iznos</v>
      </c>
      <c r="H24" s="2">
        <v>336</v>
      </c>
      <c r="I24" s="10"/>
      <c r="J24" s="835" t="e">
        <f>'Obrazac kalkulacije'!$B$6:$C$6</f>
        <v>#VALUE!</v>
      </c>
      <c r="K24" s="835"/>
      <c r="L24" s="10" t="str">
        <f>'Obrazac kalkulacije'!$D$6</f>
        <v>Jed.
mjere</v>
      </c>
      <c r="M24" s="10" t="str">
        <f>'Obrazac kalkulacije'!$E$6</f>
        <v>Normativ</v>
      </c>
      <c r="N24" s="10" t="str">
        <f>'Obrazac kalkulacije'!$F$6</f>
        <v>Jed.
cijena</v>
      </c>
      <c r="O24" s="10" t="str">
        <f>'Obrazac kalkulacije'!$G$6</f>
        <v>Iznos</v>
      </c>
    </row>
    <row r="25" spans="1:15" ht="4.5" customHeight="1" thickTop="1">
      <c r="B25" s="42"/>
      <c r="C25" s="1"/>
      <c r="D25" s="11"/>
      <c r="E25" s="13"/>
      <c r="F25" s="258"/>
      <c r="G25" s="15"/>
      <c r="J25" s="42"/>
      <c r="K25" s="1"/>
      <c r="L25" s="11"/>
      <c r="M25" s="13"/>
      <c r="N25" s="258"/>
      <c r="O25" s="15"/>
    </row>
    <row r="26" spans="1:15" ht="25.15" customHeight="1">
      <c r="A26" s="16"/>
      <c r="B26" s="837" t="s">
        <v>565</v>
      </c>
      <c r="C26" s="837"/>
      <c r="D26" s="16"/>
      <c r="E26" s="16"/>
      <c r="F26" s="44"/>
      <c r="G26" s="18">
        <f>SUM(G27:G27)</f>
        <v>6.9884567999999998</v>
      </c>
      <c r="I26" s="16"/>
      <c r="J26" s="837" t="s">
        <v>565</v>
      </c>
      <c r="K26" s="837"/>
      <c r="L26" s="16"/>
      <c r="M26" s="16"/>
      <c r="N26" s="44"/>
      <c r="O26" s="18">
        <f>SUM(O27:O27)</f>
        <v>6.9884567999999998</v>
      </c>
    </row>
    <row r="27" spans="1:15" ht="25.15" customHeight="1">
      <c r="A27" s="32"/>
      <c r="B27" s="838" t="s">
        <v>53</v>
      </c>
      <c r="C27" s="838"/>
      <c r="D27" s="33" t="s">
        <v>51</v>
      </c>
      <c r="E27" s="34">
        <v>7.0919999999999997E-2</v>
      </c>
      <c r="F27" s="238">
        <f>SUMIF('Cjenik RS'!$C$11:$C$26,$B27,'Cjenik RS'!$D$11:$D$90)</f>
        <v>98.54</v>
      </c>
      <c r="G27" s="35">
        <f>E27*F27</f>
        <v>6.9884567999999998</v>
      </c>
      <c r="H27" s="2">
        <v>24</v>
      </c>
      <c r="I27" s="32"/>
      <c r="J27" s="838" t="s">
        <v>53</v>
      </c>
      <c r="K27" s="838"/>
      <c r="L27" s="33" t="s">
        <v>51</v>
      </c>
      <c r="M27" s="34">
        <v>7.0919999999999997E-2</v>
      </c>
      <c r="N27" s="238">
        <f>SUMIF('Cjenik RS'!$C$11:$C$26,J27,'Cjenik RS'!$D$11:$D$90)</f>
        <v>98.54</v>
      </c>
      <c r="O27" s="35">
        <f>M27*N27</f>
        <v>6.9884567999999998</v>
      </c>
    </row>
    <row r="28" spans="1:15" ht="25.15" customHeight="1">
      <c r="A28" s="16"/>
      <c r="B28" s="837" t="s">
        <v>566</v>
      </c>
      <c r="C28" s="837"/>
      <c r="D28" s="16"/>
      <c r="E28" s="16"/>
      <c r="F28" s="238"/>
      <c r="G28" s="18">
        <f>SUM(G29:G31)</f>
        <v>1.6228303999999998</v>
      </c>
      <c r="I28" s="16"/>
      <c r="J28" s="837" t="s">
        <v>566</v>
      </c>
      <c r="K28" s="837"/>
      <c r="L28" s="16"/>
      <c r="M28" s="16"/>
      <c r="N28" s="238"/>
      <c r="O28" s="18">
        <f>SUM(O29:O31)</f>
        <v>1.6228303999999998</v>
      </c>
    </row>
    <row r="29" spans="1:15" ht="25.15" customHeight="1">
      <c r="A29" s="51"/>
      <c r="B29" s="863" t="s">
        <v>570</v>
      </c>
      <c r="C29" s="863"/>
      <c r="D29" s="52" t="s">
        <v>51</v>
      </c>
      <c r="E29" s="53">
        <v>2.4599999999999999E-3</v>
      </c>
      <c r="F29" s="260">
        <f>SUMIF('Cjenik VSO'!$B$9:$B$85,$B29,'Cjenik VSO'!$C$9:$C$85)</f>
        <v>293.52999999999997</v>
      </c>
      <c r="G29" s="55">
        <f>E29*F29</f>
        <v>0.72208379999999994</v>
      </c>
      <c r="H29" s="2">
        <v>2</v>
      </c>
      <c r="I29" s="51"/>
      <c r="J29" s="863" t="s">
        <v>570</v>
      </c>
      <c r="K29" s="863"/>
      <c r="L29" s="52" t="s">
        <v>51</v>
      </c>
      <c r="M29" s="53">
        <v>2.4599999999999999E-3</v>
      </c>
      <c r="N29" s="260">
        <f>SUMIF('Cjenik VSO'!$B$9:$B$85,$B29,'Cjenik VSO'!$C$9:$C$85)</f>
        <v>293.52999999999997</v>
      </c>
      <c r="O29" s="55">
        <f>M29*N29</f>
        <v>0.72208379999999994</v>
      </c>
    </row>
    <row r="30" spans="1:15" ht="25.15" customHeight="1">
      <c r="A30" s="56"/>
      <c r="B30" s="834" t="s">
        <v>571</v>
      </c>
      <c r="C30" s="834"/>
      <c r="D30" s="57" t="s">
        <v>51</v>
      </c>
      <c r="E30" s="58">
        <v>2.1999999999999999E-2</v>
      </c>
      <c r="F30" s="263">
        <f>SUMIF('Cjenik VSO'!$B$9:$B$85,$B30,'Cjenik VSO'!$C$9:$C$85)</f>
        <v>33.26</v>
      </c>
      <c r="G30" s="60">
        <f>E30*F30</f>
        <v>0.73171999999999993</v>
      </c>
      <c r="H30" s="2">
        <v>7</v>
      </c>
      <c r="I30" s="56"/>
      <c r="J30" s="834" t="s">
        <v>571</v>
      </c>
      <c r="K30" s="834"/>
      <c r="L30" s="57" t="s">
        <v>51</v>
      </c>
      <c r="M30" s="58">
        <v>2.1999999999999999E-2</v>
      </c>
      <c r="N30" s="263">
        <f>SUMIF('Cjenik VSO'!$B$9:$B$85,$B30,'Cjenik VSO'!$C$9:$C$85)</f>
        <v>33.26</v>
      </c>
      <c r="O30" s="60">
        <f>M30*N30</f>
        <v>0.73171999999999993</v>
      </c>
    </row>
    <row r="31" spans="1:15" ht="25.15" customHeight="1" thickBot="1">
      <c r="A31" s="74"/>
      <c r="B31" s="887" t="s">
        <v>572</v>
      </c>
      <c r="C31" s="887"/>
      <c r="D31" s="67" t="s">
        <v>51</v>
      </c>
      <c r="E31" s="81">
        <v>2.4599999999999999E-3</v>
      </c>
      <c r="F31" s="262">
        <f>SUMIF('Cjenik VSO'!$B$9:$B$85,$B31,'Cjenik VSO'!$C$9:$C$85)</f>
        <v>68.709999999999994</v>
      </c>
      <c r="G31" s="70">
        <f>E31*F31</f>
        <v>0.16902659999999997</v>
      </c>
      <c r="H31" s="2">
        <v>2</v>
      </c>
      <c r="I31" s="74"/>
      <c r="J31" s="887" t="s">
        <v>572</v>
      </c>
      <c r="K31" s="887"/>
      <c r="L31" s="67" t="s">
        <v>51</v>
      </c>
      <c r="M31" s="81">
        <v>2.4599999999999999E-3</v>
      </c>
      <c r="N31" s="262">
        <f>SUMIF('Cjenik VSO'!$B$9:$B$85,$B31,'Cjenik VSO'!$C$9:$C$85)</f>
        <v>68.709999999999994</v>
      </c>
      <c r="O31" s="70">
        <f>M31*N31</f>
        <v>0.16902659999999997</v>
      </c>
    </row>
    <row r="32" spans="1:15" ht="25.15" customHeight="1" thickTop="1" thickBot="1">
      <c r="B32" s="47"/>
      <c r="C32" s="24"/>
      <c r="D32" s="25"/>
      <c r="E32" s="850" t="str">
        <f>'Obrazac kalkulacije'!$E$18</f>
        <v>Ukupno (kn):</v>
      </c>
      <c r="F32" s="850"/>
      <c r="G32" s="26">
        <f>ROUND(SUM(G26+G28),2)</f>
        <v>8.61</v>
      </c>
      <c r="H32" s="269" t="e">
        <f>SUMIF(#REF!,$B22,#REF!)</f>
        <v>#REF!</v>
      </c>
      <c r="J32" s="47"/>
      <c r="K32" s="24"/>
      <c r="L32" s="25"/>
      <c r="M32" s="850" t="str">
        <f>'Obrazac kalkulacije'!$E$18</f>
        <v>Ukupno (kn):</v>
      </c>
      <c r="N32" s="850"/>
      <c r="O32" s="26">
        <f>ROUND(SUM(O26+O28),2)</f>
        <v>8.61</v>
      </c>
    </row>
    <row r="33" spans="1:15" ht="25.15" customHeight="1" thickTop="1" thickBot="1">
      <c r="E33" s="27" t="str">
        <f>'Obrazac kalkulacije'!$E$19</f>
        <v>PDV:</v>
      </c>
      <c r="F33" s="259">
        <f>'Obrazac kalkulacije'!$F$19</f>
        <v>0.25</v>
      </c>
      <c r="G33" s="29">
        <f>G32*F33</f>
        <v>2.1524999999999999</v>
      </c>
      <c r="H33" s="270" t="e">
        <f>H32-G32</f>
        <v>#REF!</v>
      </c>
      <c r="M33" s="27" t="str">
        <f>'Obrazac kalkulacije'!$E$19</f>
        <v>PDV:</v>
      </c>
      <c r="N33" s="259">
        <f>'Obrazac kalkulacije'!$F$19</f>
        <v>0.25</v>
      </c>
      <c r="O33" s="29">
        <f>O32*N33</f>
        <v>2.1524999999999999</v>
      </c>
    </row>
    <row r="34" spans="1:15" ht="25.15" customHeight="1" thickTop="1" thickBot="1">
      <c r="E34" s="840" t="str">
        <f>'Obrazac kalkulacije'!$E$20</f>
        <v>Sveukupno (kn):</v>
      </c>
      <c r="F34" s="840"/>
      <c r="G34" s="29">
        <f>ROUND(SUM(G32:G33),2)</f>
        <v>10.76</v>
      </c>
      <c r="H34" s="271" t="e">
        <f>G30+H33</f>
        <v>#REF!</v>
      </c>
      <c r="M34" s="840" t="str">
        <f>'Obrazac kalkulacije'!$E$20</f>
        <v>Sveukupno (kn):</v>
      </c>
      <c r="N34" s="840"/>
      <c r="O34" s="29">
        <f>ROUND(SUM(O32:O33),2)</f>
        <v>10.76</v>
      </c>
    </row>
    <row r="35" spans="1:15" ht="15" customHeight="1" thickTop="1"/>
    <row r="36" spans="1:15" ht="15" customHeight="1">
      <c r="J36" s="37">
        <f>SUM(8/0.00246)</f>
        <v>3252.0325203252032</v>
      </c>
    </row>
    <row r="37" spans="1:15" ht="15" customHeight="1"/>
    <row r="38" spans="1:15" ht="15" customHeight="1">
      <c r="C38" s="3" t="str">
        <f>'Obrazac kalkulacije'!$C$24</f>
        <v>IZVODITELJ:</v>
      </c>
      <c r="F38" s="841" t="str">
        <f>'Obrazac kalkulacije'!$F$24</f>
        <v>NARUČITELJ:</v>
      </c>
      <c r="G38" s="841"/>
      <c r="K38" s="3" t="str">
        <f>'Obrazac kalkulacije'!$C$24</f>
        <v>IZVODITELJ:</v>
      </c>
      <c r="N38" s="841" t="str">
        <f>'Obrazac kalkulacije'!$F$24</f>
        <v>NARUČITELJ:</v>
      </c>
      <c r="O38" s="841"/>
    </row>
    <row r="39" spans="1:15" ht="25.15" customHeight="1">
      <c r="C39" s="3" t="str">
        <f>'Obrazac kalkulacije'!$C$25</f>
        <v>__________________</v>
      </c>
      <c r="F39" s="841" t="str">
        <f>'Obrazac kalkulacije'!$F$25</f>
        <v>___________________</v>
      </c>
      <c r="G39" s="841"/>
      <c r="K39" s="3" t="str">
        <f>'Obrazac kalkulacije'!$C$25</f>
        <v>__________________</v>
      </c>
      <c r="N39" s="841" t="str">
        <f>'Obrazac kalkulacije'!$F$25</f>
        <v>___________________</v>
      </c>
      <c r="O39" s="841"/>
    </row>
    <row r="40" spans="1:15" ht="15" customHeight="1">
      <c r="F40" s="841"/>
      <c r="G40" s="841"/>
      <c r="N40" s="841"/>
      <c r="O40" s="841"/>
    </row>
    <row r="41" spans="1:15" ht="15" customHeight="1"/>
    <row r="42" spans="1:15" ht="15" customHeight="1">
      <c r="A42" s="149"/>
      <c r="B42" s="145" t="s">
        <v>561</v>
      </c>
      <c r="C42" s="836" t="s">
        <v>562</v>
      </c>
      <c r="D42" s="836"/>
      <c r="E42" s="836"/>
      <c r="F42" s="836"/>
      <c r="G42" s="836"/>
      <c r="I42" s="149"/>
      <c r="J42" s="145" t="s">
        <v>561</v>
      </c>
      <c r="K42" s="836" t="s">
        <v>562</v>
      </c>
      <c r="L42" s="836"/>
      <c r="M42" s="836"/>
      <c r="N42" s="836"/>
      <c r="O42" s="836"/>
    </row>
    <row r="43" spans="1:15" ht="150" customHeight="1">
      <c r="A43" s="9"/>
      <c r="B43" s="556" t="s">
        <v>573</v>
      </c>
      <c r="C43" s="852" t="s">
        <v>574</v>
      </c>
      <c r="D43" s="852"/>
      <c r="E43" s="852"/>
      <c r="F43" s="852"/>
      <c r="G43" s="852"/>
      <c r="I43" s="9"/>
      <c r="J43" s="41" t="s">
        <v>573</v>
      </c>
      <c r="K43" s="869" t="s">
        <v>574</v>
      </c>
      <c r="L43" s="869"/>
      <c r="M43" s="869"/>
      <c r="N43" s="869"/>
      <c r="O43" s="869"/>
    </row>
    <row r="44" spans="1:15" ht="15" customHeight="1" thickBot="1"/>
    <row r="45" spans="1:15" ht="30" customHeight="1" thickTop="1" thickBot="1">
      <c r="A45" s="10"/>
      <c r="B45" s="835" t="str">
        <f>'Obrazac kalkulacije'!$B$6:$C$6</f>
        <v>Opis</v>
      </c>
      <c r="C45" s="835"/>
      <c r="D45" s="10" t="str">
        <f>'Obrazac kalkulacije'!$D$6</f>
        <v>Jed.
mjere</v>
      </c>
      <c r="E45" s="10" t="str">
        <f>'Obrazac kalkulacije'!$E$6</f>
        <v>Normativ</v>
      </c>
      <c r="F45" s="10" t="str">
        <f>'Obrazac kalkulacije'!$F$6</f>
        <v>Jed.
cijena</v>
      </c>
      <c r="G45" s="10" t="str">
        <f>'Obrazac kalkulacije'!$G$6</f>
        <v>Iznos</v>
      </c>
      <c r="I45" s="10"/>
      <c r="J45" s="835" t="e">
        <f>'Obrazac kalkulacije'!$B$6:$C$6</f>
        <v>#VALUE!</v>
      </c>
      <c r="K45" s="835"/>
      <c r="L45" s="10" t="str">
        <f>'Obrazac kalkulacije'!$D$6</f>
        <v>Jed.
mjere</v>
      </c>
      <c r="M45" s="10" t="str">
        <f>'Obrazac kalkulacije'!$E$6</f>
        <v>Normativ</v>
      </c>
      <c r="N45" s="10" t="str">
        <f>'Obrazac kalkulacije'!$F$6</f>
        <v>Jed.
cijena</v>
      </c>
      <c r="O45" s="10" t="str">
        <f>'Obrazac kalkulacije'!$G$6</f>
        <v>Iznos</v>
      </c>
    </row>
    <row r="46" spans="1:15" ht="4.5" customHeight="1" thickTop="1">
      <c r="B46" s="42"/>
      <c r="C46" s="1"/>
      <c r="D46" s="11"/>
      <c r="E46" s="13"/>
      <c r="F46" s="258"/>
      <c r="G46" s="15"/>
      <c r="J46" s="42"/>
      <c r="K46" s="1"/>
      <c r="L46" s="11"/>
      <c r="M46" s="13"/>
      <c r="N46" s="258"/>
      <c r="O46" s="15"/>
    </row>
    <row r="47" spans="1:15" ht="25.15" customHeight="1">
      <c r="A47" s="16"/>
      <c r="B47" s="837" t="s">
        <v>565</v>
      </c>
      <c r="C47" s="837"/>
      <c r="D47" s="16"/>
      <c r="E47" s="16"/>
      <c r="F47" s="44"/>
      <c r="G47" s="18">
        <f>SUM(G48:G48)</f>
        <v>7.3905000000000012E-2</v>
      </c>
      <c r="I47" s="16"/>
      <c r="J47" s="837" t="s">
        <v>565</v>
      </c>
      <c r="K47" s="837"/>
      <c r="L47" s="16"/>
      <c r="M47" s="16"/>
      <c r="N47" s="44"/>
      <c r="O47" s="18">
        <f>SUM(O48:O48)</f>
        <v>7.3905000000000012E-2</v>
      </c>
    </row>
    <row r="48" spans="1:15" ht="25.15" customHeight="1">
      <c r="A48" s="32"/>
      <c r="B48" s="838" t="s">
        <v>53</v>
      </c>
      <c r="C48" s="838"/>
      <c r="D48" s="33" t="s">
        <v>51</v>
      </c>
      <c r="E48" s="34">
        <v>7.5000000000000002E-4</v>
      </c>
      <c r="F48" s="238">
        <f>SUMIF('Cjenik RS'!$C$11:$C$26,$B48,'Cjenik RS'!$D$11:$D$90)</f>
        <v>98.54</v>
      </c>
      <c r="G48" s="35">
        <f>E48*F48</f>
        <v>7.3905000000000012E-2</v>
      </c>
      <c r="H48" s="2">
        <f>E48*18000</f>
        <v>13.5</v>
      </c>
      <c r="I48" s="32"/>
      <c r="J48" s="838" t="s">
        <v>53</v>
      </c>
      <c r="K48" s="838"/>
      <c r="L48" s="33" t="s">
        <v>51</v>
      </c>
      <c r="M48" s="34">
        <v>7.5000000000000002E-4</v>
      </c>
      <c r="N48" s="238">
        <f>SUMIF('Cjenik RS'!$C$11:$C$26,J48,'Cjenik RS'!$D$11:$D$90)</f>
        <v>98.54</v>
      </c>
      <c r="O48" s="35">
        <f>M48*N48</f>
        <v>7.3905000000000012E-2</v>
      </c>
    </row>
    <row r="49" spans="1:15" ht="25.15" customHeight="1">
      <c r="A49" s="16"/>
      <c r="B49" s="837" t="s">
        <v>566</v>
      </c>
      <c r="C49" s="837"/>
      <c r="D49" s="16"/>
      <c r="E49" s="16"/>
      <c r="F49" s="238"/>
      <c r="G49" s="18">
        <f>SUM(G50:G54)</f>
        <v>0.56110147999999993</v>
      </c>
      <c r="I49" s="16"/>
      <c r="J49" s="837" t="s">
        <v>566</v>
      </c>
      <c r="K49" s="837"/>
      <c r="L49" s="16"/>
      <c r="M49" s="16"/>
      <c r="N49" s="238"/>
      <c r="O49" s="18">
        <f>SUM(O50:O54)</f>
        <v>0.19763155000000002</v>
      </c>
    </row>
    <row r="50" spans="1:15" ht="25.15" customHeight="1">
      <c r="A50" s="51"/>
      <c r="B50" s="863" t="s">
        <v>60</v>
      </c>
      <c r="C50" s="863"/>
      <c r="D50" s="52" t="s">
        <v>51</v>
      </c>
      <c r="E50" s="53">
        <v>6.5799999999999995E-4</v>
      </c>
      <c r="F50" s="260">
        <f>SUMIF('Cjenik VSO'!$B$9:$B$85,$B50,'Cjenik VSO'!$C$9:$C$85)</f>
        <v>328.73</v>
      </c>
      <c r="G50" s="55">
        <f>E50*F50</f>
        <v>0.21630433999999998</v>
      </c>
      <c r="H50" s="689">
        <f>SUM(8/E50)</f>
        <v>12158.054711246201</v>
      </c>
      <c r="I50" s="51"/>
      <c r="J50" s="863" t="s">
        <v>60</v>
      </c>
      <c r="K50" s="863"/>
      <c r="L50" s="52" t="s">
        <v>51</v>
      </c>
      <c r="M50" s="53">
        <v>1.56E-4</v>
      </c>
      <c r="N50" s="260">
        <f>SUMIF('Cjenik VSO'!$B$9:$B$85,$B50,'Cjenik VSO'!$C$9:$C$85)</f>
        <v>328.73</v>
      </c>
      <c r="O50" s="55">
        <f>M50*N50</f>
        <v>5.1281880000000002E-2</v>
      </c>
    </row>
    <row r="51" spans="1:15" ht="25.15" customHeight="1">
      <c r="A51" s="56"/>
      <c r="B51" s="834" t="s">
        <v>570</v>
      </c>
      <c r="C51" s="834"/>
      <c r="D51" s="57" t="s">
        <v>51</v>
      </c>
      <c r="E51" s="58">
        <v>8.2600000000000002E-4</v>
      </c>
      <c r="F51" s="263">
        <f>SUMIF('Cjenik VSO'!$B$9:$B$85,$B51,'Cjenik VSO'!$C$9:$C$85)</f>
        <v>293.52999999999997</v>
      </c>
      <c r="G51" s="60">
        <f>E51*F51</f>
        <v>0.24245577999999998</v>
      </c>
      <c r="H51" s="2">
        <f>SUM(8/E51)</f>
        <v>9685.230024213075</v>
      </c>
      <c r="I51" s="56"/>
      <c r="J51" s="834" t="s">
        <v>570</v>
      </c>
      <c r="K51" s="834"/>
      <c r="L51" s="57" t="s">
        <v>51</v>
      </c>
      <c r="M51" s="58">
        <v>2.9100000000000003E-4</v>
      </c>
      <c r="N51" s="263">
        <f>SUMIF('Cjenik VSO'!$B$9:$B$85,$B51,'Cjenik VSO'!$C$9:$C$85)</f>
        <v>293.52999999999997</v>
      </c>
      <c r="O51" s="60">
        <f>M51*N51</f>
        <v>8.5417229999999997E-2</v>
      </c>
    </row>
    <row r="52" spans="1:15" ht="25.15" customHeight="1">
      <c r="A52" s="56"/>
      <c r="B52" s="834" t="s">
        <v>575</v>
      </c>
      <c r="C52" s="834"/>
      <c r="D52" s="57" t="s">
        <v>51</v>
      </c>
      <c r="E52" s="58">
        <v>6.5399999999999996E-4</v>
      </c>
      <c r="F52" s="263">
        <f>SUMIF('Cjenik VSO'!$B$9:$B$85,$B52,'Cjenik VSO'!$C$9:$C$85)</f>
        <v>69.52</v>
      </c>
      <c r="G52" s="60">
        <f>E52*F52</f>
        <v>4.5466079999999992E-2</v>
      </c>
      <c r="I52" s="56"/>
      <c r="J52" s="834" t="s">
        <v>575</v>
      </c>
      <c r="K52" s="834"/>
      <c r="L52" s="57" t="s">
        <v>51</v>
      </c>
      <c r="M52" s="58">
        <v>1.4300000000000001E-4</v>
      </c>
      <c r="N52" s="263">
        <f>SUMIF('Cjenik VSO'!$B$9:$B$85,$B52,'Cjenik VSO'!$C$9:$C$85)</f>
        <v>69.52</v>
      </c>
      <c r="O52" s="60">
        <f>M52*N52</f>
        <v>9.9413599999999998E-3</v>
      </c>
    </row>
    <row r="53" spans="1:15" ht="25.15" customHeight="1">
      <c r="A53" s="77"/>
      <c r="B53" s="888" t="s">
        <v>576</v>
      </c>
      <c r="C53" s="888"/>
      <c r="D53" s="78" t="s">
        <v>51</v>
      </c>
      <c r="E53" s="79">
        <v>3.5599999999999998E-4</v>
      </c>
      <c r="F53" s="265">
        <f>SUMIF('Cjenik VSO'!$B$9:$B$85,$B53,'Cjenik VSO'!$C$9:$C$85)</f>
        <v>65.38</v>
      </c>
      <c r="G53" s="80">
        <f>E53*F53</f>
        <v>2.3275279999999995E-2</v>
      </c>
      <c r="I53" s="77"/>
      <c r="J53" s="888" t="s">
        <v>576</v>
      </c>
      <c r="K53" s="888"/>
      <c r="L53" s="78" t="s">
        <v>51</v>
      </c>
      <c r="M53" s="79">
        <v>2.6600000000000001E-4</v>
      </c>
      <c r="N53" s="265">
        <f>SUMIF('Cjenik VSO'!$B$9:$B$85,$B53,'Cjenik VSO'!$C$9:$C$85)</f>
        <v>65.38</v>
      </c>
      <c r="O53" s="80">
        <f>M53*N53</f>
        <v>1.739108E-2</v>
      </c>
    </row>
    <row r="54" spans="1:15" ht="25.15" customHeight="1" thickBot="1">
      <c r="A54" s="74"/>
      <c r="B54" s="887" t="s">
        <v>567</v>
      </c>
      <c r="C54" s="887"/>
      <c r="D54" s="67" t="s">
        <v>51</v>
      </c>
      <c r="E54" s="81">
        <v>7.5000000000000002E-4</v>
      </c>
      <c r="F54" s="262">
        <f>SUMIF('Cjenik VSO'!$B$9:$B$85,$B54,'Cjenik VSO'!$C$9:$C$85)</f>
        <v>44.8</v>
      </c>
      <c r="G54" s="70">
        <f>E54*F54</f>
        <v>3.3599999999999998E-2</v>
      </c>
      <c r="I54" s="74"/>
      <c r="J54" s="887" t="s">
        <v>567</v>
      </c>
      <c r="K54" s="887"/>
      <c r="L54" s="67" t="s">
        <v>51</v>
      </c>
      <c r="M54" s="81">
        <v>7.5000000000000002E-4</v>
      </c>
      <c r="N54" s="262">
        <f>SUMIF('Cjenik VSO'!$B$9:$B$85,$B54,'Cjenik VSO'!$C$9:$C$85)</f>
        <v>44.8</v>
      </c>
      <c r="O54" s="70">
        <f>M54*N54</f>
        <v>3.3599999999999998E-2</v>
      </c>
    </row>
    <row r="55" spans="1:15" ht="25.15" customHeight="1" thickTop="1" thickBot="1">
      <c r="B55" s="47"/>
      <c r="C55" s="24"/>
      <c r="D55" s="25"/>
      <c r="E55" s="850" t="str">
        <f>'Obrazac kalkulacije'!$E$18</f>
        <v>Ukupno (kn):</v>
      </c>
      <c r="F55" s="850"/>
      <c r="G55" s="26">
        <f>ROUND(SUM(G47+G49),2)</f>
        <v>0.64</v>
      </c>
      <c r="H55" s="269">
        <f>SUM(G55*1.5)</f>
        <v>0.96</v>
      </c>
      <c r="J55" s="47"/>
      <c r="K55" s="24"/>
      <c r="L55" s="25"/>
      <c r="M55" s="850" t="str">
        <f>'Obrazac kalkulacije'!$E$18</f>
        <v>Ukupno (kn):</v>
      </c>
      <c r="N55" s="850"/>
      <c r="O55" s="26">
        <f>ROUND(SUM(O47+O49),2)</f>
        <v>0.27</v>
      </c>
    </row>
    <row r="56" spans="1:15" ht="25.15" customHeight="1" thickTop="1" thickBot="1">
      <c r="E56" s="27" t="str">
        <f>'Obrazac kalkulacije'!$E$19</f>
        <v>PDV:</v>
      </c>
      <c r="F56" s="259">
        <f>'Obrazac kalkulacije'!$F$19</f>
        <v>0.25</v>
      </c>
      <c r="G56" s="29">
        <f>G55*F56</f>
        <v>0.16</v>
      </c>
      <c r="H56" s="270"/>
      <c r="M56" s="27" t="str">
        <f>'Obrazac kalkulacije'!$E$19</f>
        <v>PDV:</v>
      </c>
      <c r="N56" s="259">
        <f>'Obrazac kalkulacije'!$F$19</f>
        <v>0.25</v>
      </c>
      <c r="O56" s="29">
        <f>O55*N56</f>
        <v>6.7500000000000004E-2</v>
      </c>
    </row>
    <row r="57" spans="1:15" ht="25.15" customHeight="1" thickTop="1" thickBot="1">
      <c r="E57" s="840" t="str">
        <f>'Obrazac kalkulacije'!$E$20</f>
        <v>Sveukupno (kn):</v>
      </c>
      <c r="F57" s="840"/>
      <c r="G57" s="29">
        <f>ROUND(SUM(G55:G56),2)</f>
        <v>0.8</v>
      </c>
      <c r="H57" s="271"/>
      <c r="J57" s="37">
        <f>SUM(F48*8)</f>
        <v>788.32</v>
      </c>
      <c r="M57" s="840" t="str">
        <f>'Obrazac kalkulacije'!$E$20</f>
        <v>Sveukupno (kn):</v>
      </c>
      <c r="N57" s="840"/>
      <c r="O57" s="29">
        <f>ROUND(SUM(O55:O56),2)</f>
        <v>0.34</v>
      </c>
    </row>
    <row r="58" spans="1:15" ht="15" customHeight="1" thickTop="1">
      <c r="J58" s="37">
        <f>SUM(F54*8)</f>
        <v>358.4</v>
      </c>
    </row>
    <row r="59" spans="1:15" ht="15" customHeight="1">
      <c r="J59" s="37">
        <f>SUM(F50*8)</f>
        <v>2629.84</v>
      </c>
    </row>
    <row r="60" spans="1:15" ht="15" customHeight="1">
      <c r="J60" s="37">
        <f>SUM(F51*8)</f>
        <v>2348.2399999999998</v>
      </c>
    </row>
    <row r="61" spans="1:15" ht="15" customHeight="1">
      <c r="C61" s="3" t="str">
        <f>'Obrazac kalkulacije'!$C$24</f>
        <v>IZVODITELJ:</v>
      </c>
      <c r="F61" s="841" t="str">
        <f>'Obrazac kalkulacije'!$F$24</f>
        <v>NARUČITELJ:</v>
      </c>
      <c r="G61" s="841"/>
      <c r="H61" s="2">
        <f>SUM(H50*0.085)</f>
        <v>1033.4346504559271</v>
      </c>
      <c r="J61" s="37">
        <f>SUM(F52*8)</f>
        <v>556.16</v>
      </c>
      <c r="K61" s="3" t="str">
        <f>'Obrazac kalkulacije'!$C$24</f>
        <v>IZVODITELJ:</v>
      </c>
      <c r="N61" s="841" t="str">
        <f>'Obrazac kalkulacije'!$F$24</f>
        <v>NARUČITELJ:</v>
      </c>
      <c r="O61" s="841"/>
    </row>
    <row r="62" spans="1:15" ht="25.15" customHeight="1">
      <c r="C62" s="3" t="str">
        <f>'Obrazac kalkulacije'!$C$25</f>
        <v>__________________</v>
      </c>
      <c r="F62" s="841" t="str">
        <f>'Obrazac kalkulacije'!$F$25</f>
        <v>___________________</v>
      </c>
      <c r="G62" s="841"/>
      <c r="J62" s="37">
        <f>SUM(J57:J61)</f>
        <v>6680.96</v>
      </c>
      <c r="K62" s="3" t="str">
        <f>'Obrazac kalkulacije'!$C$25</f>
        <v>__________________</v>
      </c>
      <c r="N62" s="841" t="str">
        <f>'Obrazac kalkulacije'!$F$25</f>
        <v>___________________</v>
      </c>
      <c r="O62" s="841"/>
    </row>
    <row r="63" spans="1:15" ht="15" customHeight="1">
      <c r="F63" s="841"/>
      <c r="G63" s="841"/>
      <c r="N63" s="841"/>
      <c r="O63" s="841"/>
    </row>
    <row r="64" spans="1:15" ht="15" customHeight="1"/>
    <row r="65" spans="1:15" ht="15" customHeight="1">
      <c r="A65" s="149"/>
      <c r="B65" s="145" t="s">
        <v>561</v>
      </c>
      <c r="C65" s="836" t="s">
        <v>562</v>
      </c>
      <c r="D65" s="836"/>
      <c r="E65" s="836"/>
      <c r="F65" s="836"/>
      <c r="G65" s="836"/>
      <c r="I65" s="149"/>
      <c r="J65" s="145" t="s">
        <v>561</v>
      </c>
      <c r="K65" s="836" t="s">
        <v>562</v>
      </c>
      <c r="L65" s="836"/>
      <c r="M65" s="836"/>
      <c r="N65" s="836"/>
      <c r="O65" s="836"/>
    </row>
    <row r="66" spans="1:15" ht="150" customHeight="1">
      <c r="A66" s="9"/>
      <c r="B66" s="556" t="s">
        <v>577</v>
      </c>
      <c r="C66" s="852" t="s">
        <v>578</v>
      </c>
      <c r="D66" s="852"/>
      <c r="E66" s="852"/>
      <c r="F66" s="852"/>
      <c r="G66" s="852"/>
      <c r="I66" s="9"/>
      <c r="J66" s="41" t="s">
        <v>577</v>
      </c>
      <c r="K66" s="869" t="s">
        <v>579</v>
      </c>
      <c r="L66" s="869"/>
      <c r="M66" s="869"/>
      <c r="N66" s="869"/>
      <c r="O66" s="869"/>
    </row>
    <row r="67" spans="1:15" ht="15" customHeight="1" thickBot="1"/>
    <row r="68" spans="1:15" ht="30" customHeight="1" thickTop="1" thickBot="1">
      <c r="A68" s="10"/>
      <c r="B68" s="835" t="str">
        <f>'Obrazac kalkulacije'!$B$6:$C$6</f>
        <v>Opis</v>
      </c>
      <c r="C68" s="835"/>
      <c r="D68" s="10" t="str">
        <f>'Obrazac kalkulacije'!$D$6</f>
        <v>Jed.
mjere</v>
      </c>
      <c r="E68" s="10" t="str">
        <f>'Obrazac kalkulacije'!$E$6</f>
        <v>Normativ</v>
      </c>
      <c r="F68" s="10" t="str">
        <f>'Obrazac kalkulacije'!$F$6</f>
        <v>Jed.
cijena</v>
      </c>
      <c r="G68" s="10" t="str">
        <f>'Obrazac kalkulacije'!$G$6</f>
        <v>Iznos</v>
      </c>
      <c r="I68" s="10"/>
      <c r="J68" s="835" t="e">
        <f>'Obrazac kalkulacije'!$B$6:$C$6</f>
        <v>#VALUE!</v>
      </c>
      <c r="K68" s="835"/>
      <c r="L68" s="10" t="str">
        <f>'Obrazac kalkulacije'!$D$6</f>
        <v>Jed.
mjere</v>
      </c>
      <c r="M68" s="10" t="str">
        <f>'Obrazac kalkulacije'!$E$6</f>
        <v>Normativ</v>
      </c>
      <c r="N68" s="10" t="str">
        <f>'Obrazac kalkulacije'!$F$6</f>
        <v>Jed.
cijena</v>
      </c>
      <c r="O68" s="10" t="str">
        <f>'Obrazac kalkulacije'!$G$6</f>
        <v>Iznos</v>
      </c>
    </row>
    <row r="69" spans="1:15" ht="4.5" customHeight="1" thickTop="1">
      <c r="B69" s="42"/>
      <c r="C69" s="1"/>
      <c r="D69" s="11"/>
      <c r="E69" s="13"/>
      <c r="F69" s="258"/>
      <c r="G69" s="15"/>
      <c r="J69" s="42"/>
      <c r="K69" s="1"/>
      <c r="L69" s="11"/>
      <c r="M69" s="13"/>
      <c r="N69" s="258"/>
      <c r="O69" s="15"/>
    </row>
    <row r="70" spans="1:15" ht="25.15" customHeight="1">
      <c r="A70" s="16"/>
      <c r="B70" s="837" t="s">
        <v>565</v>
      </c>
      <c r="C70" s="837"/>
      <c r="D70" s="16"/>
      <c r="E70" s="16"/>
      <c r="F70" s="44"/>
      <c r="G70" s="18">
        <f>SUM(G71:G71)</f>
        <v>5.1240799999999996E-2</v>
      </c>
      <c r="I70" s="16"/>
      <c r="J70" s="837" t="s">
        <v>565</v>
      </c>
      <c r="K70" s="837"/>
      <c r="L70" s="16"/>
      <c r="M70" s="16"/>
      <c r="N70" s="44"/>
      <c r="O70" s="18">
        <f>SUM(O71:O71)</f>
        <v>4.2372199999999999E-2</v>
      </c>
    </row>
    <row r="71" spans="1:15" ht="25.15" customHeight="1">
      <c r="A71" s="32"/>
      <c r="B71" s="854" t="s">
        <v>53</v>
      </c>
      <c r="C71" s="854"/>
      <c r="D71" s="33" t="s">
        <v>51</v>
      </c>
      <c r="E71" s="670">
        <v>5.1999999999999995E-4</v>
      </c>
      <c r="F71" s="238">
        <f>SUMIF('Cjenik RS'!$C$11:$C$26,$B71,'Cjenik RS'!$D$11:$D$90)</f>
        <v>98.54</v>
      </c>
      <c r="G71" s="35">
        <f>E71*F71</f>
        <v>5.1240799999999996E-2</v>
      </c>
      <c r="H71" s="2">
        <f>E71*17000</f>
        <v>8.84</v>
      </c>
      <c r="I71" s="32"/>
      <c r="J71" s="854" t="s">
        <v>53</v>
      </c>
      <c r="K71" s="854"/>
      <c r="L71" s="33" t="s">
        <v>51</v>
      </c>
      <c r="M71" s="34">
        <v>4.2999999999999999E-4</v>
      </c>
      <c r="N71" s="238">
        <f>SUMIF('Cjenik RS'!$C$11:$C$26,J71,'Cjenik RS'!$D$11:$D$90)</f>
        <v>98.54</v>
      </c>
      <c r="O71" s="35">
        <f>M71*N71</f>
        <v>4.2372199999999999E-2</v>
      </c>
    </row>
    <row r="72" spans="1:15" ht="25.15" customHeight="1">
      <c r="A72" s="16"/>
      <c r="B72" s="837" t="s">
        <v>566</v>
      </c>
      <c r="C72" s="837"/>
      <c r="D72" s="16"/>
      <c r="E72" s="16"/>
      <c r="F72" s="238"/>
      <c r="G72" s="18">
        <f>SUM(G73:G77)</f>
        <v>0.19173029999999999</v>
      </c>
      <c r="I72" s="16"/>
      <c r="J72" s="837" t="s">
        <v>566</v>
      </c>
      <c r="K72" s="837"/>
      <c r="L72" s="16"/>
      <c r="M72" s="16"/>
      <c r="N72" s="238"/>
      <c r="O72" s="18">
        <f>SUM(O73:O77)</f>
        <v>0.19173029999999999</v>
      </c>
    </row>
    <row r="73" spans="1:15" ht="25.15" customHeight="1">
      <c r="A73" s="51"/>
      <c r="B73" s="863" t="s">
        <v>60</v>
      </c>
      <c r="C73" s="863"/>
      <c r="D73" s="52" t="s">
        <v>51</v>
      </c>
      <c r="E73" s="53">
        <v>1.64E-4</v>
      </c>
      <c r="F73" s="260">
        <f>SUMIF('Cjenik VSO'!$B$9:$B$85,$B73,'Cjenik VSO'!$C$9:$C$85)</f>
        <v>328.73</v>
      </c>
      <c r="G73" s="55">
        <f>E73*F73</f>
        <v>5.3911720000000003E-2</v>
      </c>
      <c r="H73" s="2">
        <f>8/0.00047</f>
        <v>17021.276595744683</v>
      </c>
      <c r="I73" s="51"/>
      <c r="J73" s="863" t="s">
        <v>60</v>
      </c>
      <c r="K73" s="863"/>
      <c r="L73" s="52" t="s">
        <v>51</v>
      </c>
      <c r="M73" s="53">
        <v>1.64E-4</v>
      </c>
      <c r="N73" s="260">
        <f>SUMIF('Cjenik VSO'!$B$9:$B$85,$B73,'Cjenik VSO'!$C$9:$C$85)</f>
        <v>328.73</v>
      </c>
      <c r="O73" s="55">
        <f>M73*N73</f>
        <v>5.3911720000000003E-2</v>
      </c>
    </row>
    <row r="74" spans="1:15" ht="25.15" customHeight="1">
      <c r="A74" s="56"/>
      <c r="B74" s="834" t="s">
        <v>570</v>
      </c>
      <c r="C74" s="834"/>
      <c r="D74" s="57" t="s">
        <v>51</v>
      </c>
      <c r="E74" s="58">
        <v>3.0600000000000001E-4</v>
      </c>
      <c r="F74" s="263">
        <f>SUMIF('Cjenik VSO'!$B$9:$B$85,$B74,'Cjenik VSO'!$C$9:$C$85)</f>
        <v>293.52999999999997</v>
      </c>
      <c r="G74" s="60">
        <f>E74*F74</f>
        <v>8.9820179999999999E-2</v>
      </c>
      <c r="I74" s="56"/>
      <c r="J74" s="834" t="s">
        <v>570</v>
      </c>
      <c r="K74" s="834"/>
      <c r="L74" s="57" t="s">
        <v>51</v>
      </c>
      <c r="M74" s="58">
        <v>3.0600000000000001E-4</v>
      </c>
      <c r="N74" s="263">
        <f>SUMIF('Cjenik VSO'!$B$9:$B$85,$B74,'Cjenik VSO'!$C$9:$C$85)</f>
        <v>293.52999999999997</v>
      </c>
      <c r="O74" s="60">
        <f>M74*N74</f>
        <v>8.9820179999999999E-2</v>
      </c>
    </row>
    <row r="75" spans="1:15" ht="25.15" customHeight="1">
      <c r="A75" s="56"/>
      <c r="B75" s="834" t="s">
        <v>575</v>
      </c>
      <c r="C75" s="834"/>
      <c r="D75" s="57" t="s">
        <v>51</v>
      </c>
      <c r="E75" s="58">
        <v>1.4999999999999999E-4</v>
      </c>
      <c r="F75" s="263">
        <f>SUMIF('Cjenik VSO'!$B$9:$B$85,$B75,'Cjenik VSO'!$C$9:$C$85)</f>
        <v>69.52</v>
      </c>
      <c r="G75" s="60">
        <f>E75*F75</f>
        <v>1.0427999999999998E-2</v>
      </c>
      <c r="I75" s="56"/>
      <c r="J75" s="834" t="s">
        <v>575</v>
      </c>
      <c r="K75" s="834"/>
      <c r="L75" s="57" t="s">
        <v>51</v>
      </c>
      <c r="M75" s="58">
        <v>1.4999999999999999E-4</v>
      </c>
      <c r="N75" s="263">
        <f>SUMIF('Cjenik VSO'!$B$9:$B$85,$B75,'Cjenik VSO'!$C$9:$C$85)</f>
        <v>69.52</v>
      </c>
      <c r="O75" s="60">
        <f>M75*N75</f>
        <v>1.0427999999999998E-2</v>
      </c>
    </row>
    <row r="76" spans="1:15" ht="25.15" customHeight="1">
      <c r="A76" s="77"/>
      <c r="B76" s="888" t="s">
        <v>576</v>
      </c>
      <c r="C76" s="888"/>
      <c r="D76" s="78" t="s">
        <v>51</v>
      </c>
      <c r="E76" s="79">
        <v>2.7999999999999998E-4</v>
      </c>
      <c r="F76" s="265">
        <f>SUMIF('Cjenik VSO'!$B$9:$B$85,$B76,'Cjenik VSO'!$C$9:$C$85)</f>
        <v>65.38</v>
      </c>
      <c r="G76" s="80">
        <f>E76*F76</f>
        <v>1.8306399999999997E-2</v>
      </c>
      <c r="I76" s="77"/>
      <c r="J76" s="888" t="s">
        <v>576</v>
      </c>
      <c r="K76" s="888"/>
      <c r="L76" s="78" t="s">
        <v>51</v>
      </c>
      <c r="M76" s="79">
        <v>2.7999999999999998E-4</v>
      </c>
      <c r="N76" s="265">
        <f>SUMIF('Cjenik VSO'!$B$9:$B$85,$B76,'Cjenik VSO'!$C$9:$C$85)</f>
        <v>65.38</v>
      </c>
      <c r="O76" s="80">
        <f>M76*N76</f>
        <v>1.8306399999999997E-2</v>
      </c>
    </row>
    <row r="77" spans="1:15" ht="25.15" customHeight="1" thickBot="1">
      <c r="A77" s="74"/>
      <c r="B77" s="887" t="s">
        <v>567</v>
      </c>
      <c r="C77" s="887"/>
      <c r="D77" s="67" t="s">
        <v>51</v>
      </c>
      <c r="E77" s="81">
        <v>4.2999999999999999E-4</v>
      </c>
      <c r="F77" s="262">
        <f>SUMIF('Cjenik VSO'!$B$9:$B$85,$B77,'Cjenik VSO'!$C$9:$C$85)</f>
        <v>44.8</v>
      </c>
      <c r="G77" s="70">
        <f>E77*F77</f>
        <v>1.9264E-2</v>
      </c>
      <c r="I77" s="74"/>
      <c r="J77" s="887" t="s">
        <v>567</v>
      </c>
      <c r="K77" s="887"/>
      <c r="L77" s="67" t="s">
        <v>51</v>
      </c>
      <c r="M77" s="81">
        <v>4.2999999999999999E-4</v>
      </c>
      <c r="N77" s="262">
        <f>SUMIF('Cjenik VSO'!$B$9:$B$85,$B77,'Cjenik VSO'!$C$9:$C$85)</f>
        <v>44.8</v>
      </c>
      <c r="O77" s="70">
        <f>M77*N77</f>
        <v>1.9264E-2</v>
      </c>
    </row>
    <row r="78" spans="1:15" ht="25.15" customHeight="1" thickTop="1" thickBot="1">
      <c r="B78" s="47"/>
      <c r="C78" s="24"/>
      <c r="D78" s="25"/>
      <c r="E78" s="850" t="str">
        <f>'Obrazac kalkulacije'!$E$18</f>
        <v>Ukupno (kn):</v>
      </c>
      <c r="F78" s="850"/>
      <c r="G78" s="26">
        <f>ROUND(SUM(G70+G72),2)</f>
        <v>0.24</v>
      </c>
      <c r="H78" s="269" t="e">
        <f>SUMIF(#REF!,$B66,#REF!)</f>
        <v>#REF!</v>
      </c>
      <c r="J78" s="47"/>
      <c r="K78" s="24"/>
      <c r="L78" s="25"/>
      <c r="M78" s="850" t="str">
        <f>'Obrazac kalkulacije'!$E$18</f>
        <v>Ukupno (kn):</v>
      </c>
      <c r="N78" s="850"/>
      <c r="O78" s="26">
        <f>ROUND(SUM(O70+O72),2)</f>
        <v>0.23</v>
      </c>
    </row>
    <row r="79" spans="1:15" ht="25.15" customHeight="1" thickTop="1" thickBot="1">
      <c r="E79" s="27" t="str">
        <f>'Obrazac kalkulacije'!$E$19</f>
        <v>PDV:</v>
      </c>
      <c r="F79" s="259">
        <f>'Obrazac kalkulacije'!$F$19</f>
        <v>0.25</v>
      </c>
      <c r="G79" s="29">
        <f>G78*F79</f>
        <v>0.06</v>
      </c>
      <c r="H79" s="270" t="e">
        <f>H78-G78</f>
        <v>#REF!</v>
      </c>
      <c r="M79" s="27" t="str">
        <f>'Obrazac kalkulacije'!$E$19</f>
        <v>PDV:</v>
      </c>
      <c r="N79" s="259">
        <f>'Obrazac kalkulacije'!$F$19</f>
        <v>0.25</v>
      </c>
      <c r="O79" s="29">
        <f>O78*N79</f>
        <v>5.7500000000000002E-2</v>
      </c>
    </row>
    <row r="80" spans="1:15" ht="25.15" customHeight="1" thickTop="1" thickBot="1">
      <c r="E80" s="840" t="str">
        <f>'Obrazac kalkulacije'!$E$20</f>
        <v>Sveukupno (kn):</v>
      </c>
      <c r="F80" s="840"/>
      <c r="G80" s="29">
        <f>ROUND(SUM(G78:G79),2)</f>
        <v>0.3</v>
      </c>
      <c r="H80" s="271" t="e">
        <f>G76+H79</f>
        <v>#REF!</v>
      </c>
      <c r="M80" s="840" t="str">
        <f>'Obrazac kalkulacije'!$E$20</f>
        <v>Sveukupno (kn):</v>
      </c>
      <c r="N80" s="840"/>
      <c r="O80" s="29">
        <f>ROUND(SUM(O78:O79),2)</f>
        <v>0.28999999999999998</v>
      </c>
    </row>
    <row r="81" spans="1:15" ht="15" customHeight="1" thickTop="1"/>
    <row r="82" spans="1:15" ht="15" customHeight="1"/>
    <row r="83" spans="1:15" ht="15" customHeight="1"/>
    <row r="84" spans="1:15" ht="15" customHeight="1">
      <c r="C84" s="3" t="str">
        <f>'Obrazac kalkulacije'!$C$24</f>
        <v>IZVODITELJ:</v>
      </c>
      <c r="F84" s="841" t="str">
        <f>'Obrazac kalkulacije'!$F$24</f>
        <v>NARUČITELJ:</v>
      </c>
      <c r="G84" s="841"/>
      <c r="K84" s="3" t="str">
        <f>'Obrazac kalkulacije'!$C$24</f>
        <v>IZVODITELJ:</v>
      </c>
      <c r="N84" s="841" t="str">
        <f>'Obrazac kalkulacije'!$F$24</f>
        <v>NARUČITELJ:</v>
      </c>
      <c r="O84" s="841"/>
    </row>
    <row r="85" spans="1:15" ht="25.15" customHeight="1">
      <c r="C85" s="3" t="str">
        <f>'Obrazac kalkulacije'!$C$25</f>
        <v>__________________</v>
      </c>
      <c r="F85" s="841" t="str">
        <f>'Obrazac kalkulacije'!$F$25</f>
        <v>___________________</v>
      </c>
      <c r="G85" s="841"/>
      <c r="K85" s="3" t="str">
        <f>'Obrazac kalkulacije'!$C$25</f>
        <v>__________________</v>
      </c>
      <c r="N85" s="841" t="str">
        <f>'Obrazac kalkulacije'!$F$25</f>
        <v>___________________</v>
      </c>
      <c r="O85" s="841"/>
    </row>
    <row r="86" spans="1:15" ht="15" customHeight="1">
      <c r="F86" s="841"/>
      <c r="G86" s="841"/>
      <c r="N86" s="841"/>
      <c r="O86" s="841"/>
    </row>
    <row r="87" spans="1:15" ht="15" customHeight="1"/>
    <row r="88" spans="1:15" ht="15" customHeight="1">
      <c r="A88" s="149"/>
      <c r="B88" s="145" t="s">
        <v>561</v>
      </c>
      <c r="C88" s="836" t="s">
        <v>562</v>
      </c>
      <c r="D88" s="836"/>
      <c r="E88" s="836"/>
      <c r="F88" s="836"/>
      <c r="G88" s="836"/>
      <c r="I88" s="149"/>
      <c r="J88" s="145" t="s">
        <v>561</v>
      </c>
      <c r="K88" s="836" t="s">
        <v>562</v>
      </c>
      <c r="L88" s="836"/>
      <c r="M88" s="836"/>
      <c r="N88" s="836"/>
      <c r="O88" s="836"/>
    </row>
    <row r="89" spans="1:15" ht="150" customHeight="1">
      <c r="A89" s="9"/>
      <c r="B89" s="556" t="s">
        <v>580</v>
      </c>
      <c r="C89" s="852" t="s">
        <v>581</v>
      </c>
      <c r="D89" s="852"/>
      <c r="E89" s="852"/>
      <c r="F89" s="852"/>
      <c r="G89" s="852"/>
      <c r="I89" s="9"/>
      <c r="J89" s="41" t="s">
        <v>580</v>
      </c>
      <c r="K89" s="869" t="s">
        <v>582</v>
      </c>
      <c r="L89" s="869"/>
      <c r="M89" s="869"/>
      <c r="N89" s="869"/>
      <c r="O89" s="869"/>
    </row>
    <row r="90" spans="1:15" ht="15" customHeight="1" thickBot="1"/>
    <row r="91" spans="1:15" ht="30" customHeight="1" thickTop="1" thickBot="1">
      <c r="A91" s="10"/>
      <c r="B91" s="835" t="str">
        <f>'Obrazac kalkulacije'!$B$6:$C$6</f>
        <v>Opis</v>
      </c>
      <c r="C91" s="835"/>
      <c r="D91" s="10" t="str">
        <f>'Obrazac kalkulacije'!$D$6</f>
        <v>Jed.
mjere</v>
      </c>
      <c r="E91" s="10" t="str">
        <f>'Obrazac kalkulacije'!$E$6</f>
        <v>Normativ</v>
      </c>
      <c r="F91" s="10" t="str">
        <f>'Obrazac kalkulacije'!$F$6</f>
        <v>Jed.
cijena</v>
      </c>
      <c r="G91" s="10" t="str">
        <f>'Obrazac kalkulacije'!$G$6</f>
        <v>Iznos</v>
      </c>
      <c r="I91" s="10"/>
      <c r="J91" s="835" t="e">
        <f>'Obrazac kalkulacije'!$B$6:$C$6</f>
        <v>#VALUE!</v>
      </c>
      <c r="K91" s="835"/>
      <c r="L91" s="10" t="str">
        <f>'Obrazac kalkulacije'!$D$6</f>
        <v>Jed.
mjere</v>
      </c>
      <c r="M91" s="10" t="str">
        <f>'Obrazac kalkulacije'!$E$6</f>
        <v>Normativ</v>
      </c>
      <c r="N91" s="10" t="str">
        <f>'Obrazac kalkulacije'!$F$6</f>
        <v>Jed.
cijena</v>
      </c>
      <c r="O91" s="10" t="str">
        <f>'Obrazac kalkulacije'!$G$6</f>
        <v>Iznos</v>
      </c>
    </row>
    <row r="92" spans="1:15" ht="4.5" customHeight="1" thickTop="1">
      <c r="B92" s="42"/>
      <c r="C92" s="1"/>
      <c r="D92" s="11"/>
      <c r="E92" s="13"/>
      <c r="F92" s="258"/>
      <c r="G92" s="15"/>
      <c r="J92" s="42"/>
      <c r="K92" s="1"/>
      <c r="L92" s="11"/>
      <c r="M92" s="13"/>
      <c r="N92" s="258"/>
      <c r="O92" s="15"/>
    </row>
    <row r="93" spans="1:15" ht="25.15" customHeight="1">
      <c r="A93" s="16"/>
      <c r="B93" s="837" t="s">
        <v>565</v>
      </c>
      <c r="C93" s="837"/>
      <c r="D93" s="16"/>
      <c r="E93" s="16"/>
      <c r="F93" s="44"/>
      <c r="G93" s="18">
        <f>SUM(G94:G94)</f>
        <v>8.8686000000000001E-2</v>
      </c>
      <c r="I93" s="16"/>
      <c r="J93" s="837" t="s">
        <v>565</v>
      </c>
      <c r="K93" s="837"/>
      <c r="L93" s="16"/>
      <c r="M93" s="16"/>
      <c r="N93" s="44"/>
      <c r="O93" s="18">
        <f>SUM(O94:O94)</f>
        <v>6.0503559999999998E-2</v>
      </c>
    </row>
    <row r="94" spans="1:15" ht="25.15" customHeight="1">
      <c r="A94" s="32"/>
      <c r="B94" s="854" t="s">
        <v>53</v>
      </c>
      <c r="C94" s="854"/>
      <c r="D94" s="33" t="s">
        <v>51</v>
      </c>
      <c r="E94" s="670">
        <v>8.9999999999999998E-4</v>
      </c>
      <c r="F94" s="238">
        <f>SUMIF('Cjenik RS'!$C$11:$C$26,$B94,'Cjenik RS'!$D$11:$D$90)</f>
        <v>98.54</v>
      </c>
      <c r="G94" s="35">
        <f>E94*F94</f>
        <v>8.8686000000000001E-2</v>
      </c>
      <c r="I94" s="32"/>
      <c r="J94" s="854" t="s">
        <v>53</v>
      </c>
      <c r="K94" s="854"/>
      <c r="L94" s="33" t="s">
        <v>51</v>
      </c>
      <c r="M94" s="34">
        <v>6.1399999999999996E-4</v>
      </c>
      <c r="N94" s="238">
        <f>SUMIF('Cjenik RS'!$C$11:$C$26,J94,'Cjenik RS'!$D$11:$D$90)</f>
        <v>98.54</v>
      </c>
      <c r="O94" s="35">
        <f>M94*N94</f>
        <v>6.0503559999999998E-2</v>
      </c>
    </row>
    <row r="95" spans="1:15" ht="25.15" customHeight="1">
      <c r="A95" s="16"/>
      <c r="B95" s="837" t="s">
        <v>566</v>
      </c>
      <c r="C95" s="837"/>
      <c r="D95" s="16"/>
      <c r="E95" s="16"/>
      <c r="F95" s="238"/>
      <c r="G95" s="18">
        <f>SUM(G96:G100)</f>
        <v>0.27373190999999997</v>
      </c>
      <c r="I95" s="16"/>
      <c r="J95" s="837" t="s">
        <v>566</v>
      </c>
      <c r="K95" s="837"/>
      <c r="L95" s="16"/>
      <c r="M95" s="16"/>
      <c r="N95" s="238"/>
      <c r="O95" s="18">
        <f>SUM(O96:O99)</f>
        <v>0.24622470999999999</v>
      </c>
    </row>
    <row r="96" spans="1:15" ht="25.15" customHeight="1">
      <c r="A96" s="51"/>
      <c r="B96" s="863" t="s">
        <v>60</v>
      </c>
      <c r="C96" s="863"/>
      <c r="D96" s="52" t="s">
        <v>51</v>
      </c>
      <c r="E96" s="53">
        <v>2.34E-4</v>
      </c>
      <c r="F96" s="260">
        <f>SUMIF('Cjenik VSO'!$B$9:$B$85,$B96,'Cjenik VSO'!$C$9:$C$85)</f>
        <v>328.73</v>
      </c>
      <c r="G96" s="55">
        <f>E96*F96</f>
        <v>7.6922820000000003E-2</v>
      </c>
      <c r="I96" s="51"/>
      <c r="J96" s="863" t="s">
        <v>60</v>
      </c>
      <c r="K96" s="863"/>
      <c r="L96" s="52" t="s">
        <v>51</v>
      </c>
      <c r="M96" s="53">
        <v>2.34E-4</v>
      </c>
      <c r="N96" s="260">
        <f>SUMIF('Cjenik VSO'!$B$9:$B$85,$B96,'Cjenik VSO'!$C$9:$C$85)</f>
        <v>328.73</v>
      </c>
      <c r="O96" s="55">
        <f>M96*N96</f>
        <v>7.6922820000000003E-2</v>
      </c>
    </row>
    <row r="97" spans="1:18" ht="25.15" customHeight="1">
      <c r="A97" s="56"/>
      <c r="B97" s="834" t="s">
        <v>570</v>
      </c>
      <c r="C97" s="834"/>
      <c r="D97" s="57" t="s">
        <v>51</v>
      </c>
      <c r="E97" s="58">
        <v>4.37E-4</v>
      </c>
      <c r="F97" s="263">
        <f>SUMIF('Cjenik VSO'!$B$9:$B$85,$B97,'Cjenik VSO'!$C$9:$C$85)</f>
        <v>293.52999999999997</v>
      </c>
      <c r="G97" s="60">
        <f>E97*F97</f>
        <v>0.12827260999999998</v>
      </c>
      <c r="I97" s="56"/>
      <c r="J97" s="834" t="s">
        <v>570</v>
      </c>
      <c r="K97" s="834"/>
      <c r="L97" s="57" t="s">
        <v>51</v>
      </c>
      <c r="M97" s="58">
        <v>4.37E-4</v>
      </c>
      <c r="N97" s="263">
        <f>SUMIF('Cjenik VSO'!$B$9:$B$85,$B97,'Cjenik VSO'!$C$9:$C$85)</f>
        <v>293.52999999999997</v>
      </c>
      <c r="O97" s="60">
        <f>M97*N97</f>
        <v>0.12827260999999998</v>
      </c>
    </row>
    <row r="98" spans="1:18" ht="25.15" customHeight="1">
      <c r="A98" s="56"/>
      <c r="B98" s="834" t="s">
        <v>575</v>
      </c>
      <c r="C98" s="834"/>
      <c r="D98" s="57" t="s">
        <v>51</v>
      </c>
      <c r="E98" s="58">
        <v>2.14E-4</v>
      </c>
      <c r="F98" s="263">
        <f>SUMIF('Cjenik VSO'!$B$9:$B$85,$B98,'Cjenik VSO'!$C$9:$C$85)</f>
        <v>69.52</v>
      </c>
      <c r="G98" s="60">
        <f>E98*F98</f>
        <v>1.487728E-2</v>
      </c>
      <c r="I98" s="56"/>
      <c r="J98" s="834" t="s">
        <v>575</v>
      </c>
      <c r="K98" s="834"/>
      <c r="L98" s="57" t="s">
        <v>51</v>
      </c>
      <c r="M98" s="58">
        <v>2.14E-4</v>
      </c>
      <c r="N98" s="263">
        <f>SUMIF('Cjenik VSO'!$B$9:$B$85,$B98,'Cjenik VSO'!$C$9:$C$85)</f>
        <v>69.52</v>
      </c>
      <c r="O98" s="60">
        <f>M98*N98</f>
        <v>1.487728E-2</v>
      </c>
    </row>
    <row r="99" spans="1:18" ht="25.15" customHeight="1">
      <c r="A99" s="77"/>
      <c r="B99" s="888" t="s">
        <v>576</v>
      </c>
      <c r="C99" s="888"/>
      <c r="D99" s="78" t="s">
        <v>51</v>
      </c>
      <c r="E99" s="79">
        <v>4.0000000000000002E-4</v>
      </c>
      <c r="F99" s="265">
        <f>SUMIF('Cjenik VSO'!$B$9:$B$85,$B99,'Cjenik VSO'!$C$9:$C$85)</f>
        <v>65.38</v>
      </c>
      <c r="G99" s="80">
        <f>E99*F99</f>
        <v>2.6151999999999998E-2</v>
      </c>
      <c r="I99" s="77"/>
      <c r="J99" s="888" t="s">
        <v>576</v>
      </c>
      <c r="K99" s="888"/>
      <c r="L99" s="78" t="s">
        <v>51</v>
      </c>
      <c r="M99" s="79">
        <v>4.0000000000000002E-4</v>
      </c>
      <c r="N99" s="265">
        <f>SUMIF('Cjenik VSO'!$B$9:$B$85,$B99,'Cjenik VSO'!$C$9:$C$85)</f>
        <v>65.38</v>
      </c>
      <c r="O99" s="80">
        <f>M99*N99</f>
        <v>2.6151999999999998E-2</v>
      </c>
    </row>
    <row r="100" spans="1:18" ht="25.15" customHeight="1" thickBot="1">
      <c r="A100" s="74"/>
      <c r="B100" s="887" t="s">
        <v>567</v>
      </c>
      <c r="C100" s="887"/>
      <c r="D100" s="67" t="s">
        <v>51</v>
      </c>
      <c r="E100" s="81">
        <v>6.1399999999999996E-4</v>
      </c>
      <c r="F100" s="262">
        <f>SUMIF('Cjenik VSO'!$B$9:$B$85,$B100,'Cjenik VSO'!$C$9:$C$85)</f>
        <v>44.8</v>
      </c>
      <c r="G100" s="70">
        <f>E100*F100</f>
        <v>2.7507199999999996E-2</v>
      </c>
      <c r="I100" s="74"/>
      <c r="J100" s="887" t="s">
        <v>567</v>
      </c>
      <c r="K100" s="887"/>
      <c r="L100" s="67" t="s">
        <v>51</v>
      </c>
      <c r="M100" s="81">
        <v>6.1399999999999996E-4</v>
      </c>
      <c r="N100" s="262">
        <f>SUMIF('Cjenik VSO'!$B$9:$B$85,$B100,'Cjenik VSO'!$C$9:$C$85)</f>
        <v>44.8</v>
      </c>
      <c r="O100" s="70">
        <f>M100*N100</f>
        <v>2.7507199999999996E-2</v>
      </c>
    </row>
    <row r="101" spans="1:18" ht="25.15" customHeight="1" thickTop="1" thickBot="1">
      <c r="B101" s="47"/>
      <c r="C101" s="24"/>
      <c r="D101" s="25"/>
      <c r="E101" s="850" t="str">
        <f>'Obrazac kalkulacije'!$E$18</f>
        <v>Ukupno (kn):</v>
      </c>
      <c r="F101" s="850"/>
      <c r="G101" s="26">
        <f>ROUND(SUM(G93+G95),2)</f>
        <v>0.36</v>
      </c>
      <c r="H101" s="269" t="e">
        <f>SUMIF(#REF!,$B89,#REF!)</f>
        <v>#REF!</v>
      </c>
      <c r="J101" s="47"/>
      <c r="K101" s="24"/>
      <c r="L101" s="25"/>
      <c r="M101" s="850" t="str">
        <f>'Obrazac kalkulacije'!$E$18</f>
        <v>Ukupno (kn):</v>
      </c>
      <c r="N101" s="850"/>
      <c r="O101" s="26">
        <f>ROUND(SUM(O93+O95),2)</f>
        <v>0.31</v>
      </c>
      <c r="R101" s="689">
        <f>SUM(6000/4,95)</f>
        <v>1595</v>
      </c>
    </row>
    <row r="102" spans="1:18" ht="25.15" customHeight="1" thickTop="1" thickBot="1">
      <c r="E102" s="27" t="str">
        <f>'Obrazac kalkulacije'!$E$19</f>
        <v>PDV:</v>
      </c>
      <c r="F102" s="259">
        <f>'Obrazac kalkulacije'!$F$19</f>
        <v>0.25</v>
      </c>
      <c r="G102" s="29">
        <f>G101*F102</f>
        <v>0.09</v>
      </c>
      <c r="H102" s="270" t="e">
        <f>H101-G101</f>
        <v>#REF!</v>
      </c>
      <c r="M102" s="27" t="str">
        <f>'Obrazac kalkulacije'!$E$19</f>
        <v>PDV:</v>
      </c>
      <c r="N102" s="259">
        <f>'Obrazac kalkulacije'!$F$19</f>
        <v>0.25</v>
      </c>
      <c r="O102" s="29">
        <f>O101*N102</f>
        <v>7.7499999999999999E-2</v>
      </c>
    </row>
    <row r="103" spans="1:18" ht="25.15" customHeight="1" thickTop="1" thickBot="1">
      <c r="E103" s="840" t="str">
        <f>'Obrazac kalkulacije'!$E$20</f>
        <v>Sveukupno (kn):</v>
      </c>
      <c r="F103" s="840"/>
      <c r="G103" s="29">
        <f>ROUND(SUM(G101:G102),2)</f>
        <v>0.45</v>
      </c>
      <c r="H103" s="271" t="e">
        <f>G96+H102</f>
        <v>#REF!</v>
      </c>
      <c r="M103" s="840" t="str">
        <f>'Obrazac kalkulacije'!$E$20</f>
        <v>Sveukupno (kn):</v>
      </c>
      <c r="N103" s="840"/>
      <c r="O103" s="29">
        <f>ROUND(SUM(O101:O102),2)</f>
        <v>0.39</v>
      </c>
    </row>
    <row r="104" spans="1:18" ht="15" customHeight="1" thickTop="1"/>
    <row r="105" spans="1:18" ht="15" customHeight="1"/>
    <row r="106" spans="1:18" ht="15" customHeight="1"/>
    <row r="107" spans="1:18" ht="15" customHeight="1">
      <c r="C107" s="3" t="str">
        <f>'Obrazac kalkulacije'!$C$24</f>
        <v>IZVODITELJ:</v>
      </c>
      <c r="F107" s="841" t="str">
        <f>'Obrazac kalkulacije'!$F$24</f>
        <v>NARUČITELJ:</v>
      </c>
      <c r="G107" s="841"/>
      <c r="K107" s="3" t="str">
        <f>'Obrazac kalkulacije'!$C$24</f>
        <v>IZVODITELJ:</v>
      </c>
      <c r="N107" s="841" t="str">
        <f>'Obrazac kalkulacije'!$F$24</f>
        <v>NARUČITELJ:</v>
      </c>
      <c r="O107" s="841"/>
    </row>
    <row r="108" spans="1:18" ht="25.15" customHeight="1">
      <c r="C108" s="3" t="str">
        <f>'Obrazac kalkulacije'!$C$25</f>
        <v>__________________</v>
      </c>
      <c r="F108" s="841" t="str">
        <f>'Obrazac kalkulacije'!$F$25</f>
        <v>___________________</v>
      </c>
      <c r="G108" s="841"/>
      <c r="K108" s="3" t="str">
        <f>'Obrazac kalkulacije'!$C$25</f>
        <v>__________________</v>
      </c>
      <c r="N108" s="841" t="str">
        <f>'Obrazac kalkulacije'!$F$25</f>
        <v>___________________</v>
      </c>
      <c r="O108" s="841"/>
    </row>
    <row r="109" spans="1:18" ht="15" customHeight="1">
      <c r="F109" s="841"/>
      <c r="G109" s="841"/>
      <c r="N109" s="841"/>
      <c r="O109" s="841"/>
    </row>
    <row r="110" spans="1:18" ht="15" customHeight="1"/>
    <row r="111" spans="1:18" ht="15" customHeight="1">
      <c r="A111" s="149"/>
      <c r="B111" s="145" t="s">
        <v>561</v>
      </c>
      <c r="C111" s="836" t="s">
        <v>562</v>
      </c>
      <c r="D111" s="836"/>
      <c r="E111" s="836"/>
      <c r="F111" s="836"/>
      <c r="G111" s="836"/>
      <c r="I111" s="149"/>
      <c r="J111" s="145" t="s">
        <v>561</v>
      </c>
      <c r="K111" s="836" t="s">
        <v>562</v>
      </c>
      <c r="L111" s="836"/>
      <c r="M111" s="836"/>
      <c r="N111" s="836"/>
      <c r="O111" s="836"/>
    </row>
    <row r="112" spans="1:18" ht="150" customHeight="1">
      <c r="A112" s="9"/>
      <c r="B112" s="556" t="s">
        <v>583</v>
      </c>
      <c r="C112" s="852" t="s">
        <v>584</v>
      </c>
      <c r="D112" s="852"/>
      <c r="E112" s="852"/>
      <c r="F112" s="852"/>
      <c r="G112" s="852"/>
      <c r="I112" s="9"/>
      <c r="J112" s="41" t="s">
        <v>583</v>
      </c>
      <c r="K112" s="869" t="s">
        <v>584</v>
      </c>
      <c r="L112" s="869"/>
      <c r="M112" s="869"/>
      <c r="N112" s="869"/>
      <c r="O112" s="869"/>
    </row>
    <row r="113" spans="1:15" ht="15" customHeight="1" thickBot="1"/>
    <row r="114" spans="1:15" ht="30" customHeight="1" thickTop="1" thickBot="1">
      <c r="A114" s="10"/>
      <c r="B114" s="835" t="str">
        <f>'Obrazac kalkulacije'!$B$6:$C$6</f>
        <v>Opis</v>
      </c>
      <c r="C114" s="835"/>
      <c r="D114" s="10" t="str">
        <f>'Obrazac kalkulacije'!$D$6</f>
        <v>Jed.
mjere</v>
      </c>
      <c r="E114" s="10" t="str">
        <f>'Obrazac kalkulacije'!$E$6</f>
        <v>Normativ</v>
      </c>
      <c r="F114" s="10" t="str">
        <f>'Obrazac kalkulacije'!$F$6</f>
        <v>Jed.
cijena</v>
      </c>
      <c r="G114" s="10" t="str">
        <f>'Obrazac kalkulacije'!$G$6</f>
        <v>Iznos</v>
      </c>
      <c r="I114" s="10"/>
      <c r="J114" s="835" t="e">
        <f>'Obrazac kalkulacije'!$B$6:$C$6</f>
        <v>#VALUE!</v>
      </c>
      <c r="K114" s="835"/>
      <c r="L114" s="10" t="str">
        <f>'Obrazac kalkulacije'!$D$6</f>
        <v>Jed.
mjere</v>
      </c>
      <c r="M114" s="10" t="str">
        <f>'Obrazac kalkulacije'!$E$6</f>
        <v>Normativ</v>
      </c>
      <c r="N114" s="10" t="str">
        <f>'Obrazac kalkulacije'!$F$6</f>
        <v>Jed.
cijena</v>
      </c>
      <c r="O114" s="10" t="str">
        <f>'Obrazac kalkulacije'!$G$6</f>
        <v>Iznos</v>
      </c>
    </row>
    <row r="115" spans="1:15" ht="4.5" customHeight="1" thickTop="1">
      <c r="B115" s="42"/>
      <c r="C115" s="1"/>
      <c r="D115" s="11"/>
      <c r="E115" s="13"/>
      <c r="F115" s="258"/>
      <c r="G115" s="15"/>
      <c r="J115" s="42"/>
      <c r="K115" s="1"/>
      <c r="L115" s="11"/>
      <c r="M115" s="13"/>
      <c r="N115" s="258"/>
      <c r="O115" s="15"/>
    </row>
    <row r="116" spans="1:15" ht="25.15" customHeight="1">
      <c r="A116" s="16"/>
      <c r="B116" s="837" t="s">
        <v>566</v>
      </c>
      <c r="C116" s="837"/>
      <c r="D116" s="16"/>
      <c r="E116" s="16"/>
      <c r="F116" s="238"/>
      <c r="G116" s="18">
        <f>SUM(G117:G122)</f>
        <v>0.10479263996317881</v>
      </c>
      <c r="I116" s="16"/>
      <c r="J116" s="837" t="s">
        <v>566</v>
      </c>
      <c r="K116" s="837"/>
      <c r="L116" s="16"/>
      <c r="M116" s="16"/>
      <c r="N116" s="238"/>
      <c r="O116" s="18">
        <f>SUM(O117:O122)</f>
        <v>0.15085565999999997</v>
      </c>
    </row>
    <row r="117" spans="1:15" ht="25.15" customHeight="1">
      <c r="A117" s="51"/>
      <c r="B117" s="863" t="s">
        <v>60</v>
      </c>
      <c r="C117" s="863"/>
      <c r="D117" s="52" t="s">
        <v>51</v>
      </c>
      <c r="E117" s="53">
        <v>2.4000000000000001E-5</v>
      </c>
      <c r="F117" s="260">
        <f>SUMIF('Cjenik VSO'!$B$9:$B$85,$B117,'Cjenik VSO'!$C$9:$C$85)</f>
        <v>328.73</v>
      </c>
      <c r="G117" s="55">
        <f t="shared" ref="G117:G122" si="0">E117*F117</f>
        <v>7.8895200000000006E-3</v>
      </c>
      <c r="I117" s="51"/>
      <c r="J117" s="863" t="s">
        <v>60</v>
      </c>
      <c r="K117" s="863"/>
      <c r="L117" s="52" t="s">
        <v>51</v>
      </c>
      <c r="M117" s="53">
        <v>2.4000000000000001E-5</v>
      </c>
      <c r="N117" s="260">
        <f>SUMIF('Cjenik VSO'!$B$9:$B$85,$B117,'Cjenik VSO'!$C$9:$C$85)</f>
        <v>328.73</v>
      </c>
      <c r="O117" s="55">
        <f t="shared" ref="O117:O122" si="1">M117*N117</f>
        <v>7.8895200000000006E-3</v>
      </c>
    </row>
    <row r="118" spans="1:15" ht="25.15" customHeight="1">
      <c r="A118" s="56"/>
      <c r="B118" s="834" t="s">
        <v>570</v>
      </c>
      <c r="C118" s="834"/>
      <c r="D118" s="57" t="s">
        <v>51</v>
      </c>
      <c r="E118" s="58">
        <v>7.0178956338663579E-5</v>
      </c>
      <c r="F118" s="263">
        <f>SUMIF('Cjenik VSO'!$B$9:$B$85,$B118,'Cjenik VSO'!$C$9:$C$85)</f>
        <v>293.52999999999997</v>
      </c>
      <c r="G118" s="60">
        <f t="shared" si="0"/>
        <v>2.0599629054087919E-2</v>
      </c>
      <c r="I118" s="56"/>
      <c r="J118" s="834" t="s">
        <v>570</v>
      </c>
      <c r="K118" s="834"/>
      <c r="L118" s="57" t="s">
        <v>51</v>
      </c>
      <c r="M118" s="58">
        <v>1.18E-4</v>
      </c>
      <c r="N118" s="263">
        <f>SUMIF('Cjenik VSO'!$B$9:$B$85,$B118,'Cjenik VSO'!$C$9:$C$85)</f>
        <v>293.52999999999997</v>
      </c>
      <c r="O118" s="60">
        <f t="shared" si="1"/>
        <v>3.4636539999999993E-2</v>
      </c>
    </row>
    <row r="119" spans="1:15" ht="25.15" customHeight="1">
      <c r="A119" s="56"/>
      <c r="B119" s="834" t="s">
        <v>585</v>
      </c>
      <c r="C119" s="834"/>
      <c r="D119" s="57" t="s">
        <v>51</v>
      </c>
      <c r="E119" s="58">
        <v>1.4999999999999999E-4</v>
      </c>
      <c r="F119" s="263">
        <f>SUMIF('Cjenik VSO'!$B$9:$B$85,$B119,'Cjenik VSO'!$C$9:$C$85)</f>
        <v>144.38</v>
      </c>
      <c r="G119" s="60">
        <f t="shared" si="0"/>
        <v>2.1656999999999996E-2</v>
      </c>
      <c r="I119" s="56"/>
      <c r="J119" s="834" t="s">
        <v>585</v>
      </c>
      <c r="K119" s="834"/>
      <c r="L119" s="57" t="s">
        <v>51</v>
      </c>
      <c r="M119" s="58">
        <v>1.4999999999999999E-4</v>
      </c>
      <c r="N119" s="263">
        <f>SUMIF('Cjenik VSO'!$B$9:$B$85,$B119,'Cjenik VSO'!$C$9:$C$85)</f>
        <v>144.38</v>
      </c>
      <c r="O119" s="60">
        <f t="shared" si="1"/>
        <v>2.1656999999999996E-2</v>
      </c>
    </row>
    <row r="120" spans="1:15" ht="25.15" customHeight="1">
      <c r="A120" s="98"/>
      <c r="B120" s="890" t="s">
        <v>586</v>
      </c>
      <c r="C120" s="890"/>
      <c r="D120" s="57" t="s">
        <v>51</v>
      </c>
      <c r="E120" s="75">
        <v>5.8181818181818179E-5</v>
      </c>
      <c r="F120" s="263">
        <f>SUMIF('Cjenik VSO'!$B$9:$B$85,$B120,'Cjenik VSO'!$C$9:$C$85)</f>
        <v>144.38</v>
      </c>
      <c r="G120" s="60">
        <f t="shared" si="0"/>
        <v>8.4002909090909079E-3</v>
      </c>
      <c r="I120" s="98"/>
      <c r="J120" s="890" t="s">
        <v>586</v>
      </c>
      <c r="K120" s="890"/>
      <c r="L120" s="57" t="s">
        <v>51</v>
      </c>
      <c r="M120" s="75">
        <v>2.7999999999999998E-4</v>
      </c>
      <c r="N120" s="263">
        <f>SUMIF('Cjenik VSO'!$B$9:$B$85,$B120,'Cjenik VSO'!$C$9:$C$85)</f>
        <v>144.38</v>
      </c>
      <c r="O120" s="60">
        <f t="shared" si="1"/>
        <v>4.0426399999999994E-2</v>
      </c>
    </row>
    <row r="121" spans="1:15" ht="25.15" customHeight="1">
      <c r="A121" s="98"/>
      <c r="B121" s="890" t="s">
        <v>587</v>
      </c>
      <c r="C121" s="890"/>
      <c r="D121" s="57" t="s">
        <v>51</v>
      </c>
      <c r="E121" s="75">
        <v>1.74E-4</v>
      </c>
      <c r="F121" s="263">
        <f>SUMIF('Cjenik VSO'!$B$9:$B$85,$B121,'Cjenik VSO'!$C$9:$C$85)</f>
        <v>80.849999999999994</v>
      </c>
      <c r="G121" s="60">
        <f t="shared" si="0"/>
        <v>1.40679E-2</v>
      </c>
      <c r="I121" s="98"/>
      <c r="J121" s="890" t="s">
        <v>587</v>
      </c>
      <c r="K121" s="890"/>
      <c r="L121" s="57" t="s">
        <v>51</v>
      </c>
      <c r="M121" s="75">
        <v>1.74E-4</v>
      </c>
      <c r="N121" s="263">
        <f>SUMIF('Cjenik VSO'!$B$9:$B$85,$B121,'Cjenik VSO'!$C$9:$C$85)</f>
        <v>80.849999999999994</v>
      </c>
      <c r="O121" s="60">
        <f t="shared" si="1"/>
        <v>1.40679E-2</v>
      </c>
    </row>
    <row r="122" spans="1:15" ht="25.15" customHeight="1" thickBot="1">
      <c r="A122" s="74"/>
      <c r="B122" s="887" t="s">
        <v>588</v>
      </c>
      <c r="C122" s="887"/>
      <c r="D122" s="67" t="s">
        <v>51</v>
      </c>
      <c r="E122" s="81">
        <v>3.9800000000000002E-4</v>
      </c>
      <c r="F122" s="262">
        <f>SUMIF('Cjenik VSO'!$B$9:$B$85,$B122,'Cjenik VSO'!$C$9:$C$85)</f>
        <v>80.849999999999994</v>
      </c>
      <c r="G122" s="70">
        <f t="shared" si="0"/>
        <v>3.21783E-2</v>
      </c>
      <c r="I122" s="74"/>
      <c r="J122" s="887" t="s">
        <v>588</v>
      </c>
      <c r="K122" s="887"/>
      <c r="L122" s="67" t="s">
        <v>51</v>
      </c>
      <c r="M122" s="81">
        <v>3.9800000000000002E-4</v>
      </c>
      <c r="N122" s="262">
        <f>SUMIF('Cjenik VSO'!$B$9:$B$85,$B122,'Cjenik VSO'!$C$9:$C$85)</f>
        <v>80.849999999999994</v>
      </c>
      <c r="O122" s="70">
        <f t="shared" si="1"/>
        <v>3.21783E-2</v>
      </c>
    </row>
    <row r="123" spans="1:15" ht="25.15" customHeight="1" thickTop="1" thickBot="1">
      <c r="B123" s="47"/>
      <c r="C123" s="24"/>
      <c r="D123" s="25"/>
      <c r="E123" s="850" t="str">
        <f>'Obrazac kalkulacije'!$E$18</f>
        <v>Ukupno (kn):</v>
      </c>
      <c r="F123" s="850"/>
      <c r="G123" s="26">
        <f>ROUND(SUM(G116),2)</f>
        <v>0.1</v>
      </c>
      <c r="H123" s="269" t="e">
        <f>SUMIF(#REF!,$B112,#REF!)</f>
        <v>#REF!</v>
      </c>
      <c r="J123" s="47"/>
      <c r="K123" s="24"/>
      <c r="L123" s="25"/>
      <c r="M123" s="850" t="str">
        <f>'Obrazac kalkulacije'!$E$18</f>
        <v>Ukupno (kn):</v>
      </c>
      <c r="N123" s="850"/>
      <c r="O123" s="26">
        <f>ROUND(SUM(O116),2)</f>
        <v>0.15</v>
      </c>
    </row>
    <row r="124" spans="1:15" ht="25.15" customHeight="1" thickTop="1" thickBot="1">
      <c r="E124" s="27" t="str">
        <f>'Obrazac kalkulacije'!$E$19</f>
        <v>PDV:</v>
      </c>
      <c r="F124" s="259">
        <f>'Obrazac kalkulacije'!$F$19</f>
        <v>0.25</v>
      </c>
      <c r="G124" s="29">
        <f>G123*F124</f>
        <v>2.5000000000000001E-2</v>
      </c>
      <c r="H124" s="270" t="e">
        <f>H123-G123</f>
        <v>#REF!</v>
      </c>
      <c r="M124" s="27" t="str">
        <f>'Obrazac kalkulacije'!$E$19</f>
        <v>PDV:</v>
      </c>
      <c r="N124" s="259">
        <f>'Obrazac kalkulacije'!$F$19</f>
        <v>0.25</v>
      </c>
      <c r="O124" s="29">
        <f>O123*N124</f>
        <v>3.7499999999999999E-2</v>
      </c>
    </row>
    <row r="125" spans="1:15" ht="25.15" customHeight="1" thickTop="1" thickBot="1">
      <c r="E125" s="840" t="str">
        <f>'Obrazac kalkulacije'!$E$20</f>
        <v>Sveukupno (kn):</v>
      </c>
      <c r="F125" s="840"/>
      <c r="G125" s="29">
        <f>ROUND(SUM(G123:G124),2)</f>
        <v>0.13</v>
      </c>
      <c r="H125" s="271" t="e">
        <f>G118+H124</f>
        <v>#REF!</v>
      </c>
      <c r="M125" s="840" t="str">
        <f>'Obrazac kalkulacije'!$E$20</f>
        <v>Sveukupno (kn):</v>
      </c>
      <c r="N125" s="840"/>
      <c r="O125" s="29">
        <f>ROUND(SUM(O123:O124),2)</f>
        <v>0.19</v>
      </c>
    </row>
    <row r="126" spans="1:15" ht="15" customHeight="1" thickTop="1"/>
    <row r="127" spans="1:15" ht="15" customHeight="1"/>
    <row r="128" spans="1:15" ht="15" customHeight="1"/>
    <row r="129" spans="1:15" ht="15" customHeight="1">
      <c r="C129" s="3" t="str">
        <f>'Obrazac kalkulacije'!$C$24</f>
        <v>IZVODITELJ:</v>
      </c>
      <c r="F129" s="841" t="str">
        <f>'Obrazac kalkulacije'!$F$24</f>
        <v>NARUČITELJ:</v>
      </c>
      <c r="G129" s="841"/>
      <c r="K129" s="3" t="str">
        <f>'Obrazac kalkulacije'!$C$24</f>
        <v>IZVODITELJ:</v>
      </c>
      <c r="N129" s="841" t="str">
        <f>'Obrazac kalkulacije'!$F$24</f>
        <v>NARUČITELJ:</v>
      </c>
      <c r="O129" s="841"/>
    </row>
    <row r="130" spans="1:15" ht="25.15" customHeight="1">
      <c r="C130" s="3" t="str">
        <f>'Obrazac kalkulacije'!$C$25</f>
        <v>__________________</v>
      </c>
      <c r="F130" s="841" t="str">
        <f>'Obrazac kalkulacije'!$F$25</f>
        <v>___________________</v>
      </c>
      <c r="G130" s="841"/>
      <c r="K130" s="3" t="str">
        <f>'Obrazac kalkulacije'!$C$25</f>
        <v>__________________</v>
      </c>
      <c r="N130" s="841" t="str">
        <f>'Obrazac kalkulacije'!$F$25</f>
        <v>___________________</v>
      </c>
      <c r="O130" s="841"/>
    </row>
    <row r="131" spans="1:15" ht="15" customHeight="1">
      <c r="F131" s="841"/>
      <c r="G131" s="841"/>
      <c r="N131" s="841"/>
      <c r="O131" s="841"/>
    </row>
    <row r="132" spans="1:15" ht="15" customHeight="1"/>
    <row r="133" spans="1:15" ht="15" customHeight="1">
      <c r="A133" s="149"/>
      <c r="B133" s="145" t="s">
        <v>561</v>
      </c>
      <c r="C133" s="836" t="s">
        <v>562</v>
      </c>
      <c r="D133" s="836"/>
      <c r="E133" s="836"/>
      <c r="F133" s="836"/>
      <c r="G133" s="836"/>
      <c r="I133" s="149"/>
      <c r="J133" s="145" t="s">
        <v>561</v>
      </c>
      <c r="K133" s="836" t="s">
        <v>562</v>
      </c>
      <c r="L133" s="836"/>
      <c r="M133" s="836"/>
      <c r="N133" s="836"/>
      <c r="O133" s="836"/>
    </row>
    <row r="134" spans="1:15" ht="150" customHeight="1">
      <c r="A134" s="9"/>
      <c r="B134" s="556" t="s">
        <v>589</v>
      </c>
      <c r="C134" s="852" t="s">
        <v>590</v>
      </c>
      <c r="D134" s="852"/>
      <c r="E134" s="852"/>
      <c r="F134" s="852"/>
      <c r="G134" s="852"/>
      <c r="I134" s="9"/>
      <c r="J134" s="41" t="s">
        <v>589</v>
      </c>
      <c r="K134" s="869" t="s">
        <v>590</v>
      </c>
      <c r="L134" s="869"/>
      <c r="M134" s="869"/>
      <c r="N134" s="869"/>
      <c r="O134" s="869"/>
    </row>
    <row r="135" spans="1:15" ht="15" customHeight="1" thickBot="1"/>
    <row r="136" spans="1:15" ht="30" customHeight="1" thickTop="1" thickBot="1">
      <c r="A136" s="10"/>
      <c r="B136" s="835" t="str">
        <f>'Obrazac kalkulacije'!$B$6:$C$6</f>
        <v>Opis</v>
      </c>
      <c r="C136" s="835"/>
      <c r="D136" s="10" t="str">
        <f>'Obrazac kalkulacije'!$D$6</f>
        <v>Jed.
mjere</v>
      </c>
      <c r="E136" s="10" t="str">
        <f>'Obrazac kalkulacije'!$E$6</f>
        <v>Normativ</v>
      </c>
      <c r="F136" s="10" t="str">
        <f>'Obrazac kalkulacije'!$F$6</f>
        <v>Jed.
cijena</v>
      </c>
      <c r="G136" s="10" t="str">
        <f>'Obrazac kalkulacije'!$G$6</f>
        <v>Iznos</v>
      </c>
      <c r="I136" s="10"/>
      <c r="J136" s="835" t="e">
        <f>'Obrazac kalkulacije'!$B$6:$C$6</f>
        <v>#VALUE!</v>
      </c>
      <c r="K136" s="835"/>
      <c r="L136" s="10" t="str">
        <f>'Obrazac kalkulacije'!$D$6</f>
        <v>Jed.
mjere</v>
      </c>
      <c r="M136" s="10" t="str">
        <f>'Obrazac kalkulacije'!$E$6</f>
        <v>Normativ</v>
      </c>
      <c r="N136" s="10" t="str">
        <f>'Obrazac kalkulacije'!$F$6</f>
        <v>Jed.
cijena</v>
      </c>
      <c r="O136" s="10" t="str">
        <f>'Obrazac kalkulacije'!$G$6</f>
        <v>Iznos</v>
      </c>
    </row>
    <row r="137" spans="1:15" ht="4.5" customHeight="1" thickTop="1">
      <c r="B137" s="42"/>
      <c r="C137" s="1"/>
      <c r="D137" s="11"/>
      <c r="E137" s="13"/>
      <c r="F137" s="258"/>
      <c r="G137" s="15"/>
      <c r="J137" s="42"/>
      <c r="K137" s="1"/>
      <c r="L137" s="11"/>
      <c r="M137" s="13"/>
      <c r="N137" s="258"/>
      <c r="O137" s="15"/>
    </row>
    <row r="138" spans="1:15" ht="25.15" customHeight="1">
      <c r="A138" s="16"/>
      <c r="B138" s="837" t="s">
        <v>565</v>
      </c>
      <c r="C138" s="837"/>
      <c r="D138" s="16"/>
      <c r="E138" s="16"/>
      <c r="F138" s="44"/>
      <c r="G138" s="18">
        <f>SUM(G139:G139)</f>
        <v>1.3618228000000001</v>
      </c>
      <c r="I138" s="16"/>
      <c r="J138" s="837" t="s">
        <v>565</v>
      </c>
      <c r="K138" s="837"/>
      <c r="L138" s="16"/>
      <c r="M138" s="16"/>
      <c r="N138" s="44"/>
      <c r="O138" s="18">
        <f>SUM(O139:O139)</f>
        <v>1.3618228000000001</v>
      </c>
    </row>
    <row r="139" spans="1:15" ht="25.15" customHeight="1">
      <c r="A139" s="32"/>
      <c r="B139" s="854" t="s">
        <v>53</v>
      </c>
      <c r="C139" s="854"/>
      <c r="D139" s="33" t="s">
        <v>51</v>
      </c>
      <c r="E139" s="34">
        <v>1.3820000000000001E-2</v>
      </c>
      <c r="F139" s="238">
        <f>SUMIF('Cjenik RS'!$C$11:$C$26,$B139,'Cjenik RS'!$D$11:$D$90)</f>
        <v>98.54</v>
      </c>
      <c r="G139" s="35">
        <f>E139*F139</f>
        <v>1.3618228000000001</v>
      </c>
      <c r="I139" s="32"/>
      <c r="J139" s="854" t="s">
        <v>53</v>
      </c>
      <c r="K139" s="854"/>
      <c r="L139" s="33" t="s">
        <v>51</v>
      </c>
      <c r="M139" s="34">
        <v>1.3820000000000001E-2</v>
      </c>
      <c r="N139" s="238">
        <f>SUMIF('Cjenik RS'!$C$11:$C$26,J139,'Cjenik RS'!$D$11:$D$90)</f>
        <v>98.54</v>
      </c>
      <c r="O139" s="35">
        <f>M139*N139</f>
        <v>1.3618228000000001</v>
      </c>
    </row>
    <row r="140" spans="1:15" ht="25.15" customHeight="1">
      <c r="A140" s="16"/>
      <c r="B140" s="837" t="s">
        <v>566</v>
      </c>
      <c r="C140" s="837"/>
      <c r="D140" s="16"/>
      <c r="E140" s="16"/>
      <c r="F140" s="238"/>
      <c r="G140" s="18">
        <f>SUM(G141:G144)</f>
        <v>5.6957130499999993</v>
      </c>
      <c r="I140" s="16"/>
      <c r="J140" s="837" t="s">
        <v>566</v>
      </c>
      <c r="K140" s="837"/>
      <c r="L140" s="16"/>
      <c r="M140" s="16"/>
      <c r="N140" s="238"/>
      <c r="O140" s="18">
        <f>SUM(O141:O144)</f>
        <v>1.7341633500000002</v>
      </c>
    </row>
    <row r="141" spans="1:15" ht="25.15" customHeight="1">
      <c r="A141" s="51"/>
      <c r="B141" s="863" t="s">
        <v>60</v>
      </c>
      <c r="C141" s="863"/>
      <c r="D141" s="52" t="s">
        <v>51</v>
      </c>
      <c r="E141" s="53">
        <v>8.0000000000000002E-3</v>
      </c>
      <c r="F141" s="260">
        <f>SUMIF('Cjenik VSO'!$B$9:$B$85,$B141,'Cjenik VSO'!$C$9:$C$85)</f>
        <v>328.73</v>
      </c>
      <c r="G141" s="55">
        <f>E141*F141</f>
        <v>2.6298400000000002</v>
      </c>
      <c r="I141" s="51"/>
      <c r="J141" s="863" t="s">
        <v>60</v>
      </c>
      <c r="K141" s="863"/>
      <c r="L141" s="52" t="s">
        <v>51</v>
      </c>
      <c r="M141" s="53">
        <v>3.4550000000000002E-3</v>
      </c>
      <c r="N141" s="260">
        <f>SUMIF('Cjenik VSO'!$B$9:$B$85,$B141,'Cjenik VSO'!$C$9:$C$85)</f>
        <v>328.73</v>
      </c>
      <c r="O141" s="55">
        <f>M141*N141</f>
        <v>1.1357621500000001</v>
      </c>
    </row>
    <row r="142" spans="1:15" ht="25.15" customHeight="1">
      <c r="A142" s="56"/>
      <c r="B142" s="834" t="s">
        <v>591</v>
      </c>
      <c r="C142" s="834"/>
      <c r="D142" s="57" t="s">
        <v>51</v>
      </c>
      <c r="E142" s="58">
        <f>E141</f>
        <v>8.0000000000000002E-3</v>
      </c>
      <c r="F142" s="263">
        <f>SUMIF('Cjenik VSO'!$B$9:$B$85,$B142,'Cjenik VSO'!$C$9:$C$85)</f>
        <v>60.03</v>
      </c>
      <c r="G142" s="60">
        <f>E142*F142</f>
        <v>0.48024</v>
      </c>
      <c r="I142" s="56"/>
      <c r="J142" s="834" t="s">
        <v>591</v>
      </c>
      <c r="K142" s="834"/>
      <c r="L142" s="57" t="s">
        <v>51</v>
      </c>
      <c r="M142" s="58">
        <v>3.3E-3</v>
      </c>
      <c r="N142" s="263">
        <f>SUMIF('Cjenik VSO'!$B$9:$B$85,$B142,'Cjenik VSO'!$C$9:$C$85)</f>
        <v>60.03</v>
      </c>
      <c r="O142" s="60">
        <f>M142*N142</f>
        <v>0.198099</v>
      </c>
    </row>
    <row r="143" spans="1:15" ht="25.15" customHeight="1">
      <c r="A143" s="56"/>
      <c r="B143" s="834" t="s">
        <v>570</v>
      </c>
      <c r="C143" s="834"/>
      <c r="D143" s="57" t="s">
        <v>51</v>
      </c>
      <c r="E143" s="58">
        <v>8.0000000000000002E-3</v>
      </c>
      <c r="F143" s="263">
        <f>SUMIF('Cjenik VSO'!$B$9:$B$85,$B143,'Cjenik VSO'!$C$9:$C$85)</f>
        <v>293.52999999999997</v>
      </c>
      <c r="G143" s="60">
        <f>E143*F143</f>
        <v>2.3482399999999997</v>
      </c>
      <c r="I143" s="56"/>
      <c r="J143" s="834" t="s">
        <v>570</v>
      </c>
      <c r="K143" s="834"/>
      <c r="L143" s="57" t="s">
        <v>51</v>
      </c>
      <c r="M143" s="58">
        <v>5.5500000000000005E-4</v>
      </c>
      <c r="N143" s="263">
        <f>SUMIF('Cjenik VSO'!$B$9:$B$85,$B143,'Cjenik VSO'!$C$9:$C$85)</f>
        <v>293.52999999999997</v>
      </c>
      <c r="O143" s="60">
        <f>M143*N143</f>
        <v>0.16290915</v>
      </c>
    </row>
    <row r="144" spans="1:15" ht="25.15" customHeight="1" thickBot="1">
      <c r="A144" s="66"/>
      <c r="B144" s="859" t="s">
        <v>572</v>
      </c>
      <c r="C144" s="859"/>
      <c r="D144" s="67" t="s">
        <v>51</v>
      </c>
      <c r="E144" s="68">
        <v>3.4550000000000002E-3</v>
      </c>
      <c r="F144" s="262">
        <f>SUMIF('Cjenik VSO'!$B$9:$B$85,$B144,'Cjenik VSO'!$C$9:$C$85)</f>
        <v>68.709999999999994</v>
      </c>
      <c r="G144" s="70">
        <f>E144*F144</f>
        <v>0.23739304999999999</v>
      </c>
      <c r="I144" s="66"/>
      <c r="J144" s="859" t="s">
        <v>572</v>
      </c>
      <c r="K144" s="859"/>
      <c r="L144" s="67" t="s">
        <v>51</v>
      </c>
      <c r="M144" s="68">
        <v>3.4550000000000002E-3</v>
      </c>
      <c r="N144" s="262">
        <f>SUMIF('Cjenik VSO'!$B$9:$B$85,$B144,'Cjenik VSO'!$C$9:$C$85)</f>
        <v>68.709999999999994</v>
      </c>
      <c r="O144" s="70">
        <f>M144*N144</f>
        <v>0.23739304999999999</v>
      </c>
    </row>
    <row r="145" spans="1:15" ht="25.15" customHeight="1" thickTop="1" thickBot="1">
      <c r="B145" s="47"/>
      <c r="C145" s="24"/>
      <c r="D145" s="25"/>
      <c r="E145" s="850" t="str">
        <f>'Obrazac kalkulacije'!$E$18</f>
        <v>Ukupno (kn):</v>
      </c>
      <c r="F145" s="850"/>
      <c r="G145" s="26">
        <f>ROUND(SUM(G138+G140),2)</f>
        <v>7.06</v>
      </c>
      <c r="H145" s="269" t="e">
        <f>SUMIF(#REF!,$B134,#REF!)</f>
        <v>#REF!</v>
      </c>
      <c r="J145" s="47"/>
      <c r="K145" s="24"/>
      <c r="L145" s="25"/>
      <c r="M145" s="850" t="str">
        <f>'Obrazac kalkulacije'!$E$18</f>
        <v>Ukupno (kn):</v>
      </c>
      <c r="N145" s="850"/>
      <c r="O145" s="26">
        <f>ROUND(SUM(O138+O140),2)</f>
        <v>3.1</v>
      </c>
    </row>
    <row r="146" spans="1:15" ht="25.15" customHeight="1" thickTop="1" thickBot="1">
      <c r="E146" s="27" t="str">
        <f>'Obrazac kalkulacije'!$E$19</f>
        <v>PDV:</v>
      </c>
      <c r="F146" s="259">
        <f>'Obrazac kalkulacije'!$F$19</f>
        <v>0.25</v>
      </c>
      <c r="G146" s="29">
        <f>G145*F146</f>
        <v>1.7649999999999999</v>
      </c>
      <c r="H146" s="270" t="e">
        <f>H145-G145</f>
        <v>#REF!</v>
      </c>
      <c r="M146" s="27" t="str">
        <f>'Obrazac kalkulacije'!$E$19</f>
        <v>PDV:</v>
      </c>
      <c r="N146" s="259">
        <f>'Obrazac kalkulacije'!$F$19</f>
        <v>0.25</v>
      </c>
      <c r="O146" s="29">
        <f>O145*N146</f>
        <v>0.77500000000000002</v>
      </c>
    </row>
    <row r="147" spans="1:15" ht="25.15" customHeight="1" thickTop="1" thickBot="1">
      <c r="E147" s="840" t="str">
        <f>'Obrazac kalkulacije'!$E$20</f>
        <v>Sveukupno (kn):</v>
      </c>
      <c r="F147" s="840"/>
      <c r="G147" s="29">
        <f>ROUND(SUM(G145:G146),2)</f>
        <v>8.83</v>
      </c>
      <c r="H147" s="271" t="e">
        <f>G141+H146</f>
        <v>#REF!</v>
      </c>
      <c r="M147" s="840" t="str">
        <f>'Obrazac kalkulacije'!$E$20</f>
        <v>Sveukupno (kn):</v>
      </c>
      <c r="N147" s="840"/>
      <c r="O147" s="29">
        <f>ROUND(SUM(O145:O146),2)</f>
        <v>3.88</v>
      </c>
    </row>
    <row r="148" spans="1:15" ht="15" customHeight="1" thickTop="1">
      <c r="J148" s="37">
        <f>SUM(F139*8)</f>
        <v>788.32</v>
      </c>
    </row>
    <row r="149" spans="1:15" ht="15" customHeight="1">
      <c r="J149" s="37">
        <f>SUM(8*F141)</f>
        <v>2629.84</v>
      </c>
    </row>
    <row r="150" spans="1:15" ht="15" customHeight="1">
      <c r="J150" s="37">
        <f>SUM(J148:J149)</f>
        <v>3418.1600000000003</v>
      </c>
    </row>
    <row r="151" spans="1:15" ht="15" customHeight="1">
      <c r="C151" s="3" t="str">
        <f>'Obrazac kalkulacije'!$C$24</f>
        <v>IZVODITELJ:</v>
      </c>
      <c r="F151" s="841" t="str">
        <f>'Obrazac kalkulacije'!$F$24</f>
        <v>NARUČITELJ:</v>
      </c>
      <c r="G151" s="841"/>
      <c r="K151" s="3" t="str">
        <f>'Obrazac kalkulacije'!$C$24</f>
        <v>IZVODITELJ:</v>
      </c>
      <c r="N151" s="841" t="str">
        <f>'Obrazac kalkulacije'!$F$24</f>
        <v>NARUČITELJ:</v>
      </c>
      <c r="O151" s="841"/>
    </row>
    <row r="152" spans="1:15" ht="25.15" customHeight="1">
      <c r="C152" s="3" t="str">
        <f>'Obrazac kalkulacije'!$C$25</f>
        <v>__________________</v>
      </c>
      <c r="F152" s="841" t="str">
        <f>'Obrazac kalkulacije'!$F$25</f>
        <v>___________________</v>
      </c>
      <c r="G152" s="841"/>
      <c r="K152" s="3" t="str">
        <f>'Obrazac kalkulacije'!$C$25</f>
        <v>__________________</v>
      </c>
      <c r="N152" s="841" t="str">
        <f>'Obrazac kalkulacije'!$F$25</f>
        <v>___________________</v>
      </c>
      <c r="O152" s="841"/>
    </row>
    <row r="153" spans="1:15" ht="15" customHeight="1">
      <c r="F153" s="841"/>
      <c r="G153" s="841"/>
      <c r="N153" s="841"/>
      <c r="O153" s="841"/>
    </row>
    <row r="154" spans="1:15" ht="15" customHeight="1"/>
    <row r="155" spans="1:15" ht="15" customHeight="1">
      <c r="A155" s="149"/>
      <c r="B155" s="145" t="s">
        <v>561</v>
      </c>
      <c r="C155" s="836" t="s">
        <v>562</v>
      </c>
      <c r="D155" s="836"/>
      <c r="E155" s="836"/>
      <c r="F155" s="836"/>
      <c r="G155" s="836"/>
      <c r="I155" s="149"/>
      <c r="J155" s="145" t="s">
        <v>561</v>
      </c>
      <c r="K155" s="836" t="s">
        <v>562</v>
      </c>
      <c r="L155" s="836"/>
      <c r="M155" s="836"/>
      <c r="N155" s="836"/>
      <c r="O155" s="836"/>
    </row>
    <row r="156" spans="1:15" ht="150" customHeight="1">
      <c r="A156" s="9"/>
      <c r="B156" s="556" t="s">
        <v>592</v>
      </c>
      <c r="C156" s="852" t="s">
        <v>593</v>
      </c>
      <c r="D156" s="852"/>
      <c r="E156" s="852"/>
      <c r="F156" s="852"/>
      <c r="G156" s="852"/>
      <c r="I156" s="9"/>
      <c r="J156" s="41" t="s">
        <v>592</v>
      </c>
      <c r="K156" s="869" t="s">
        <v>594</v>
      </c>
      <c r="L156" s="869"/>
      <c r="M156" s="869"/>
      <c r="N156" s="869"/>
      <c r="O156" s="869"/>
    </row>
    <row r="157" spans="1:15" ht="15" customHeight="1" thickBot="1"/>
    <row r="158" spans="1:15" ht="30" customHeight="1" thickTop="1" thickBot="1">
      <c r="A158" s="10"/>
      <c r="B158" s="835" t="str">
        <f>'Obrazac kalkulacije'!$B$6:$C$6</f>
        <v>Opis</v>
      </c>
      <c r="C158" s="835"/>
      <c r="D158" s="10" t="str">
        <f>'Obrazac kalkulacije'!$D$6</f>
        <v>Jed.
mjere</v>
      </c>
      <c r="E158" s="10" t="str">
        <f>'Obrazac kalkulacije'!$E$6</f>
        <v>Normativ</v>
      </c>
      <c r="F158" s="10" t="str">
        <f>'Obrazac kalkulacije'!$F$6</f>
        <v>Jed.
cijena</v>
      </c>
      <c r="G158" s="10" t="str">
        <f>'Obrazac kalkulacije'!$G$6</f>
        <v>Iznos</v>
      </c>
      <c r="I158" s="10"/>
      <c r="J158" s="835" t="e">
        <f>'Obrazac kalkulacije'!$B$6:$C$6</f>
        <v>#VALUE!</v>
      </c>
      <c r="K158" s="835"/>
      <c r="L158" s="10" t="str">
        <f>'Obrazac kalkulacije'!$D$6</f>
        <v>Jed.
mjere</v>
      </c>
      <c r="M158" s="10" t="str">
        <f>'Obrazac kalkulacije'!$E$6</f>
        <v>Normativ</v>
      </c>
      <c r="N158" s="10" t="str">
        <f>'Obrazac kalkulacije'!$F$6</f>
        <v>Jed.
cijena</v>
      </c>
      <c r="O158" s="10" t="str">
        <f>'Obrazac kalkulacije'!$G$6</f>
        <v>Iznos</v>
      </c>
    </row>
    <row r="159" spans="1:15" ht="4.5" customHeight="1" thickTop="1">
      <c r="B159" s="42"/>
      <c r="C159" s="1"/>
      <c r="D159" s="11"/>
      <c r="E159" s="13"/>
      <c r="F159" s="258"/>
      <c r="G159" s="15"/>
      <c r="J159" s="42"/>
      <c r="K159" s="1"/>
      <c r="L159" s="11"/>
      <c r="M159" s="13"/>
      <c r="N159" s="258"/>
      <c r="O159" s="15"/>
    </row>
    <row r="160" spans="1:15" ht="25.15" customHeight="1">
      <c r="A160" s="16"/>
      <c r="B160" s="837" t="s">
        <v>565</v>
      </c>
      <c r="C160" s="837"/>
      <c r="D160" s="16"/>
      <c r="E160" s="16"/>
      <c r="F160" s="44"/>
      <c r="G160" s="18">
        <f>SUM(G161:G161)</f>
        <v>1.1992318000000002</v>
      </c>
      <c r="I160" s="16"/>
      <c r="J160" s="837" t="s">
        <v>565</v>
      </c>
      <c r="K160" s="837"/>
      <c r="L160" s="16"/>
      <c r="M160" s="16"/>
      <c r="N160" s="44"/>
      <c r="O160" s="18">
        <f>SUM(O161:O161)</f>
        <v>1.1992318000000002</v>
      </c>
    </row>
    <row r="161" spans="1:15" ht="25.15" customHeight="1">
      <c r="A161" s="32"/>
      <c r="B161" s="854" t="s">
        <v>53</v>
      </c>
      <c r="C161" s="854"/>
      <c r="D161" s="33" t="s">
        <v>51</v>
      </c>
      <c r="E161" s="34">
        <v>1.217E-2</v>
      </c>
      <c r="F161" s="238">
        <f>SUMIF('Cjenik RS'!$C$11:$C$26,$B161,'Cjenik RS'!$D$11:$D$90)</f>
        <v>98.54</v>
      </c>
      <c r="G161" s="35">
        <f>E161*F161</f>
        <v>1.1992318000000002</v>
      </c>
      <c r="I161" s="32"/>
      <c r="J161" s="854" t="s">
        <v>53</v>
      </c>
      <c r="K161" s="854"/>
      <c r="L161" s="33" t="s">
        <v>51</v>
      </c>
      <c r="M161" s="34">
        <v>1.217E-2</v>
      </c>
      <c r="N161" s="238">
        <f>SUMIF('Cjenik RS'!$C$11:$C$26,J161,'Cjenik RS'!$D$11:$D$90)</f>
        <v>98.54</v>
      </c>
      <c r="O161" s="35">
        <f>M161*N161</f>
        <v>1.1992318000000002</v>
      </c>
    </row>
    <row r="162" spans="1:15" ht="25.15" customHeight="1">
      <c r="A162" s="16"/>
      <c r="B162" s="837" t="s">
        <v>566</v>
      </c>
      <c r="C162" s="837"/>
      <c r="D162" s="16"/>
      <c r="E162" s="16"/>
      <c r="F162" s="238"/>
      <c r="G162" s="18">
        <f>SUM(G163:G165)</f>
        <v>3.6045600000000002</v>
      </c>
      <c r="I162" s="16"/>
      <c r="J162" s="837" t="s">
        <v>566</v>
      </c>
      <c r="K162" s="837"/>
      <c r="L162" s="16"/>
      <c r="M162" s="16"/>
      <c r="N162" s="238"/>
      <c r="O162" s="18">
        <f>SUM(O163:O165)</f>
        <v>1.4868008000000001</v>
      </c>
    </row>
    <row r="163" spans="1:15" ht="25.15" customHeight="1">
      <c r="A163" s="51"/>
      <c r="B163" s="863" t="s">
        <v>60</v>
      </c>
      <c r="C163" s="863"/>
      <c r="D163" s="52" t="s">
        <v>51</v>
      </c>
      <c r="E163" s="53">
        <v>8.0000000000000002E-3</v>
      </c>
      <c r="F163" s="260">
        <f>SUMIF('Cjenik VSO'!$B$9:$B$85,$B163,'Cjenik VSO'!$C$9:$C$85)</f>
        <v>328.73</v>
      </c>
      <c r="G163" s="55">
        <f>E163*F163</f>
        <v>2.6298400000000002</v>
      </c>
      <c r="I163" s="51"/>
      <c r="J163" s="863" t="s">
        <v>60</v>
      </c>
      <c r="K163" s="863"/>
      <c r="L163" s="52" t="s">
        <v>51</v>
      </c>
      <c r="M163" s="53">
        <v>3.6099999999999999E-3</v>
      </c>
      <c r="N163" s="260">
        <f>SUMIF('Cjenik VSO'!$B$9:$B$85,$B163,'Cjenik VSO'!$C$9:$C$85)</f>
        <v>328.73</v>
      </c>
      <c r="O163" s="55">
        <f>M163*N163</f>
        <v>1.1867153000000001</v>
      </c>
    </row>
    <row r="164" spans="1:15" ht="25.15" customHeight="1">
      <c r="A164" s="56"/>
      <c r="B164" s="834" t="s">
        <v>591</v>
      </c>
      <c r="C164" s="834"/>
      <c r="D164" s="57" t="s">
        <v>51</v>
      </c>
      <c r="E164" s="58">
        <v>8.0000000000000002E-3</v>
      </c>
      <c r="F164" s="263">
        <f>SUMIF('Cjenik VSO'!$B$9:$B$85,$B164,'Cjenik VSO'!$C$9:$C$85)</f>
        <v>60.03</v>
      </c>
      <c r="G164" s="60">
        <f>E164*F164</f>
        <v>0.48024</v>
      </c>
      <c r="I164" s="56"/>
      <c r="J164" s="834" t="s">
        <v>591</v>
      </c>
      <c r="K164" s="834"/>
      <c r="L164" s="57" t="s">
        <v>51</v>
      </c>
      <c r="M164" s="58">
        <v>3.3E-3</v>
      </c>
      <c r="N164" s="263">
        <f>SUMIF('Cjenik VSO'!$B$9:$B$85,$B164,'Cjenik VSO'!$C$9:$C$85)</f>
        <v>60.03</v>
      </c>
      <c r="O164" s="60">
        <f>M164*N164</f>
        <v>0.198099</v>
      </c>
    </row>
    <row r="165" spans="1:15" ht="25.15" customHeight="1" thickBot="1">
      <c r="A165" s="66"/>
      <c r="B165" s="859" t="s">
        <v>595</v>
      </c>
      <c r="C165" s="859"/>
      <c r="D165" s="67" t="s">
        <v>51</v>
      </c>
      <c r="E165" s="68">
        <v>8.0000000000000002E-3</v>
      </c>
      <c r="F165" s="262">
        <f>SUMIF('Cjenik VSO'!$B$9:$B$85,$B165,'Cjenik VSO'!$C$9:$C$85)</f>
        <v>61.81</v>
      </c>
      <c r="G165" s="70">
        <f>E165*F165</f>
        <v>0.49448000000000003</v>
      </c>
      <c r="I165" s="66"/>
      <c r="J165" s="859" t="s">
        <v>595</v>
      </c>
      <c r="K165" s="859"/>
      <c r="L165" s="67" t="s">
        <v>51</v>
      </c>
      <c r="M165" s="68">
        <v>1.65E-3</v>
      </c>
      <c r="N165" s="262">
        <f>SUMIF('Cjenik VSO'!$B$9:$B$85,$B165,'Cjenik VSO'!$C$9:$C$85)</f>
        <v>61.81</v>
      </c>
      <c r="O165" s="70">
        <f>M165*N165</f>
        <v>0.10198650000000001</v>
      </c>
    </row>
    <row r="166" spans="1:15" ht="25.15" customHeight="1" thickTop="1" thickBot="1">
      <c r="B166" s="47"/>
      <c r="C166" s="24"/>
      <c r="D166" s="25"/>
      <c r="E166" s="850" t="str">
        <f>'Obrazac kalkulacije'!$E$18</f>
        <v>Ukupno (kn):</v>
      </c>
      <c r="F166" s="850"/>
      <c r="G166" s="26">
        <f>ROUND(SUM(G160+G162),2)</f>
        <v>4.8</v>
      </c>
      <c r="H166" s="269" t="e">
        <f>SUMIF(#REF!,$B156,#REF!)</f>
        <v>#REF!</v>
      </c>
      <c r="J166" s="47"/>
      <c r="K166" s="24"/>
      <c r="L166" s="25"/>
      <c r="M166" s="850" t="str">
        <f>'Obrazac kalkulacije'!$E$18</f>
        <v>Ukupno (kn):</v>
      </c>
      <c r="N166" s="850"/>
      <c r="O166" s="26">
        <f>ROUND(SUM(O160+O162),2)</f>
        <v>2.69</v>
      </c>
    </row>
    <row r="167" spans="1:15" ht="25.15" customHeight="1" thickTop="1" thickBot="1">
      <c r="E167" s="27" t="str">
        <f>'Obrazac kalkulacije'!$E$19</f>
        <v>PDV:</v>
      </c>
      <c r="F167" s="259">
        <f>'Obrazac kalkulacije'!$F$19</f>
        <v>0.25</v>
      </c>
      <c r="G167" s="29">
        <f>G166*F167</f>
        <v>1.2</v>
      </c>
      <c r="H167" s="270" t="e">
        <f>H166-G166</f>
        <v>#REF!</v>
      </c>
      <c r="M167" s="27" t="str">
        <f>'Obrazac kalkulacije'!$E$19</f>
        <v>PDV:</v>
      </c>
      <c r="N167" s="259">
        <f>'Obrazac kalkulacije'!$F$19</f>
        <v>0.25</v>
      </c>
      <c r="O167" s="29">
        <f>O166*N167</f>
        <v>0.67249999999999999</v>
      </c>
    </row>
    <row r="168" spans="1:15" ht="25.15" customHeight="1" thickTop="1" thickBot="1">
      <c r="E168" s="840" t="str">
        <f>'Obrazac kalkulacije'!$E$20</f>
        <v>Sveukupno (kn):</v>
      </c>
      <c r="F168" s="840"/>
      <c r="G168" s="29">
        <f>ROUND(SUM(G166:G167),2)</f>
        <v>6</v>
      </c>
      <c r="H168" s="271" t="e">
        <f>G163+H167</f>
        <v>#REF!</v>
      </c>
      <c r="M168" s="840" t="str">
        <f>'Obrazac kalkulacije'!$E$20</f>
        <v>Sveukupno (kn):</v>
      </c>
      <c r="N168" s="840"/>
      <c r="O168" s="29">
        <f>ROUND(SUM(O166:O167),2)</f>
        <v>3.36</v>
      </c>
    </row>
    <row r="169" spans="1:15" ht="15" customHeight="1" thickTop="1"/>
    <row r="170" spans="1:15" ht="15" customHeight="1"/>
    <row r="171" spans="1:15" ht="15" customHeight="1"/>
    <row r="172" spans="1:15" ht="15" customHeight="1">
      <c r="C172" s="3" t="str">
        <f>'Obrazac kalkulacije'!$C$24</f>
        <v>IZVODITELJ:</v>
      </c>
      <c r="F172" s="841" t="str">
        <f>'Obrazac kalkulacije'!$F$24</f>
        <v>NARUČITELJ:</v>
      </c>
      <c r="G172" s="841"/>
      <c r="K172" s="3" t="str">
        <f>'Obrazac kalkulacije'!$C$24</f>
        <v>IZVODITELJ:</v>
      </c>
      <c r="N172" s="841" t="str">
        <f>'Obrazac kalkulacije'!$F$24</f>
        <v>NARUČITELJ:</v>
      </c>
      <c r="O172" s="841"/>
    </row>
    <row r="173" spans="1:15" ht="25.15" customHeight="1">
      <c r="C173" s="3" t="str">
        <f>'Obrazac kalkulacije'!$C$25</f>
        <v>__________________</v>
      </c>
      <c r="F173" s="841" t="str">
        <f>'Obrazac kalkulacije'!$F$25</f>
        <v>___________________</v>
      </c>
      <c r="G173" s="841"/>
      <c r="K173" s="3" t="str">
        <f>'Obrazac kalkulacije'!$C$25</f>
        <v>__________________</v>
      </c>
      <c r="N173" s="841" t="str">
        <f>'Obrazac kalkulacije'!$F$25</f>
        <v>___________________</v>
      </c>
      <c r="O173" s="841"/>
    </row>
    <row r="174" spans="1:15" ht="15" customHeight="1">
      <c r="F174" s="841"/>
      <c r="G174" s="841"/>
      <c r="N174" s="841"/>
      <c r="O174" s="841"/>
    </row>
    <row r="175" spans="1:15" ht="15" customHeight="1"/>
    <row r="176" spans="1:15" ht="15" customHeight="1">
      <c r="A176" s="149"/>
      <c r="B176" s="145" t="s">
        <v>561</v>
      </c>
      <c r="C176" s="836" t="s">
        <v>562</v>
      </c>
      <c r="D176" s="836"/>
      <c r="E176" s="836"/>
      <c r="F176" s="836"/>
      <c r="G176" s="836"/>
      <c r="I176" s="149"/>
      <c r="J176" s="145" t="s">
        <v>561</v>
      </c>
      <c r="K176" s="836" t="s">
        <v>562</v>
      </c>
      <c r="L176" s="836"/>
      <c r="M176" s="836"/>
      <c r="N176" s="836"/>
      <c r="O176" s="836"/>
    </row>
    <row r="177" spans="1:15" ht="150" customHeight="1">
      <c r="A177" s="9"/>
      <c r="B177" s="556" t="s">
        <v>596</v>
      </c>
      <c r="C177" s="852" t="s">
        <v>597</v>
      </c>
      <c r="D177" s="852"/>
      <c r="E177" s="852"/>
      <c r="F177" s="852"/>
      <c r="G177" s="852"/>
      <c r="I177" s="9"/>
      <c r="J177" s="41" t="s">
        <v>596</v>
      </c>
      <c r="K177" s="869" t="s">
        <v>598</v>
      </c>
      <c r="L177" s="869"/>
      <c r="M177" s="869"/>
      <c r="N177" s="869"/>
      <c r="O177" s="869"/>
    </row>
    <row r="178" spans="1:15" ht="15" customHeight="1" thickBot="1"/>
    <row r="179" spans="1:15" ht="30" customHeight="1" thickTop="1" thickBot="1">
      <c r="A179" s="10"/>
      <c r="B179" s="835" t="str">
        <f>'Obrazac kalkulacije'!$B$6:$C$6</f>
        <v>Opis</v>
      </c>
      <c r="C179" s="835"/>
      <c r="D179" s="10" t="str">
        <f>'Obrazac kalkulacije'!$D$6</f>
        <v>Jed.
mjere</v>
      </c>
      <c r="E179" s="10" t="str">
        <f>'Obrazac kalkulacije'!$E$6</f>
        <v>Normativ</v>
      </c>
      <c r="F179" s="10" t="str">
        <f>'Obrazac kalkulacije'!$F$6</f>
        <v>Jed.
cijena</v>
      </c>
      <c r="G179" s="10" t="str">
        <f>'Obrazac kalkulacije'!$G$6</f>
        <v>Iznos</v>
      </c>
      <c r="I179" s="10"/>
      <c r="J179" s="835" t="e">
        <f>'Obrazac kalkulacije'!$B$6:$C$6</f>
        <v>#VALUE!</v>
      </c>
      <c r="K179" s="835"/>
      <c r="L179" s="10" t="str">
        <f>'Obrazac kalkulacije'!$D$6</f>
        <v>Jed.
mjere</v>
      </c>
      <c r="M179" s="10" t="str">
        <f>'Obrazac kalkulacije'!$E$6</f>
        <v>Normativ</v>
      </c>
      <c r="N179" s="10" t="str">
        <f>'Obrazac kalkulacije'!$F$6</f>
        <v>Jed.
cijena</v>
      </c>
      <c r="O179" s="10" t="str">
        <f>'Obrazac kalkulacije'!$G$6</f>
        <v>Iznos</v>
      </c>
    </row>
    <row r="180" spans="1:15" ht="4.5" customHeight="1" thickTop="1">
      <c r="B180" s="42"/>
      <c r="C180" s="1"/>
      <c r="D180" s="11"/>
      <c r="E180" s="13"/>
      <c r="F180" s="258"/>
      <c r="G180" s="15"/>
      <c r="J180" s="42"/>
      <c r="K180" s="1"/>
      <c r="L180" s="11"/>
      <c r="M180" s="13"/>
      <c r="N180" s="258"/>
      <c r="O180" s="15"/>
    </row>
    <row r="181" spans="1:15" ht="25.15" customHeight="1">
      <c r="A181" s="16"/>
      <c r="B181" s="837" t="s">
        <v>565</v>
      </c>
      <c r="C181" s="837"/>
      <c r="D181" s="16"/>
      <c r="E181" s="16"/>
      <c r="F181" s="44"/>
      <c r="G181" s="18">
        <f>SUM(G182:G182)</f>
        <v>0.28182440000000003</v>
      </c>
      <c r="I181" s="16"/>
      <c r="J181" s="837" t="s">
        <v>565</v>
      </c>
      <c r="K181" s="837"/>
      <c r="L181" s="16"/>
      <c r="M181" s="16"/>
      <c r="N181" s="44"/>
      <c r="O181" s="18">
        <f>SUM(O182:O182)</f>
        <v>0.28182440000000003</v>
      </c>
    </row>
    <row r="182" spans="1:15" ht="25.15" customHeight="1">
      <c r="A182" s="32"/>
      <c r="B182" s="854" t="s">
        <v>53</v>
      </c>
      <c r="C182" s="854"/>
      <c r="D182" s="33" t="s">
        <v>51</v>
      </c>
      <c r="E182" s="34">
        <v>2.8600000000000001E-3</v>
      </c>
      <c r="F182" s="238">
        <f>SUMIF('Cjenik RS'!$C$11:$C$26,$B182,'Cjenik RS'!$D$11:$D$90)</f>
        <v>98.54</v>
      </c>
      <c r="G182" s="35">
        <f>E182*F182</f>
        <v>0.28182440000000003</v>
      </c>
      <c r="I182" s="32"/>
      <c r="J182" s="854" t="s">
        <v>53</v>
      </c>
      <c r="K182" s="854"/>
      <c r="L182" s="33" t="s">
        <v>51</v>
      </c>
      <c r="M182" s="34">
        <v>2.8600000000000001E-3</v>
      </c>
      <c r="N182" s="238">
        <f>SUMIF('Cjenik RS'!$C$11:$C$26,J182,'Cjenik RS'!$D$11:$D$90)</f>
        <v>98.54</v>
      </c>
      <c r="O182" s="35">
        <f>M182*N182</f>
        <v>0.28182440000000003</v>
      </c>
    </row>
    <row r="183" spans="1:15" ht="25.15" customHeight="1">
      <c r="A183" s="16"/>
      <c r="B183" s="837" t="s">
        <v>566</v>
      </c>
      <c r="C183" s="837"/>
      <c r="D183" s="16"/>
      <c r="E183" s="16"/>
      <c r="F183" s="238"/>
      <c r="G183" s="18">
        <f>SUM(G184:G187)</f>
        <v>2.3618570000000001</v>
      </c>
      <c r="I183" s="16"/>
      <c r="J183" s="837" t="s">
        <v>566</v>
      </c>
      <c r="K183" s="837"/>
      <c r="L183" s="16"/>
      <c r="M183" s="16"/>
      <c r="N183" s="238"/>
      <c r="O183" s="18">
        <f>SUM(O184:O187)</f>
        <v>1.9199853200000003</v>
      </c>
    </row>
    <row r="184" spans="1:15" ht="25.15" customHeight="1">
      <c r="A184" s="51"/>
      <c r="B184" s="863" t="s">
        <v>217</v>
      </c>
      <c r="C184" s="863"/>
      <c r="D184" s="52" t="s">
        <v>51</v>
      </c>
      <c r="E184" s="53">
        <v>5.4999999999999997E-3</v>
      </c>
      <c r="F184" s="260">
        <f>SUMIF('Cjenik VSO'!$B$9:$B$85,$B184,'Cjenik VSO'!$C$9:$C$85)</f>
        <v>367.61</v>
      </c>
      <c r="G184" s="55">
        <f>E184*F184</f>
        <v>2.021855</v>
      </c>
      <c r="I184" s="51"/>
      <c r="J184" s="863" t="s">
        <v>217</v>
      </c>
      <c r="K184" s="863"/>
      <c r="L184" s="52" t="s">
        <v>51</v>
      </c>
      <c r="M184" s="53">
        <v>4.4140000000000004E-3</v>
      </c>
      <c r="N184" s="260">
        <f>SUMIF('Cjenik VSO'!$B$9:$B$85,$B184,'Cjenik VSO'!$C$9:$C$85)</f>
        <v>367.61</v>
      </c>
      <c r="O184" s="55">
        <f>M184*N184</f>
        <v>1.6226305400000003</v>
      </c>
    </row>
    <row r="185" spans="1:15" ht="25.15" customHeight="1">
      <c r="A185" s="56"/>
      <c r="B185" s="834" t="s">
        <v>599</v>
      </c>
      <c r="C185" s="834"/>
      <c r="D185" s="57" t="s">
        <v>51</v>
      </c>
      <c r="E185" s="58">
        <f>E184</f>
        <v>5.4999999999999997E-3</v>
      </c>
      <c r="F185" s="263">
        <f>SUMIF('Cjenik VSO'!$B$9:$B$85,$B185,'Cjenik VSO'!$C$9:$C$85)</f>
        <v>39.270000000000003</v>
      </c>
      <c r="G185" s="60">
        <f>E185*F185</f>
        <v>0.21598500000000001</v>
      </c>
      <c r="I185" s="56"/>
      <c r="J185" s="834" t="s">
        <v>599</v>
      </c>
      <c r="K185" s="834"/>
      <c r="L185" s="57" t="s">
        <v>51</v>
      </c>
      <c r="M185" s="58">
        <v>4.4140000000000004E-3</v>
      </c>
      <c r="N185" s="263">
        <f>SUMIF('Cjenik VSO'!$B$9:$B$85,$B185,'Cjenik VSO'!$C$9:$C$85)</f>
        <v>39.270000000000003</v>
      </c>
      <c r="O185" s="60">
        <f>M185*N185</f>
        <v>0.17333778000000002</v>
      </c>
    </row>
    <row r="186" spans="1:15" ht="25.15" customHeight="1">
      <c r="A186" s="56"/>
      <c r="B186" s="834" t="s">
        <v>74</v>
      </c>
      <c r="C186" s="834"/>
      <c r="D186" s="57" t="s">
        <v>51</v>
      </c>
      <c r="E186" s="58">
        <v>2.6800000000000001E-4</v>
      </c>
      <c r="F186" s="263">
        <f>SUMIF('Cjenik VSO'!$B$9:$B$85,$B186,'Cjenik VSO'!$C$9:$C$85)</f>
        <v>355.64</v>
      </c>
      <c r="G186" s="60">
        <f>E186*F186</f>
        <v>9.5311519999999997E-2</v>
      </c>
      <c r="I186" s="56"/>
      <c r="J186" s="834" t="s">
        <v>74</v>
      </c>
      <c r="K186" s="834"/>
      <c r="L186" s="57" t="s">
        <v>51</v>
      </c>
      <c r="M186" s="58">
        <v>2.6800000000000001E-4</v>
      </c>
      <c r="N186" s="263">
        <f>SUMIF('Cjenik VSO'!$B$9:$B$85,$B186,'Cjenik VSO'!$C$9:$C$85)</f>
        <v>355.64</v>
      </c>
      <c r="O186" s="60">
        <f>M186*N186</f>
        <v>9.5311519999999997E-2</v>
      </c>
    </row>
    <row r="187" spans="1:15" ht="25.15" customHeight="1" thickBot="1">
      <c r="A187" s="66"/>
      <c r="B187" s="859" t="s">
        <v>81</v>
      </c>
      <c r="C187" s="859"/>
      <c r="D187" s="67" t="s">
        <v>51</v>
      </c>
      <c r="E187" s="68">
        <v>2.6800000000000001E-4</v>
      </c>
      <c r="F187" s="262">
        <f>SUMIF('Cjenik VSO'!$B$9:$B$85,$B187,'Cjenik VSO'!$C$9:$C$85)</f>
        <v>107.11</v>
      </c>
      <c r="G187" s="70">
        <f>E187*F187</f>
        <v>2.8705480000000002E-2</v>
      </c>
      <c r="I187" s="66"/>
      <c r="J187" s="859" t="s">
        <v>81</v>
      </c>
      <c r="K187" s="859"/>
      <c r="L187" s="67" t="s">
        <v>51</v>
      </c>
      <c r="M187" s="68">
        <v>2.6800000000000001E-4</v>
      </c>
      <c r="N187" s="262">
        <f>SUMIF('Cjenik VSO'!$B$9:$B$85,$B187,'Cjenik VSO'!$C$9:$C$85)</f>
        <v>107.11</v>
      </c>
      <c r="O187" s="70">
        <f>M187*N187</f>
        <v>2.8705480000000002E-2</v>
      </c>
    </row>
    <row r="188" spans="1:15" ht="25.15" customHeight="1" thickTop="1" thickBot="1">
      <c r="B188" s="47"/>
      <c r="C188" s="24"/>
      <c r="D188" s="25"/>
      <c r="E188" s="850" t="str">
        <f>'Obrazac kalkulacije'!$E$18</f>
        <v>Ukupno (kn):</v>
      </c>
      <c r="F188" s="850"/>
      <c r="G188" s="26">
        <f>ROUND(SUM(G181+G183),2)</f>
        <v>2.64</v>
      </c>
      <c r="H188" s="269" t="e">
        <f>SUMIF(#REF!,$B177,#REF!)</f>
        <v>#REF!</v>
      </c>
      <c r="J188" s="47"/>
      <c r="K188" s="24"/>
      <c r="L188" s="25"/>
      <c r="M188" s="850" t="str">
        <f>'Obrazac kalkulacije'!$E$18</f>
        <v>Ukupno (kn):</v>
      </c>
      <c r="N188" s="850"/>
      <c r="O188" s="26">
        <f>ROUND(SUM(O181+O183),2)</f>
        <v>2.2000000000000002</v>
      </c>
    </row>
    <row r="189" spans="1:15" ht="25.15" customHeight="1" thickTop="1" thickBot="1">
      <c r="E189" s="27" t="str">
        <f>'Obrazac kalkulacije'!$E$19</f>
        <v>PDV:</v>
      </c>
      <c r="F189" s="259">
        <f>'Obrazac kalkulacije'!$F$19</f>
        <v>0.25</v>
      </c>
      <c r="G189" s="29">
        <f>G188*F189</f>
        <v>0.66</v>
      </c>
      <c r="H189" s="270" t="e">
        <f>H188-G188</f>
        <v>#REF!</v>
      </c>
      <c r="M189" s="27" t="str">
        <f>'Obrazac kalkulacije'!$E$19</f>
        <v>PDV:</v>
      </c>
      <c r="N189" s="259">
        <f>'Obrazac kalkulacije'!$F$19</f>
        <v>0.25</v>
      </c>
      <c r="O189" s="29">
        <f>O188*N189</f>
        <v>0.55000000000000004</v>
      </c>
    </row>
    <row r="190" spans="1:15" ht="25.15" customHeight="1" thickTop="1" thickBot="1">
      <c r="E190" s="840" t="str">
        <f>'Obrazac kalkulacije'!$E$20</f>
        <v>Sveukupno (kn):</v>
      </c>
      <c r="F190" s="840"/>
      <c r="G190" s="29">
        <f>ROUND(SUM(G188:G189),2)</f>
        <v>3.3</v>
      </c>
      <c r="H190" s="271" t="e">
        <f>G184+H189</f>
        <v>#REF!</v>
      </c>
      <c r="M190" s="840" t="str">
        <f>'Obrazac kalkulacije'!$E$20</f>
        <v>Sveukupno (kn):</v>
      </c>
      <c r="N190" s="840"/>
      <c r="O190" s="29">
        <f>ROUND(SUM(O188:O189),2)</f>
        <v>2.75</v>
      </c>
    </row>
    <row r="191" spans="1:15" ht="15" customHeight="1" thickTop="1"/>
    <row r="192" spans="1:15" ht="15" customHeight="1"/>
    <row r="193" spans="1:15" ht="15" customHeight="1"/>
    <row r="194" spans="1:15" ht="15" customHeight="1">
      <c r="C194" s="3" t="str">
        <f>'Obrazac kalkulacije'!$C$24</f>
        <v>IZVODITELJ:</v>
      </c>
      <c r="F194" s="841" t="str">
        <f>'Obrazac kalkulacije'!$F$24</f>
        <v>NARUČITELJ:</v>
      </c>
      <c r="G194" s="841"/>
      <c r="K194" s="3" t="str">
        <f>'Obrazac kalkulacije'!$C$24</f>
        <v>IZVODITELJ:</v>
      </c>
      <c r="N194" s="841" t="str">
        <f>'Obrazac kalkulacije'!$F$24</f>
        <v>NARUČITELJ:</v>
      </c>
      <c r="O194" s="841"/>
    </row>
    <row r="195" spans="1:15" ht="25.15" customHeight="1">
      <c r="C195" s="3" t="str">
        <f>'Obrazac kalkulacije'!$C$25</f>
        <v>__________________</v>
      </c>
      <c r="F195" s="841" t="str">
        <f>'Obrazac kalkulacije'!$F$25</f>
        <v>___________________</v>
      </c>
      <c r="G195" s="841"/>
      <c r="K195" s="3" t="str">
        <f>'Obrazac kalkulacije'!$C$25</f>
        <v>__________________</v>
      </c>
      <c r="N195" s="841" t="str">
        <f>'Obrazac kalkulacije'!$F$25</f>
        <v>___________________</v>
      </c>
      <c r="O195" s="841"/>
    </row>
    <row r="196" spans="1:15" ht="15" customHeight="1">
      <c r="F196" s="841"/>
      <c r="G196" s="841"/>
      <c r="N196" s="841"/>
      <c r="O196" s="841"/>
    </row>
    <row r="197" spans="1:15" ht="15" customHeight="1"/>
    <row r="198" spans="1:15" ht="15" customHeight="1">
      <c r="A198" s="149"/>
      <c r="B198" s="145" t="s">
        <v>561</v>
      </c>
      <c r="C198" s="836" t="s">
        <v>562</v>
      </c>
      <c r="D198" s="836"/>
      <c r="E198" s="836"/>
      <c r="F198" s="836"/>
      <c r="G198" s="836"/>
      <c r="I198" s="149"/>
      <c r="J198" s="145" t="s">
        <v>561</v>
      </c>
      <c r="K198" s="836" t="s">
        <v>562</v>
      </c>
      <c r="L198" s="836"/>
      <c r="M198" s="836"/>
      <c r="N198" s="836"/>
      <c r="O198" s="836"/>
    </row>
    <row r="199" spans="1:15" ht="150" customHeight="1">
      <c r="A199" s="9"/>
      <c r="B199" s="556" t="s">
        <v>600</v>
      </c>
      <c r="C199" s="852" t="s">
        <v>601</v>
      </c>
      <c r="D199" s="852"/>
      <c r="E199" s="852"/>
      <c r="F199" s="852"/>
      <c r="G199" s="852"/>
      <c r="I199" s="9"/>
      <c r="J199" s="41" t="s">
        <v>600</v>
      </c>
      <c r="K199" s="869" t="s">
        <v>601</v>
      </c>
      <c r="L199" s="869"/>
      <c r="M199" s="869"/>
      <c r="N199" s="869"/>
      <c r="O199" s="869"/>
    </row>
    <row r="200" spans="1:15" ht="15" customHeight="1" thickBot="1"/>
    <row r="201" spans="1:15" ht="30" customHeight="1" thickTop="1" thickBot="1">
      <c r="A201" s="10"/>
      <c r="B201" s="835" t="str">
        <f>'Obrazac kalkulacije'!$B$6:$C$6</f>
        <v>Opis</v>
      </c>
      <c r="C201" s="835"/>
      <c r="D201" s="10" t="str">
        <f>'Obrazac kalkulacije'!$D$6</f>
        <v>Jed.
mjere</v>
      </c>
      <c r="E201" s="10" t="str">
        <f>'Obrazac kalkulacije'!$E$6</f>
        <v>Normativ</v>
      </c>
      <c r="F201" s="10" t="str">
        <f>'Obrazac kalkulacije'!$F$6</f>
        <v>Jed.
cijena</v>
      </c>
      <c r="G201" s="10" t="str">
        <f>'Obrazac kalkulacije'!$G$6</f>
        <v>Iznos</v>
      </c>
      <c r="I201" s="10"/>
      <c r="J201" s="835" t="e">
        <f>'Obrazac kalkulacije'!$B$6:$C$6</f>
        <v>#VALUE!</v>
      </c>
      <c r="K201" s="835"/>
      <c r="L201" s="10" t="str">
        <f>'Obrazac kalkulacije'!$D$6</f>
        <v>Jed.
mjere</v>
      </c>
      <c r="M201" s="10" t="str">
        <f>'Obrazac kalkulacije'!$E$6</f>
        <v>Normativ</v>
      </c>
      <c r="N201" s="10" t="str">
        <f>'Obrazac kalkulacije'!$F$6</f>
        <v>Jed.
cijena</v>
      </c>
      <c r="O201" s="10" t="str">
        <f>'Obrazac kalkulacije'!$G$6</f>
        <v>Iznos</v>
      </c>
    </row>
    <row r="202" spans="1:15" ht="4.5" customHeight="1" thickTop="1">
      <c r="B202" s="42"/>
      <c r="C202" s="1"/>
      <c r="D202" s="11"/>
      <c r="E202" s="13"/>
      <c r="F202" s="258"/>
      <c r="G202" s="15"/>
      <c r="J202" s="42"/>
      <c r="K202" s="1"/>
      <c r="L202" s="11"/>
      <c r="M202" s="13"/>
      <c r="N202" s="258"/>
      <c r="O202" s="15"/>
    </row>
    <row r="203" spans="1:15" ht="25.15" customHeight="1">
      <c r="A203" s="16"/>
      <c r="B203" s="837" t="s">
        <v>565</v>
      </c>
      <c r="C203" s="837"/>
      <c r="D203" s="16"/>
      <c r="E203" s="16"/>
      <c r="F203" s="44"/>
      <c r="G203" s="18">
        <f>SUM(G204:G204)</f>
        <v>16.549793000000001</v>
      </c>
      <c r="I203" s="16"/>
      <c r="J203" s="837" t="s">
        <v>565</v>
      </c>
      <c r="K203" s="837"/>
      <c r="L203" s="16"/>
      <c r="M203" s="16"/>
      <c r="N203" s="44"/>
      <c r="O203" s="18">
        <f>SUM(O204:O204)</f>
        <v>16.549793000000001</v>
      </c>
    </row>
    <row r="204" spans="1:15" ht="25.15" customHeight="1">
      <c r="A204" s="32"/>
      <c r="B204" s="854" t="s">
        <v>53</v>
      </c>
      <c r="C204" s="854"/>
      <c r="D204" s="33" t="s">
        <v>51</v>
      </c>
      <c r="E204" s="34">
        <v>0.16794999999999999</v>
      </c>
      <c r="F204" s="238">
        <f>SUMIF('Cjenik RS'!$C$11:$C$26,$B204,'Cjenik RS'!$D$11:$D$90)</f>
        <v>98.54</v>
      </c>
      <c r="G204" s="35">
        <f>E204*F204</f>
        <v>16.549793000000001</v>
      </c>
      <c r="I204" s="32"/>
      <c r="J204" s="854" t="s">
        <v>53</v>
      </c>
      <c r="K204" s="854"/>
      <c r="L204" s="33" t="s">
        <v>51</v>
      </c>
      <c r="M204" s="34">
        <v>0.16794999999999999</v>
      </c>
      <c r="N204" s="238">
        <f>SUMIF('Cjenik RS'!$C$11:$C$26,J204,'Cjenik RS'!$D$11:$D$90)</f>
        <v>98.54</v>
      </c>
      <c r="O204" s="35">
        <f>M204*N204</f>
        <v>16.549793000000001</v>
      </c>
    </row>
    <row r="205" spans="1:15" ht="25.15" customHeight="1">
      <c r="A205" s="16"/>
      <c r="B205" s="837" t="s">
        <v>566</v>
      </c>
      <c r="C205" s="837"/>
      <c r="D205" s="16"/>
      <c r="E205" s="16"/>
      <c r="F205" s="238"/>
      <c r="G205" s="18">
        <f>SUM(G206:G208)</f>
        <v>9.0834624000000002</v>
      </c>
      <c r="I205" s="16"/>
      <c r="J205" s="837" t="s">
        <v>566</v>
      </c>
      <c r="K205" s="837"/>
      <c r="L205" s="16"/>
      <c r="M205" s="16"/>
      <c r="N205" s="238"/>
      <c r="O205" s="18">
        <f>SUM(O206:O208)</f>
        <v>9.0834624000000002</v>
      </c>
    </row>
    <row r="206" spans="1:15" ht="25.15" customHeight="1">
      <c r="A206" s="51"/>
      <c r="B206" s="863" t="s">
        <v>571</v>
      </c>
      <c r="C206" s="863"/>
      <c r="D206" s="52" t="s">
        <v>51</v>
      </c>
      <c r="E206" s="53">
        <v>0.16</v>
      </c>
      <c r="F206" s="260">
        <f>SUMIF('Cjenik VSO'!$B$9:$B$85,$B206,'Cjenik VSO'!$C$9:$C$85)</f>
        <v>33.26</v>
      </c>
      <c r="G206" s="55">
        <f>E206*F206</f>
        <v>5.3216000000000001</v>
      </c>
      <c r="I206" s="51"/>
      <c r="J206" s="863" t="s">
        <v>571</v>
      </c>
      <c r="K206" s="863"/>
      <c r="L206" s="52" t="s">
        <v>51</v>
      </c>
      <c r="M206" s="53">
        <v>0.16</v>
      </c>
      <c r="N206" s="260">
        <f>SUMIF('Cjenik VSO'!$B$9:$B$85,$B206,'Cjenik VSO'!$C$9:$C$85)</f>
        <v>33.26</v>
      </c>
      <c r="O206" s="55">
        <f>M206*N206</f>
        <v>5.3216000000000001</v>
      </c>
    </row>
    <row r="207" spans="1:15" ht="25.15" customHeight="1">
      <c r="A207" s="56"/>
      <c r="B207" s="834" t="s">
        <v>570</v>
      </c>
      <c r="C207" s="834"/>
      <c r="D207" s="57" t="s">
        <v>51</v>
      </c>
      <c r="E207" s="58">
        <v>1.0385E-2</v>
      </c>
      <c r="F207" s="263">
        <f>SUMIF('Cjenik VSO'!$B$9:$B$85,$B207,'Cjenik VSO'!$C$9:$C$85)</f>
        <v>293.52999999999997</v>
      </c>
      <c r="G207" s="60">
        <f>E207*F207</f>
        <v>3.0483090499999999</v>
      </c>
      <c r="I207" s="56"/>
      <c r="J207" s="834" t="s">
        <v>570</v>
      </c>
      <c r="K207" s="834"/>
      <c r="L207" s="57" t="s">
        <v>51</v>
      </c>
      <c r="M207" s="58">
        <v>1.0385E-2</v>
      </c>
      <c r="N207" s="263">
        <f>SUMIF('Cjenik VSO'!$B$9:$B$85,$B207,'Cjenik VSO'!$C$9:$C$85)</f>
        <v>293.52999999999997</v>
      </c>
      <c r="O207" s="60">
        <f>M207*N207</f>
        <v>3.0483090499999999</v>
      </c>
    </row>
    <row r="208" spans="1:15" ht="25.15" customHeight="1" thickBot="1">
      <c r="A208" s="66"/>
      <c r="B208" s="859" t="s">
        <v>572</v>
      </c>
      <c r="C208" s="859"/>
      <c r="D208" s="67" t="s">
        <v>51</v>
      </c>
      <c r="E208" s="68">
        <v>1.0385E-2</v>
      </c>
      <c r="F208" s="262">
        <f>SUMIF('Cjenik VSO'!$B$9:$B$85,$B208,'Cjenik VSO'!$C$9:$C$85)</f>
        <v>68.709999999999994</v>
      </c>
      <c r="G208" s="70">
        <f>E208*F208</f>
        <v>0.71355334999999998</v>
      </c>
      <c r="I208" s="66"/>
      <c r="J208" s="859" t="s">
        <v>572</v>
      </c>
      <c r="K208" s="859"/>
      <c r="L208" s="67" t="s">
        <v>51</v>
      </c>
      <c r="M208" s="68">
        <v>1.0385E-2</v>
      </c>
      <c r="N208" s="262">
        <f>SUMIF('Cjenik VSO'!$B$9:$B$85,$B208,'Cjenik VSO'!$C$9:$C$85)</f>
        <v>68.709999999999994</v>
      </c>
      <c r="O208" s="70">
        <f>M208*N208</f>
        <v>0.71355334999999998</v>
      </c>
    </row>
    <row r="209" spans="1:15" ht="25.15" customHeight="1" thickTop="1" thickBot="1">
      <c r="B209" s="47"/>
      <c r="C209" s="24"/>
      <c r="D209" s="25"/>
      <c r="E209" s="850" t="str">
        <f>'Obrazac kalkulacije'!$E$18</f>
        <v>Ukupno (kn):</v>
      </c>
      <c r="F209" s="850"/>
      <c r="G209" s="26">
        <f>ROUND(SUM(G203+G205),2)</f>
        <v>25.63</v>
      </c>
      <c r="H209" s="269" t="e">
        <f>SUMIF(#REF!,$B199,#REF!)</f>
        <v>#REF!</v>
      </c>
      <c r="J209" s="47"/>
      <c r="K209" s="24"/>
      <c r="L209" s="25"/>
      <c r="M209" s="850" t="str">
        <f>'Obrazac kalkulacije'!$E$18</f>
        <v>Ukupno (kn):</v>
      </c>
      <c r="N209" s="850"/>
      <c r="O209" s="26">
        <f>ROUND(SUM(O203+O205),2)</f>
        <v>25.63</v>
      </c>
    </row>
    <row r="210" spans="1:15" ht="25.15" customHeight="1" thickTop="1" thickBot="1">
      <c r="E210" s="27" t="str">
        <f>'Obrazac kalkulacije'!$E$19</f>
        <v>PDV:</v>
      </c>
      <c r="F210" s="259">
        <f>'Obrazac kalkulacije'!$F$19</f>
        <v>0.25</v>
      </c>
      <c r="G210" s="29">
        <f>G209*F210</f>
        <v>6.4074999999999998</v>
      </c>
      <c r="H210" s="270" t="e">
        <f>H209-G209</f>
        <v>#REF!</v>
      </c>
      <c r="M210" s="27" t="str">
        <f>'Obrazac kalkulacije'!$E$19</f>
        <v>PDV:</v>
      </c>
      <c r="N210" s="259">
        <f>'Obrazac kalkulacije'!$F$19</f>
        <v>0.25</v>
      </c>
      <c r="O210" s="29">
        <f>O209*N210</f>
        <v>6.4074999999999998</v>
      </c>
    </row>
    <row r="211" spans="1:15" ht="25.15" customHeight="1" thickTop="1" thickBot="1">
      <c r="E211" s="840" t="str">
        <f>'Obrazac kalkulacije'!$E$20</f>
        <v>Sveukupno (kn):</v>
      </c>
      <c r="F211" s="840"/>
      <c r="G211" s="29">
        <f>ROUND(SUM(G209:G210),2)</f>
        <v>32.04</v>
      </c>
      <c r="H211" s="271" t="e">
        <f>G206+H210</f>
        <v>#REF!</v>
      </c>
      <c r="M211" s="840" t="str">
        <f>'Obrazac kalkulacije'!$E$20</f>
        <v>Sveukupno (kn):</v>
      </c>
      <c r="N211" s="840"/>
      <c r="O211" s="29">
        <f>ROUND(SUM(O209:O210),2)</f>
        <v>32.04</v>
      </c>
    </row>
    <row r="212" spans="1:15" ht="15" customHeight="1" thickTop="1"/>
    <row r="213" spans="1:15" ht="15" customHeight="1"/>
    <row r="214" spans="1:15" ht="15" customHeight="1"/>
    <row r="215" spans="1:15" ht="15" customHeight="1">
      <c r="C215" s="3" t="str">
        <f>'Obrazac kalkulacije'!$C$24</f>
        <v>IZVODITELJ:</v>
      </c>
      <c r="F215" s="841" t="str">
        <f>'Obrazac kalkulacije'!$F$24</f>
        <v>NARUČITELJ:</v>
      </c>
      <c r="G215" s="841"/>
      <c r="K215" s="3" t="str">
        <f>'Obrazac kalkulacije'!$C$24</f>
        <v>IZVODITELJ:</v>
      </c>
      <c r="N215" s="841" t="str">
        <f>'Obrazac kalkulacije'!$F$24</f>
        <v>NARUČITELJ:</v>
      </c>
      <c r="O215" s="841"/>
    </row>
    <row r="216" spans="1:15" ht="25.15" customHeight="1">
      <c r="C216" s="3" t="str">
        <f>'Obrazac kalkulacije'!$C$25</f>
        <v>__________________</v>
      </c>
      <c r="F216" s="841" t="str">
        <f>'Obrazac kalkulacije'!$F$25</f>
        <v>___________________</v>
      </c>
      <c r="G216" s="841"/>
      <c r="K216" s="3" t="str">
        <f>'Obrazac kalkulacije'!$C$25</f>
        <v>__________________</v>
      </c>
      <c r="N216" s="841" t="str">
        <f>'Obrazac kalkulacije'!$F$25</f>
        <v>___________________</v>
      </c>
      <c r="O216" s="841"/>
    </row>
    <row r="217" spans="1:15" ht="15" customHeight="1">
      <c r="F217" s="841"/>
      <c r="G217" s="841"/>
      <c r="N217" s="841"/>
      <c r="O217" s="841"/>
    </row>
    <row r="218" spans="1:15" ht="15" customHeight="1"/>
    <row r="219" spans="1:15" ht="15" customHeight="1">
      <c r="A219" s="149"/>
      <c r="B219" s="145" t="s">
        <v>561</v>
      </c>
      <c r="C219" s="836" t="s">
        <v>562</v>
      </c>
      <c r="D219" s="836"/>
      <c r="E219" s="836"/>
      <c r="F219" s="836"/>
      <c r="G219" s="836"/>
      <c r="I219" s="149"/>
      <c r="J219" s="145" t="s">
        <v>561</v>
      </c>
      <c r="K219" s="836" t="s">
        <v>562</v>
      </c>
      <c r="L219" s="836"/>
      <c r="M219" s="836"/>
      <c r="N219" s="836"/>
      <c r="O219" s="836"/>
    </row>
    <row r="220" spans="1:15" ht="150" customHeight="1">
      <c r="A220" s="9"/>
      <c r="B220" s="556" t="s">
        <v>602</v>
      </c>
      <c r="C220" s="852" t="s">
        <v>603</v>
      </c>
      <c r="D220" s="852"/>
      <c r="E220" s="852"/>
      <c r="F220" s="852"/>
      <c r="G220" s="852"/>
      <c r="I220" s="9"/>
      <c r="J220" s="41" t="s">
        <v>602</v>
      </c>
      <c r="K220" s="869" t="s">
        <v>603</v>
      </c>
      <c r="L220" s="869"/>
      <c r="M220" s="869"/>
      <c r="N220" s="869"/>
      <c r="O220" s="869"/>
    </row>
    <row r="221" spans="1:15" ht="15" customHeight="1" thickBot="1"/>
    <row r="222" spans="1:15" ht="30" customHeight="1" thickTop="1" thickBot="1">
      <c r="A222" s="10"/>
      <c r="B222" s="835" t="str">
        <f>'Obrazac kalkulacije'!$B$6:$C$6</f>
        <v>Opis</v>
      </c>
      <c r="C222" s="835"/>
      <c r="D222" s="10" t="str">
        <f>'Obrazac kalkulacije'!$D$6</f>
        <v>Jed.
mjere</v>
      </c>
      <c r="E222" s="10" t="str">
        <f>'Obrazac kalkulacije'!$E$6</f>
        <v>Normativ</v>
      </c>
      <c r="F222" s="10" t="str">
        <f>'Obrazac kalkulacije'!$F$6</f>
        <v>Jed.
cijena</v>
      </c>
      <c r="G222" s="10" t="str">
        <f>'Obrazac kalkulacije'!$G$6</f>
        <v>Iznos</v>
      </c>
      <c r="I222" s="10"/>
      <c r="J222" s="835" t="e">
        <f>'Obrazac kalkulacije'!$B$6:$C$6</f>
        <v>#VALUE!</v>
      </c>
      <c r="K222" s="835"/>
      <c r="L222" s="10" t="str">
        <f>'Obrazac kalkulacije'!$D$6</f>
        <v>Jed.
mjere</v>
      </c>
      <c r="M222" s="10" t="str">
        <f>'Obrazac kalkulacije'!$E$6</f>
        <v>Normativ</v>
      </c>
      <c r="N222" s="10" t="str">
        <f>'Obrazac kalkulacije'!$F$6</f>
        <v>Jed.
cijena</v>
      </c>
      <c r="O222" s="10" t="str">
        <f>'Obrazac kalkulacije'!$G$6</f>
        <v>Iznos</v>
      </c>
    </row>
    <row r="223" spans="1:15" ht="4.5" customHeight="1" thickTop="1">
      <c r="B223" s="42"/>
      <c r="C223" s="1"/>
      <c r="D223" s="11"/>
      <c r="E223" s="13"/>
      <c r="F223" s="258"/>
      <c r="G223" s="15"/>
      <c r="J223" s="42"/>
      <c r="K223" s="1"/>
      <c r="L223" s="11"/>
      <c r="M223" s="13"/>
      <c r="N223" s="258"/>
      <c r="O223" s="15"/>
    </row>
    <row r="224" spans="1:15" ht="25.15" customHeight="1">
      <c r="A224" s="16"/>
      <c r="B224" s="837" t="s">
        <v>565</v>
      </c>
      <c r="C224" s="837"/>
      <c r="D224" s="16"/>
      <c r="E224" s="16"/>
      <c r="F224" s="44"/>
      <c r="G224" s="18">
        <f>SUM(G225:G225)</f>
        <v>27.79705006</v>
      </c>
      <c r="I224" s="16"/>
      <c r="J224" s="837" t="s">
        <v>565</v>
      </c>
      <c r="K224" s="837"/>
      <c r="L224" s="16"/>
      <c r="M224" s="16"/>
      <c r="N224" s="44"/>
      <c r="O224" s="18">
        <f>SUM(O225:O225)</f>
        <v>27.79705006</v>
      </c>
    </row>
    <row r="225" spans="1:15" ht="25.15" customHeight="1">
      <c r="A225" s="32"/>
      <c r="B225" s="854" t="s">
        <v>53</v>
      </c>
      <c r="C225" s="854"/>
      <c r="D225" s="33" t="s">
        <v>51</v>
      </c>
      <c r="E225" s="34">
        <v>0.28208899999999998</v>
      </c>
      <c r="F225" s="238">
        <f>SUMIF('Cjenik RS'!$C$11:$C$26,$B225,'Cjenik RS'!$D$11:$D$90)</f>
        <v>98.54</v>
      </c>
      <c r="G225" s="35">
        <f>E225*F225</f>
        <v>27.79705006</v>
      </c>
      <c r="I225" s="32"/>
      <c r="J225" s="854" t="s">
        <v>53</v>
      </c>
      <c r="K225" s="854"/>
      <c r="L225" s="33" t="s">
        <v>51</v>
      </c>
      <c r="M225" s="34">
        <v>0.28208899999999998</v>
      </c>
      <c r="N225" s="238">
        <f>SUMIF('Cjenik RS'!$C$11:$C$26,J225,'Cjenik RS'!$D$11:$D$90)</f>
        <v>98.54</v>
      </c>
      <c r="O225" s="35">
        <f>M225*N225</f>
        <v>27.79705006</v>
      </c>
    </row>
    <row r="226" spans="1:15" ht="25.15" customHeight="1">
      <c r="A226" s="16"/>
      <c r="B226" s="837" t="s">
        <v>566</v>
      </c>
      <c r="C226" s="837"/>
      <c r="D226" s="16"/>
      <c r="E226" s="16"/>
      <c r="F226" s="238"/>
      <c r="G226" s="18">
        <f>SUM(G227:G229)</f>
        <v>18.308540799999999</v>
      </c>
      <c r="I226" s="16"/>
      <c r="J226" s="837" t="s">
        <v>566</v>
      </c>
      <c r="K226" s="837"/>
      <c r="L226" s="16"/>
      <c r="M226" s="16"/>
      <c r="N226" s="238"/>
      <c r="O226" s="18">
        <f>SUM(O227:O229)</f>
        <v>18.308540799999999</v>
      </c>
    </row>
    <row r="227" spans="1:15" ht="25.15" customHeight="1">
      <c r="A227" s="51"/>
      <c r="B227" s="863" t="s">
        <v>571</v>
      </c>
      <c r="C227" s="863"/>
      <c r="D227" s="52" t="s">
        <v>51</v>
      </c>
      <c r="E227" s="53">
        <v>0.26</v>
      </c>
      <c r="F227" s="260">
        <f>SUMIF('Cjenik VSO'!$B$9:$B$85,$B227,'Cjenik VSO'!$C$9:$C$85)</f>
        <v>33.26</v>
      </c>
      <c r="G227" s="55">
        <f>E227*F227</f>
        <v>8.6476000000000006</v>
      </c>
      <c r="I227" s="51"/>
      <c r="J227" s="863" t="s">
        <v>571</v>
      </c>
      <c r="K227" s="863"/>
      <c r="L227" s="52" t="s">
        <v>51</v>
      </c>
      <c r="M227" s="53">
        <v>0.26</v>
      </c>
      <c r="N227" s="260">
        <f>SUMIF('Cjenik VSO'!$B$9:$B$85,$B227,'Cjenik VSO'!$C$9:$C$85)</f>
        <v>33.26</v>
      </c>
      <c r="O227" s="55">
        <f>M227*N227</f>
        <v>8.6476000000000006</v>
      </c>
    </row>
    <row r="228" spans="1:15" ht="25.15" customHeight="1">
      <c r="A228" s="56"/>
      <c r="B228" s="834" t="s">
        <v>570</v>
      </c>
      <c r="C228" s="834"/>
      <c r="D228" s="57" t="s">
        <v>51</v>
      </c>
      <c r="E228" s="58">
        <v>2.6669999999999999E-2</v>
      </c>
      <c r="F228" s="263">
        <f>SUMIF('Cjenik VSO'!$B$9:$B$85,$B228,'Cjenik VSO'!$C$9:$C$85)</f>
        <v>293.52999999999997</v>
      </c>
      <c r="G228" s="60">
        <f>E228*F228</f>
        <v>7.8284450999999988</v>
      </c>
      <c r="I228" s="56"/>
      <c r="J228" s="834" t="s">
        <v>570</v>
      </c>
      <c r="K228" s="834"/>
      <c r="L228" s="57" t="s">
        <v>51</v>
      </c>
      <c r="M228" s="58">
        <v>2.6669999999999999E-2</v>
      </c>
      <c r="N228" s="263">
        <f>SUMIF('Cjenik VSO'!$B$9:$B$85,$B228,'Cjenik VSO'!$C$9:$C$85)</f>
        <v>293.52999999999997</v>
      </c>
      <c r="O228" s="60">
        <f>M228*N228</f>
        <v>7.8284450999999988</v>
      </c>
    </row>
    <row r="229" spans="1:15" ht="25.15" customHeight="1" thickBot="1">
      <c r="A229" s="66"/>
      <c r="B229" s="859" t="s">
        <v>572</v>
      </c>
      <c r="C229" s="859"/>
      <c r="D229" s="67" t="s">
        <v>51</v>
      </c>
      <c r="E229" s="68">
        <v>2.6669999999999999E-2</v>
      </c>
      <c r="F229" s="262">
        <f>SUMIF('Cjenik VSO'!$B$9:$B$85,$B229,'Cjenik VSO'!$C$9:$C$85)</f>
        <v>68.709999999999994</v>
      </c>
      <c r="G229" s="70">
        <f>E229*F229</f>
        <v>1.8324956999999997</v>
      </c>
      <c r="I229" s="66"/>
      <c r="J229" s="859" t="s">
        <v>572</v>
      </c>
      <c r="K229" s="859"/>
      <c r="L229" s="67" t="s">
        <v>51</v>
      </c>
      <c r="M229" s="68">
        <v>2.6669999999999999E-2</v>
      </c>
      <c r="N229" s="262">
        <f>SUMIF('Cjenik VSO'!$B$9:$B$85,$B229,'Cjenik VSO'!$C$9:$C$85)</f>
        <v>68.709999999999994</v>
      </c>
      <c r="O229" s="70">
        <f>M229*N229</f>
        <v>1.8324956999999997</v>
      </c>
    </row>
    <row r="230" spans="1:15" ht="25.15" customHeight="1" thickTop="1" thickBot="1">
      <c r="B230" s="47"/>
      <c r="C230" s="24"/>
      <c r="D230" s="25"/>
      <c r="E230" s="850" t="str">
        <f>'Obrazac kalkulacije'!$E$18</f>
        <v>Ukupno (kn):</v>
      </c>
      <c r="F230" s="850"/>
      <c r="G230" s="26">
        <f>ROUND(SUM(G224+G226),2)</f>
        <v>46.11</v>
      </c>
      <c r="H230" s="269" t="e">
        <f>SUMIF(#REF!,$B220,#REF!)</f>
        <v>#REF!</v>
      </c>
      <c r="J230" s="47"/>
      <c r="K230" s="24"/>
      <c r="L230" s="25"/>
      <c r="M230" s="850" t="str">
        <f>'Obrazac kalkulacije'!$E$18</f>
        <v>Ukupno (kn):</v>
      </c>
      <c r="N230" s="850"/>
      <c r="O230" s="26">
        <f>ROUND(SUM(O224+O226),2)</f>
        <v>46.11</v>
      </c>
    </row>
    <row r="231" spans="1:15" ht="25.15" customHeight="1" thickTop="1" thickBot="1">
      <c r="E231" s="27" t="str">
        <f>'Obrazac kalkulacije'!$E$19</f>
        <v>PDV:</v>
      </c>
      <c r="F231" s="259">
        <f>'Obrazac kalkulacije'!$F$19</f>
        <v>0.25</v>
      </c>
      <c r="G231" s="29">
        <f>G230*F231</f>
        <v>11.5275</v>
      </c>
      <c r="H231" s="270" t="e">
        <f>H230-G230</f>
        <v>#REF!</v>
      </c>
      <c r="M231" s="27" t="str">
        <f>'Obrazac kalkulacije'!$E$19</f>
        <v>PDV:</v>
      </c>
      <c r="N231" s="259">
        <f>'Obrazac kalkulacije'!$F$19</f>
        <v>0.25</v>
      </c>
      <c r="O231" s="29">
        <f>O230*N231</f>
        <v>11.5275</v>
      </c>
    </row>
    <row r="232" spans="1:15" ht="25.15" customHeight="1" thickTop="1" thickBot="1">
      <c r="E232" s="840" t="str">
        <f>'Obrazac kalkulacije'!$E$20</f>
        <v>Sveukupno (kn):</v>
      </c>
      <c r="F232" s="840"/>
      <c r="G232" s="29">
        <f>ROUND(SUM(G230:G231),2)</f>
        <v>57.64</v>
      </c>
      <c r="H232" s="271" t="e">
        <f>G227+H231</f>
        <v>#REF!</v>
      </c>
      <c r="M232" s="840" t="str">
        <f>'Obrazac kalkulacije'!$E$20</f>
        <v>Sveukupno (kn):</v>
      </c>
      <c r="N232" s="840"/>
      <c r="O232" s="29">
        <f>ROUND(SUM(O230:O231),2)</f>
        <v>57.64</v>
      </c>
    </row>
    <row r="233" spans="1:15" ht="15" customHeight="1" thickTop="1"/>
    <row r="234" spans="1:15" ht="15" customHeight="1"/>
    <row r="235" spans="1:15" ht="15" customHeight="1"/>
    <row r="236" spans="1:15" ht="15" customHeight="1">
      <c r="C236" s="3" t="str">
        <f>'Obrazac kalkulacije'!$C$24</f>
        <v>IZVODITELJ:</v>
      </c>
      <c r="F236" s="841" t="str">
        <f>'Obrazac kalkulacije'!$F$24</f>
        <v>NARUČITELJ:</v>
      </c>
      <c r="G236" s="841"/>
      <c r="K236" s="3" t="str">
        <f>'Obrazac kalkulacije'!$C$24</f>
        <v>IZVODITELJ:</v>
      </c>
      <c r="N236" s="841" t="str">
        <f>'Obrazac kalkulacije'!$F$24</f>
        <v>NARUČITELJ:</v>
      </c>
      <c r="O236" s="841"/>
    </row>
    <row r="237" spans="1:15" ht="25.15" customHeight="1">
      <c r="C237" s="3" t="str">
        <f>'Obrazac kalkulacije'!$C$25</f>
        <v>__________________</v>
      </c>
      <c r="F237" s="841" t="str">
        <f>'Obrazac kalkulacije'!$F$25</f>
        <v>___________________</v>
      </c>
      <c r="G237" s="841"/>
      <c r="K237" s="3" t="str">
        <f>'Obrazac kalkulacije'!$C$25</f>
        <v>__________________</v>
      </c>
      <c r="N237" s="841" t="str">
        <f>'Obrazac kalkulacije'!$F$25</f>
        <v>___________________</v>
      </c>
      <c r="O237" s="841"/>
    </row>
    <row r="238" spans="1:15" ht="15" customHeight="1">
      <c r="F238" s="841"/>
      <c r="G238" s="841"/>
      <c r="N238" s="841"/>
      <c r="O238" s="841"/>
    </row>
    <row r="239" spans="1:15" ht="15" customHeight="1"/>
    <row r="240" spans="1:15" ht="15" customHeight="1">
      <c r="A240" s="149"/>
      <c r="B240" s="145" t="s">
        <v>561</v>
      </c>
      <c r="C240" s="836" t="s">
        <v>562</v>
      </c>
      <c r="D240" s="836"/>
      <c r="E240" s="836"/>
      <c r="F240" s="836"/>
      <c r="G240" s="836"/>
      <c r="I240" s="149"/>
      <c r="J240" s="145" t="s">
        <v>561</v>
      </c>
      <c r="K240" s="836" t="s">
        <v>562</v>
      </c>
      <c r="L240" s="836"/>
      <c r="M240" s="836"/>
      <c r="N240" s="836"/>
      <c r="O240" s="836"/>
    </row>
    <row r="241" spans="1:15" ht="150" customHeight="1">
      <c r="A241" s="9"/>
      <c r="B241" s="556" t="s">
        <v>604</v>
      </c>
      <c r="C241" s="852" t="s">
        <v>605</v>
      </c>
      <c r="D241" s="852"/>
      <c r="E241" s="852"/>
      <c r="F241" s="852"/>
      <c r="G241" s="852"/>
      <c r="I241" s="9"/>
      <c r="J241" s="41" t="s">
        <v>604</v>
      </c>
      <c r="K241" s="869" t="s">
        <v>605</v>
      </c>
      <c r="L241" s="869"/>
      <c r="M241" s="869"/>
      <c r="N241" s="869"/>
      <c r="O241" s="869"/>
    </row>
    <row r="242" spans="1:15" ht="15" customHeight="1" thickBot="1"/>
    <row r="243" spans="1:15" ht="30" customHeight="1" thickTop="1" thickBot="1">
      <c r="A243" s="10"/>
      <c r="B243" s="835" t="str">
        <f>'Obrazac kalkulacije'!$B$6:$C$6</f>
        <v>Opis</v>
      </c>
      <c r="C243" s="835"/>
      <c r="D243" s="10" t="str">
        <f>'Obrazac kalkulacije'!$D$6</f>
        <v>Jed.
mjere</v>
      </c>
      <c r="E243" s="10" t="str">
        <f>'Obrazac kalkulacije'!$E$6</f>
        <v>Normativ</v>
      </c>
      <c r="F243" s="10" t="str">
        <f>'Obrazac kalkulacije'!$F$6</f>
        <v>Jed.
cijena</v>
      </c>
      <c r="G243" s="10" t="str">
        <f>'Obrazac kalkulacije'!$G$6</f>
        <v>Iznos</v>
      </c>
      <c r="I243" s="10"/>
      <c r="J243" s="835" t="e">
        <f>'Obrazac kalkulacije'!$B$6:$C$6</f>
        <v>#VALUE!</v>
      </c>
      <c r="K243" s="835"/>
      <c r="L243" s="10" t="str">
        <f>'Obrazac kalkulacije'!$D$6</f>
        <v>Jed.
mjere</v>
      </c>
      <c r="M243" s="10" t="str">
        <f>'Obrazac kalkulacije'!$E$6</f>
        <v>Normativ</v>
      </c>
      <c r="N243" s="10" t="str">
        <f>'Obrazac kalkulacije'!$F$6</f>
        <v>Jed.
cijena</v>
      </c>
      <c r="O243" s="10" t="str">
        <f>'Obrazac kalkulacije'!$G$6</f>
        <v>Iznos</v>
      </c>
    </row>
    <row r="244" spans="1:15" ht="4.5" customHeight="1" thickTop="1">
      <c r="B244" s="42"/>
      <c r="C244" s="1"/>
      <c r="D244" s="11"/>
      <c r="E244" s="13"/>
      <c r="F244" s="258"/>
      <c r="G244" s="15"/>
      <c r="J244" s="42"/>
      <c r="K244" s="1"/>
      <c r="L244" s="11"/>
      <c r="M244" s="13"/>
      <c r="N244" s="258"/>
      <c r="O244" s="15"/>
    </row>
    <row r="245" spans="1:15" ht="25.15" customHeight="1">
      <c r="A245" s="16"/>
      <c r="B245" s="837" t="s">
        <v>565</v>
      </c>
      <c r="C245" s="837"/>
      <c r="D245" s="16"/>
      <c r="E245" s="16"/>
      <c r="F245" s="44"/>
      <c r="G245" s="18">
        <f>SUM(G246:G246)</f>
        <v>68.305957200000009</v>
      </c>
      <c r="I245" s="16"/>
      <c r="J245" s="837" t="s">
        <v>565</v>
      </c>
      <c r="K245" s="837"/>
      <c r="L245" s="16"/>
      <c r="M245" s="16"/>
      <c r="N245" s="44"/>
      <c r="O245" s="18">
        <f>SUM(O246:O246)</f>
        <v>68.305957200000009</v>
      </c>
    </row>
    <row r="246" spans="1:15" ht="25.15" customHeight="1">
      <c r="A246" s="32"/>
      <c r="B246" s="854" t="s">
        <v>53</v>
      </c>
      <c r="C246" s="854"/>
      <c r="D246" s="33" t="s">
        <v>51</v>
      </c>
      <c r="E246" s="34">
        <v>0.69318000000000002</v>
      </c>
      <c r="F246" s="238">
        <f>SUMIF('Cjenik RS'!$C$11:$C$26,$B246,'Cjenik RS'!$D$11:$D$90)</f>
        <v>98.54</v>
      </c>
      <c r="G246" s="35">
        <f>E246*F246</f>
        <v>68.305957200000009</v>
      </c>
      <c r="I246" s="32"/>
      <c r="J246" s="854" t="s">
        <v>53</v>
      </c>
      <c r="K246" s="854"/>
      <c r="L246" s="33" t="s">
        <v>51</v>
      </c>
      <c r="M246" s="34">
        <v>0.69318000000000002</v>
      </c>
      <c r="N246" s="238">
        <f>SUMIF('Cjenik RS'!$C$11:$C$26,J246,'Cjenik RS'!$D$11:$D$90)</f>
        <v>98.54</v>
      </c>
      <c r="O246" s="35">
        <f>M246*N246</f>
        <v>68.305957200000009</v>
      </c>
    </row>
    <row r="247" spans="1:15" ht="25.15" customHeight="1">
      <c r="A247" s="16"/>
      <c r="B247" s="837" t="s">
        <v>566</v>
      </c>
      <c r="C247" s="837"/>
      <c r="D247" s="16"/>
      <c r="E247" s="16"/>
      <c r="F247" s="238"/>
      <c r="G247" s="18">
        <f>SUM(G248:G250)</f>
        <v>66.773561599999994</v>
      </c>
      <c r="I247" s="16"/>
      <c r="J247" s="837" t="s">
        <v>566</v>
      </c>
      <c r="K247" s="837"/>
      <c r="L247" s="16"/>
      <c r="M247" s="16"/>
      <c r="N247" s="238"/>
      <c r="O247" s="18">
        <f>SUM(O248:O250)</f>
        <v>66.773561599999994</v>
      </c>
    </row>
    <row r="248" spans="1:15" ht="25.15" customHeight="1">
      <c r="A248" s="51"/>
      <c r="B248" s="863" t="s">
        <v>571</v>
      </c>
      <c r="C248" s="863"/>
      <c r="D248" s="52" t="s">
        <v>51</v>
      </c>
      <c r="E248" s="53">
        <v>0.52</v>
      </c>
      <c r="F248" s="260">
        <f>SUMIF('Cjenik VSO'!$B$9:$B$85,$B248,'Cjenik VSO'!$C$9:$C$85)</f>
        <v>33.26</v>
      </c>
      <c r="G248" s="55">
        <f>E248*F248</f>
        <v>17.295200000000001</v>
      </c>
      <c r="I248" s="51"/>
      <c r="J248" s="863" t="s">
        <v>571</v>
      </c>
      <c r="K248" s="863"/>
      <c r="L248" s="52" t="s">
        <v>51</v>
      </c>
      <c r="M248" s="53">
        <v>0.52</v>
      </c>
      <c r="N248" s="260">
        <f>SUMIF('Cjenik VSO'!$B$9:$B$85,$B248,'Cjenik VSO'!$C$9:$C$85)</f>
        <v>33.26</v>
      </c>
      <c r="O248" s="55">
        <f>M248*N248</f>
        <v>17.295200000000001</v>
      </c>
    </row>
    <row r="249" spans="1:15" ht="25.15" customHeight="1">
      <c r="A249" s="56"/>
      <c r="B249" s="834" t="s">
        <v>570</v>
      </c>
      <c r="C249" s="834"/>
      <c r="D249" s="57" t="s">
        <v>51</v>
      </c>
      <c r="E249" s="58">
        <v>0.13658999999999999</v>
      </c>
      <c r="F249" s="263">
        <f>SUMIF('Cjenik VSO'!$B$9:$B$85,$B249,'Cjenik VSO'!$C$9:$C$85)</f>
        <v>293.52999999999997</v>
      </c>
      <c r="G249" s="60">
        <f>E249*F249</f>
        <v>40.09326269999999</v>
      </c>
      <c r="I249" s="56"/>
      <c r="J249" s="834" t="s">
        <v>570</v>
      </c>
      <c r="K249" s="834"/>
      <c r="L249" s="57" t="s">
        <v>51</v>
      </c>
      <c r="M249" s="58">
        <v>0.13658999999999999</v>
      </c>
      <c r="N249" s="263">
        <f>SUMIF('Cjenik VSO'!$B$9:$B$85,$B249,'Cjenik VSO'!$C$9:$C$85)</f>
        <v>293.52999999999997</v>
      </c>
      <c r="O249" s="60">
        <f>M249*N249</f>
        <v>40.09326269999999</v>
      </c>
    </row>
    <row r="250" spans="1:15" ht="25.15" customHeight="1" thickBot="1">
      <c r="A250" s="66"/>
      <c r="B250" s="859" t="s">
        <v>572</v>
      </c>
      <c r="C250" s="859"/>
      <c r="D250" s="67" t="s">
        <v>51</v>
      </c>
      <c r="E250" s="68">
        <v>0.13658999999999999</v>
      </c>
      <c r="F250" s="262">
        <f>SUMIF('Cjenik VSO'!$B$9:$B$85,$B250,'Cjenik VSO'!$C$9:$C$85)</f>
        <v>68.709999999999994</v>
      </c>
      <c r="G250" s="70">
        <f>E250*F250</f>
        <v>9.3850988999999991</v>
      </c>
      <c r="I250" s="66"/>
      <c r="J250" s="859" t="s">
        <v>572</v>
      </c>
      <c r="K250" s="859"/>
      <c r="L250" s="67" t="s">
        <v>51</v>
      </c>
      <c r="M250" s="68">
        <v>0.13658999999999999</v>
      </c>
      <c r="N250" s="262">
        <f>SUMIF('Cjenik VSO'!$B$9:$B$85,$B250,'Cjenik VSO'!$C$9:$C$85)</f>
        <v>68.709999999999994</v>
      </c>
      <c r="O250" s="70">
        <f>M250*N250</f>
        <v>9.3850988999999991</v>
      </c>
    </row>
    <row r="251" spans="1:15" ht="25.15" customHeight="1" thickTop="1" thickBot="1">
      <c r="B251" s="47"/>
      <c r="C251" s="24"/>
      <c r="D251" s="25"/>
      <c r="E251" s="850" t="str">
        <f>'Obrazac kalkulacije'!$E$18</f>
        <v>Ukupno (kn):</v>
      </c>
      <c r="F251" s="850"/>
      <c r="G251" s="26">
        <f>ROUND(SUM(G245+G247),2)</f>
        <v>135.08000000000001</v>
      </c>
      <c r="H251" s="269" t="e">
        <f>SUMIF(#REF!,$B241,#REF!)</f>
        <v>#REF!</v>
      </c>
      <c r="J251" s="47"/>
      <c r="K251" s="24"/>
      <c r="L251" s="25"/>
      <c r="M251" s="850" t="str">
        <f>'Obrazac kalkulacije'!$E$18</f>
        <v>Ukupno (kn):</v>
      </c>
      <c r="N251" s="850"/>
      <c r="O251" s="26">
        <f>ROUND(SUM(O245+O247),2)</f>
        <v>135.08000000000001</v>
      </c>
    </row>
    <row r="252" spans="1:15" ht="25.15" customHeight="1" thickTop="1" thickBot="1">
      <c r="E252" s="27" t="str">
        <f>'Obrazac kalkulacije'!$E$19</f>
        <v>PDV:</v>
      </c>
      <c r="F252" s="259">
        <f>'Obrazac kalkulacije'!$F$19</f>
        <v>0.25</v>
      </c>
      <c r="G252" s="29">
        <f>G251*F252</f>
        <v>33.770000000000003</v>
      </c>
      <c r="H252" s="270" t="e">
        <f>H251-G251</f>
        <v>#REF!</v>
      </c>
      <c r="M252" s="27" t="str">
        <f>'Obrazac kalkulacije'!$E$19</f>
        <v>PDV:</v>
      </c>
      <c r="N252" s="259">
        <f>'Obrazac kalkulacije'!$F$19</f>
        <v>0.25</v>
      </c>
      <c r="O252" s="29">
        <f>O251*N252</f>
        <v>33.770000000000003</v>
      </c>
    </row>
    <row r="253" spans="1:15" ht="25.15" customHeight="1" thickTop="1" thickBot="1">
      <c r="E253" s="840" t="str">
        <f>'Obrazac kalkulacije'!$E$20</f>
        <v>Sveukupno (kn):</v>
      </c>
      <c r="F253" s="840"/>
      <c r="G253" s="29">
        <f>ROUND(SUM(G251:G252),2)</f>
        <v>168.85</v>
      </c>
      <c r="H253" s="271" t="e">
        <f>G249+H252</f>
        <v>#REF!</v>
      </c>
      <c r="M253" s="840" t="str">
        <f>'Obrazac kalkulacije'!$E$20</f>
        <v>Sveukupno (kn):</v>
      </c>
      <c r="N253" s="840"/>
      <c r="O253" s="29">
        <f>ROUND(SUM(O251:O252),2)</f>
        <v>168.85</v>
      </c>
    </row>
    <row r="254" spans="1:15" ht="15" customHeight="1" thickTop="1"/>
    <row r="255" spans="1:15" ht="15" customHeight="1"/>
    <row r="256" spans="1:15" ht="15" customHeight="1"/>
    <row r="257" spans="1:15" ht="15" customHeight="1">
      <c r="C257" s="3" t="str">
        <f>'Obrazac kalkulacije'!$C$24</f>
        <v>IZVODITELJ:</v>
      </c>
      <c r="F257" s="841" t="str">
        <f>'Obrazac kalkulacije'!$F$24</f>
        <v>NARUČITELJ:</v>
      </c>
      <c r="G257" s="841"/>
      <c r="K257" s="3" t="str">
        <f>'Obrazac kalkulacije'!$C$24</f>
        <v>IZVODITELJ:</v>
      </c>
      <c r="N257" s="841" t="str">
        <f>'Obrazac kalkulacije'!$F$24</f>
        <v>NARUČITELJ:</v>
      </c>
      <c r="O257" s="841"/>
    </row>
    <row r="258" spans="1:15" ht="25.15" customHeight="1">
      <c r="C258" s="3" t="str">
        <f>'Obrazac kalkulacije'!$C$25</f>
        <v>__________________</v>
      </c>
      <c r="F258" s="841" t="str">
        <f>'Obrazac kalkulacije'!$F$25</f>
        <v>___________________</v>
      </c>
      <c r="G258" s="841"/>
      <c r="K258" s="3" t="str">
        <f>'Obrazac kalkulacije'!$C$25</f>
        <v>__________________</v>
      </c>
      <c r="N258" s="841" t="str">
        <f>'Obrazac kalkulacije'!$F$25</f>
        <v>___________________</v>
      </c>
      <c r="O258" s="841"/>
    </row>
    <row r="259" spans="1:15" ht="15" customHeight="1">
      <c r="F259" s="841"/>
      <c r="G259" s="841"/>
      <c r="N259" s="841"/>
      <c r="O259" s="841"/>
    </row>
    <row r="260" spans="1:15" ht="15" customHeight="1"/>
    <row r="261" spans="1:15" ht="15" customHeight="1">
      <c r="A261" s="149"/>
      <c r="B261" s="145" t="s">
        <v>561</v>
      </c>
      <c r="C261" s="836" t="s">
        <v>562</v>
      </c>
      <c r="D261" s="836"/>
      <c r="E261" s="836"/>
      <c r="F261" s="836"/>
      <c r="G261" s="836"/>
      <c r="I261" s="149"/>
      <c r="J261" s="145" t="s">
        <v>561</v>
      </c>
      <c r="K261" s="836" t="s">
        <v>562</v>
      </c>
      <c r="L261" s="836"/>
      <c r="M261" s="836"/>
      <c r="N261" s="836"/>
      <c r="O261" s="836"/>
    </row>
    <row r="262" spans="1:15" ht="150" customHeight="1">
      <c r="A262" s="612"/>
      <c r="B262" s="556" t="s">
        <v>606</v>
      </c>
      <c r="C262" s="852" t="s">
        <v>607</v>
      </c>
      <c r="D262" s="852"/>
      <c r="E262" s="852"/>
      <c r="F262" s="852"/>
      <c r="G262" s="852"/>
      <c r="I262" s="9"/>
      <c r="J262" s="41" t="s">
        <v>606</v>
      </c>
      <c r="K262" s="869" t="s">
        <v>608</v>
      </c>
      <c r="L262" s="869"/>
      <c r="M262" s="869"/>
      <c r="N262" s="869"/>
      <c r="O262" s="869"/>
    </row>
    <row r="263" spans="1:15" ht="15" customHeight="1" thickBot="1"/>
    <row r="264" spans="1:15" ht="30" customHeight="1" thickTop="1" thickBot="1">
      <c r="A264" s="10"/>
      <c r="B264" s="835" t="str">
        <f>'Obrazac kalkulacije'!$B$6:$C$6</f>
        <v>Opis</v>
      </c>
      <c r="C264" s="835"/>
      <c r="D264" s="10" t="str">
        <f>'Obrazac kalkulacije'!$D$6</f>
        <v>Jed.
mjere</v>
      </c>
      <c r="E264" s="10" t="str">
        <f>'Obrazac kalkulacije'!$E$6</f>
        <v>Normativ</v>
      </c>
      <c r="F264" s="10" t="str">
        <f>'Obrazac kalkulacije'!$F$6</f>
        <v>Jed.
cijena</v>
      </c>
      <c r="G264" s="10" t="str">
        <f>'Obrazac kalkulacije'!$G$6</f>
        <v>Iznos</v>
      </c>
      <c r="I264" s="10"/>
      <c r="J264" s="835" t="e">
        <f>'Obrazac kalkulacije'!$B$6:$C$6</f>
        <v>#VALUE!</v>
      </c>
      <c r="K264" s="835"/>
      <c r="L264" s="10" t="str">
        <f>'Obrazac kalkulacije'!$D$6</f>
        <v>Jed.
mjere</v>
      </c>
      <c r="M264" s="10" t="str">
        <f>'Obrazac kalkulacije'!$E$6</f>
        <v>Normativ</v>
      </c>
      <c r="N264" s="10" t="str">
        <f>'Obrazac kalkulacije'!$F$6</f>
        <v>Jed.
cijena</v>
      </c>
      <c r="O264" s="10" t="str">
        <f>'Obrazac kalkulacije'!$G$6</f>
        <v>Iznos</v>
      </c>
    </row>
    <row r="265" spans="1:15" ht="4.5" customHeight="1" thickTop="1">
      <c r="B265" s="42"/>
      <c r="C265" s="1"/>
      <c r="D265" s="11"/>
      <c r="E265" s="13"/>
      <c r="F265" s="258"/>
      <c r="G265" s="15"/>
      <c r="J265" s="42"/>
      <c r="K265" s="1"/>
      <c r="L265" s="11"/>
      <c r="M265" s="13"/>
      <c r="N265" s="258"/>
      <c r="O265" s="15"/>
    </row>
    <row r="266" spans="1:15" ht="25.15" customHeight="1">
      <c r="A266" s="16"/>
      <c r="B266" s="837" t="s">
        <v>565</v>
      </c>
      <c r="C266" s="837"/>
      <c r="D266" s="16"/>
      <c r="E266" s="16"/>
      <c r="F266" s="44"/>
      <c r="G266" s="18">
        <f>SUM(G267:G267)</f>
        <v>8.4853779399999993</v>
      </c>
      <c r="I266" s="16"/>
      <c r="J266" s="837" t="s">
        <v>565</v>
      </c>
      <c r="K266" s="837"/>
      <c r="L266" s="16"/>
      <c r="M266" s="16"/>
      <c r="N266" s="44"/>
      <c r="O266" s="18">
        <f>SUM(O267:O267)</f>
        <v>8.4853779399999993</v>
      </c>
    </row>
    <row r="267" spans="1:15" ht="25.15" customHeight="1">
      <c r="A267" s="32"/>
      <c r="B267" s="854" t="s">
        <v>53</v>
      </c>
      <c r="C267" s="854"/>
      <c r="D267" s="33" t="s">
        <v>51</v>
      </c>
      <c r="E267" s="34">
        <v>8.6110999999999993E-2</v>
      </c>
      <c r="F267" s="238">
        <f>SUMIF('Cjenik RS'!$C$11:$C$26,$B267,'Cjenik RS'!$D$11:$D$90)</f>
        <v>98.54</v>
      </c>
      <c r="G267" s="35">
        <f>E267*F267</f>
        <v>8.4853779399999993</v>
      </c>
      <c r="I267" s="32"/>
      <c r="J267" s="854" t="s">
        <v>53</v>
      </c>
      <c r="K267" s="854"/>
      <c r="L267" s="33" t="s">
        <v>51</v>
      </c>
      <c r="M267" s="34">
        <v>8.6110999999999993E-2</v>
      </c>
      <c r="N267" s="238">
        <f>SUMIF('Cjenik RS'!$C$11:$C$26,J267,'Cjenik RS'!$D$11:$D$90)</f>
        <v>98.54</v>
      </c>
      <c r="O267" s="35">
        <f>M267*N267</f>
        <v>8.4853779399999993</v>
      </c>
    </row>
    <row r="268" spans="1:15" ht="25.15" customHeight="1">
      <c r="A268" s="16"/>
      <c r="B268" s="837" t="s">
        <v>566</v>
      </c>
      <c r="C268" s="837"/>
      <c r="D268" s="16"/>
      <c r="E268" s="16"/>
      <c r="F268" s="238"/>
      <c r="G268" s="18">
        <f>SUM(G269:G273)</f>
        <v>55.927155539999994</v>
      </c>
      <c r="I268" s="16"/>
      <c r="J268" s="837" t="s">
        <v>566</v>
      </c>
      <c r="K268" s="837"/>
      <c r="L268" s="16"/>
      <c r="M268" s="16"/>
      <c r="N268" s="238"/>
      <c r="O268" s="18">
        <f>SUM(O269:O273)</f>
        <v>55.927155539999994</v>
      </c>
    </row>
    <row r="269" spans="1:15" ht="25.15" customHeight="1">
      <c r="A269" s="51"/>
      <c r="B269" s="863" t="s">
        <v>217</v>
      </c>
      <c r="C269" s="863"/>
      <c r="D269" s="52" t="s">
        <v>51</v>
      </c>
      <c r="E269" s="53">
        <v>8.6110999999999993E-2</v>
      </c>
      <c r="F269" s="260">
        <f>SUMIF('Cjenik VSO'!$B$9:$B$85,$B269,'Cjenik VSO'!$C$9:$C$85)</f>
        <v>367.61</v>
      </c>
      <c r="G269" s="55">
        <f>E269*F269</f>
        <v>31.655264709999997</v>
      </c>
      <c r="I269" s="51"/>
      <c r="J269" s="863" t="s">
        <v>217</v>
      </c>
      <c r="K269" s="863"/>
      <c r="L269" s="52" t="s">
        <v>51</v>
      </c>
      <c r="M269" s="53">
        <v>8.6110999999999993E-2</v>
      </c>
      <c r="N269" s="260">
        <f>SUMIF('Cjenik VSO'!$B$9:$B$85,$B269,'Cjenik VSO'!$C$9:$C$85)</f>
        <v>367.61</v>
      </c>
      <c r="O269" s="55">
        <f>M269*N269</f>
        <v>31.655264709999997</v>
      </c>
    </row>
    <row r="270" spans="1:15" ht="25.15" customHeight="1">
      <c r="A270" s="56"/>
      <c r="B270" s="834" t="s">
        <v>570</v>
      </c>
      <c r="C270" s="834"/>
      <c r="D270" s="57" t="s">
        <v>51</v>
      </c>
      <c r="E270" s="58">
        <v>5.6691999999999999E-2</v>
      </c>
      <c r="F270" s="263">
        <f>SUMIF('Cjenik VSO'!$B$9:$B$85,$B270,'Cjenik VSO'!$C$9:$C$85)</f>
        <v>293.52999999999997</v>
      </c>
      <c r="G270" s="60">
        <f>E270*F270</f>
        <v>16.64080276</v>
      </c>
      <c r="I270" s="56"/>
      <c r="J270" s="834" t="s">
        <v>570</v>
      </c>
      <c r="K270" s="834"/>
      <c r="L270" s="57" t="s">
        <v>51</v>
      </c>
      <c r="M270" s="58">
        <v>5.6691999999999999E-2</v>
      </c>
      <c r="N270" s="263">
        <f>SUMIF('Cjenik VSO'!$B$9:$B$85,$B270,'Cjenik VSO'!$C$9:$C$85)</f>
        <v>293.52999999999997</v>
      </c>
      <c r="O270" s="60">
        <f>M270*N270</f>
        <v>16.64080276</v>
      </c>
    </row>
    <row r="271" spans="1:15" ht="25.15" customHeight="1">
      <c r="A271" s="56"/>
      <c r="B271" s="834" t="s">
        <v>572</v>
      </c>
      <c r="C271" s="834"/>
      <c r="D271" s="57" t="s">
        <v>51</v>
      </c>
      <c r="E271" s="58">
        <v>5.6691999999999999E-2</v>
      </c>
      <c r="F271" s="263">
        <f>SUMIF('Cjenik VSO'!$B$9:$B$85,$B271,'Cjenik VSO'!$C$9:$C$85)</f>
        <v>68.709999999999994</v>
      </c>
      <c r="G271" s="60">
        <f>E271*F271</f>
        <v>3.8953073199999997</v>
      </c>
      <c r="I271" s="56"/>
      <c r="J271" s="834" t="s">
        <v>572</v>
      </c>
      <c r="K271" s="834"/>
      <c r="L271" s="57" t="s">
        <v>51</v>
      </c>
      <c r="M271" s="58">
        <v>5.6691999999999999E-2</v>
      </c>
      <c r="N271" s="263">
        <f>SUMIF('Cjenik VSO'!$B$9:$B$85,$B271,'Cjenik VSO'!$C$9:$C$85)</f>
        <v>68.709999999999994</v>
      </c>
      <c r="O271" s="60">
        <f>M271*N271</f>
        <v>3.8953073199999997</v>
      </c>
    </row>
    <row r="272" spans="1:15" ht="25.15" customHeight="1">
      <c r="A272" s="56"/>
      <c r="B272" s="834" t="s">
        <v>74</v>
      </c>
      <c r="C272" s="834"/>
      <c r="D272" s="57" t="s">
        <v>51</v>
      </c>
      <c r="E272" s="58">
        <v>8.0730000000000003E-3</v>
      </c>
      <c r="F272" s="263">
        <f>SUMIF('Cjenik VSO'!$B$9:$B$85,$B272,'Cjenik VSO'!$C$9:$C$85)</f>
        <v>355.64</v>
      </c>
      <c r="G272" s="60">
        <f>E272*F272</f>
        <v>2.8710817199999998</v>
      </c>
      <c r="I272" s="56"/>
      <c r="J272" s="834" t="s">
        <v>74</v>
      </c>
      <c r="K272" s="834"/>
      <c r="L272" s="57" t="s">
        <v>51</v>
      </c>
      <c r="M272" s="58">
        <v>8.0730000000000003E-3</v>
      </c>
      <c r="N272" s="263">
        <f>SUMIF('Cjenik VSO'!$B$9:$B$85,$B272,'Cjenik VSO'!$C$9:$C$85)</f>
        <v>355.64</v>
      </c>
      <c r="O272" s="60">
        <f>M272*N272</f>
        <v>2.8710817199999998</v>
      </c>
    </row>
    <row r="273" spans="1:15" ht="25.15" customHeight="1" thickBot="1">
      <c r="A273" s="66"/>
      <c r="B273" s="859" t="s">
        <v>81</v>
      </c>
      <c r="C273" s="859"/>
      <c r="D273" s="67" t="s">
        <v>51</v>
      </c>
      <c r="E273" s="68">
        <v>8.0730000000000003E-3</v>
      </c>
      <c r="F273" s="262">
        <f>SUMIF('Cjenik VSO'!$B$9:$B$85,$B273,'Cjenik VSO'!$C$9:$C$85)</f>
        <v>107.11</v>
      </c>
      <c r="G273" s="70">
        <f>E273*F273</f>
        <v>0.86469903000000004</v>
      </c>
      <c r="I273" s="66"/>
      <c r="J273" s="859" t="s">
        <v>81</v>
      </c>
      <c r="K273" s="859"/>
      <c r="L273" s="67" t="s">
        <v>51</v>
      </c>
      <c r="M273" s="68">
        <v>8.0730000000000003E-3</v>
      </c>
      <c r="N273" s="262">
        <f>SUMIF('Cjenik VSO'!$B$9:$B$85,$B273,'Cjenik VSO'!$C$9:$C$85)</f>
        <v>107.11</v>
      </c>
      <c r="O273" s="70">
        <f>M273*N273</f>
        <v>0.86469903000000004</v>
      </c>
    </row>
    <row r="274" spans="1:15" ht="25.15" customHeight="1" thickTop="1" thickBot="1">
      <c r="B274" s="47"/>
      <c r="C274" s="24"/>
      <c r="D274" s="25"/>
      <c r="E274" s="850" t="str">
        <f>'Obrazac kalkulacije'!$E$18</f>
        <v>Ukupno (kn):</v>
      </c>
      <c r="F274" s="850"/>
      <c r="G274" s="26">
        <f>ROUND(SUM(G266+G268),2)</f>
        <v>64.41</v>
      </c>
      <c r="H274" s="269" t="e">
        <f>SUMIF(#REF!,$B262,#REF!)</f>
        <v>#REF!</v>
      </c>
      <c r="J274" s="47"/>
      <c r="K274" s="24"/>
      <c r="L274" s="25"/>
      <c r="M274" s="850" t="str">
        <f>'Obrazac kalkulacije'!$E$18</f>
        <v>Ukupno (kn):</v>
      </c>
      <c r="N274" s="850"/>
      <c r="O274" s="26">
        <f>ROUND(SUM(O266+O268),2)</f>
        <v>64.41</v>
      </c>
    </row>
    <row r="275" spans="1:15" ht="25.15" customHeight="1" thickTop="1" thickBot="1">
      <c r="E275" s="27" t="str">
        <f>'Obrazac kalkulacije'!$E$19</f>
        <v>PDV:</v>
      </c>
      <c r="F275" s="259">
        <f>'Obrazac kalkulacije'!$F$19</f>
        <v>0.25</v>
      </c>
      <c r="G275" s="29">
        <f>G274*F275</f>
        <v>16.102499999999999</v>
      </c>
      <c r="H275" s="270" t="e">
        <f>H274-G274</f>
        <v>#REF!</v>
      </c>
      <c r="M275" s="27" t="str">
        <f>'Obrazac kalkulacije'!$E$19</f>
        <v>PDV:</v>
      </c>
      <c r="N275" s="259">
        <f>'Obrazac kalkulacije'!$F$19</f>
        <v>0.25</v>
      </c>
      <c r="O275" s="29">
        <f>O274*N275</f>
        <v>16.102499999999999</v>
      </c>
    </row>
    <row r="276" spans="1:15" ht="25.15" customHeight="1" thickTop="1" thickBot="1">
      <c r="E276" s="840" t="str">
        <f>'Obrazac kalkulacije'!$E$20</f>
        <v>Sveukupno (kn):</v>
      </c>
      <c r="F276" s="840"/>
      <c r="G276" s="29">
        <f>ROUND(SUM(G274:G275),2)</f>
        <v>80.510000000000005</v>
      </c>
      <c r="H276" s="271" t="e">
        <f>G271+H275</f>
        <v>#REF!</v>
      </c>
      <c r="M276" s="840" t="str">
        <f>'Obrazac kalkulacije'!$E$20</f>
        <v>Sveukupno (kn):</v>
      </c>
      <c r="N276" s="840"/>
      <c r="O276" s="29">
        <f>ROUND(SUM(O274:O275),2)</f>
        <v>80.510000000000005</v>
      </c>
    </row>
    <row r="277" spans="1:15" ht="15" customHeight="1" thickTop="1"/>
    <row r="278" spans="1:15" ht="15" customHeight="1"/>
    <row r="279" spans="1:15" ht="15" customHeight="1"/>
    <row r="280" spans="1:15" ht="15" customHeight="1">
      <c r="C280" s="3" t="str">
        <f>'Obrazac kalkulacije'!$C$24</f>
        <v>IZVODITELJ:</v>
      </c>
      <c r="F280" s="841" t="str">
        <f>'Obrazac kalkulacije'!$F$24</f>
        <v>NARUČITELJ:</v>
      </c>
      <c r="G280" s="841"/>
      <c r="K280" s="3" t="str">
        <f>'Obrazac kalkulacije'!$C$24</f>
        <v>IZVODITELJ:</v>
      </c>
      <c r="N280" s="841" t="str">
        <f>'Obrazac kalkulacije'!$F$24</f>
        <v>NARUČITELJ:</v>
      </c>
      <c r="O280" s="841"/>
    </row>
    <row r="281" spans="1:15" ht="25.15" customHeight="1">
      <c r="C281" s="3" t="str">
        <f>'Obrazac kalkulacije'!$C$25</f>
        <v>__________________</v>
      </c>
      <c r="F281" s="841" t="str">
        <f>'Obrazac kalkulacije'!$F$25</f>
        <v>___________________</v>
      </c>
      <c r="G281" s="841"/>
      <c r="K281" s="3" t="str">
        <f>'Obrazac kalkulacije'!$C$25</f>
        <v>__________________</v>
      </c>
      <c r="N281" s="841" t="str">
        <f>'Obrazac kalkulacije'!$F$25</f>
        <v>___________________</v>
      </c>
      <c r="O281" s="841"/>
    </row>
    <row r="282" spans="1:15" ht="15" customHeight="1">
      <c r="F282" s="841"/>
      <c r="G282" s="841"/>
      <c r="N282" s="841"/>
      <c r="O282" s="841"/>
    </row>
    <row r="283" spans="1:15" ht="15" customHeight="1"/>
    <row r="284" spans="1:15" ht="15" customHeight="1">
      <c r="A284" s="149"/>
      <c r="B284" s="145" t="s">
        <v>561</v>
      </c>
      <c r="C284" s="836" t="s">
        <v>562</v>
      </c>
      <c r="D284" s="836"/>
      <c r="E284" s="836"/>
      <c r="F284" s="836"/>
      <c r="G284" s="836"/>
      <c r="I284" s="149"/>
      <c r="J284" s="145" t="s">
        <v>561</v>
      </c>
      <c r="K284" s="836" t="s">
        <v>562</v>
      </c>
      <c r="L284" s="836"/>
      <c r="M284" s="836"/>
      <c r="N284" s="836"/>
      <c r="O284" s="836"/>
    </row>
    <row r="285" spans="1:15" ht="150" customHeight="1">
      <c r="A285" s="9"/>
      <c r="B285" s="556" t="s">
        <v>609</v>
      </c>
      <c r="C285" s="852" t="s">
        <v>610</v>
      </c>
      <c r="D285" s="852"/>
      <c r="E285" s="852"/>
      <c r="F285" s="852"/>
      <c r="G285" s="852"/>
      <c r="I285" s="9"/>
      <c r="J285" s="41" t="s">
        <v>609</v>
      </c>
      <c r="K285" s="869" t="s">
        <v>611</v>
      </c>
      <c r="L285" s="869"/>
      <c r="M285" s="869"/>
      <c r="N285" s="869"/>
      <c r="O285" s="869"/>
    </row>
    <row r="286" spans="1:15" ht="15" customHeight="1" thickBot="1"/>
    <row r="287" spans="1:15" ht="30" customHeight="1" thickTop="1" thickBot="1">
      <c r="A287" s="10"/>
      <c r="B287" s="835" t="str">
        <f>'Obrazac kalkulacije'!$B$6:$C$6</f>
        <v>Opis</v>
      </c>
      <c r="C287" s="835"/>
      <c r="D287" s="10" t="str">
        <f>'Obrazac kalkulacije'!$D$6</f>
        <v>Jed.
mjere</v>
      </c>
      <c r="E287" s="10" t="str">
        <f>'Obrazac kalkulacije'!$E$6</f>
        <v>Normativ</v>
      </c>
      <c r="F287" s="10" t="str">
        <f>'Obrazac kalkulacije'!$F$6</f>
        <v>Jed.
cijena</v>
      </c>
      <c r="G287" s="10" t="str">
        <f>'Obrazac kalkulacije'!$G$6</f>
        <v>Iznos</v>
      </c>
      <c r="I287" s="10"/>
      <c r="J287" s="835" t="e">
        <f>'Obrazac kalkulacije'!$B$6:$C$6</f>
        <v>#VALUE!</v>
      </c>
      <c r="K287" s="835"/>
      <c r="L287" s="10" t="str">
        <f>'Obrazac kalkulacije'!$D$6</f>
        <v>Jed.
mjere</v>
      </c>
      <c r="M287" s="10" t="str">
        <f>'Obrazac kalkulacije'!$E$6</f>
        <v>Normativ</v>
      </c>
      <c r="N287" s="10" t="str">
        <f>'Obrazac kalkulacije'!$F$6</f>
        <v>Jed.
cijena</v>
      </c>
      <c r="O287" s="10" t="str">
        <f>'Obrazac kalkulacije'!$G$6</f>
        <v>Iznos</v>
      </c>
    </row>
    <row r="288" spans="1:15" ht="4.5" customHeight="1" thickTop="1">
      <c r="B288" s="42"/>
      <c r="C288" s="1"/>
      <c r="D288" s="11"/>
      <c r="E288" s="13"/>
      <c r="F288" s="258"/>
      <c r="G288" s="15"/>
      <c r="J288" s="42"/>
      <c r="K288" s="1"/>
      <c r="L288" s="11"/>
      <c r="M288" s="13"/>
      <c r="N288" s="258"/>
      <c r="O288" s="15"/>
    </row>
    <row r="289" spans="1:15" ht="25.15" customHeight="1">
      <c r="A289" s="16"/>
      <c r="B289" s="837" t="s">
        <v>565</v>
      </c>
      <c r="C289" s="837"/>
      <c r="D289" s="16"/>
      <c r="E289" s="16"/>
      <c r="F289" s="44"/>
      <c r="G289" s="18">
        <f>SUM(G290:G290)</f>
        <v>12.317500000000001</v>
      </c>
      <c r="I289" s="16"/>
      <c r="J289" s="837" t="s">
        <v>565</v>
      </c>
      <c r="K289" s="837"/>
      <c r="L289" s="16"/>
      <c r="M289" s="16"/>
      <c r="N289" s="44"/>
      <c r="O289" s="18">
        <f>SUM(O290:O290)</f>
        <v>12.317500000000001</v>
      </c>
    </row>
    <row r="290" spans="1:15" ht="25.15" customHeight="1">
      <c r="A290" s="32"/>
      <c r="B290" s="854" t="s">
        <v>53</v>
      </c>
      <c r="C290" s="854"/>
      <c r="D290" s="33" t="s">
        <v>51</v>
      </c>
      <c r="E290" s="34">
        <v>0.125</v>
      </c>
      <c r="F290" s="238">
        <f>SUMIF('Cjenik RS'!$C$11:$C$26,$B290,'Cjenik RS'!$D$11:$D$90)</f>
        <v>98.54</v>
      </c>
      <c r="G290" s="35">
        <f>E290*F290</f>
        <v>12.317500000000001</v>
      </c>
      <c r="I290" s="32"/>
      <c r="J290" s="854" t="s">
        <v>53</v>
      </c>
      <c r="K290" s="854"/>
      <c r="L290" s="33" t="s">
        <v>51</v>
      </c>
      <c r="M290" s="34">
        <v>0.125</v>
      </c>
      <c r="N290" s="238">
        <f>SUMIF('Cjenik RS'!$C$11:$C$26,J290,'Cjenik RS'!$D$11:$D$90)</f>
        <v>98.54</v>
      </c>
      <c r="O290" s="35">
        <f>M290*N290</f>
        <v>12.317500000000001</v>
      </c>
    </row>
    <row r="291" spans="1:15" ht="25.15" customHeight="1">
      <c r="A291" s="16"/>
      <c r="B291" s="837" t="s">
        <v>566</v>
      </c>
      <c r="C291" s="837"/>
      <c r="D291" s="16"/>
      <c r="E291" s="16"/>
      <c r="F291" s="238"/>
      <c r="G291" s="18">
        <f>SUM(G292:G296)</f>
        <v>85.334217249999995</v>
      </c>
      <c r="I291" s="16"/>
      <c r="J291" s="837" t="s">
        <v>566</v>
      </c>
      <c r="K291" s="837"/>
      <c r="L291" s="16"/>
      <c r="M291" s="16"/>
      <c r="N291" s="238"/>
      <c r="O291" s="18">
        <f>SUM(O292:O296)</f>
        <v>85.334217249999995</v>
      </c>
    </row>
    <row r="292" spans="1:15" ht="25.15" customHeight="1">
      <c r="A292" s="51"/>
      <c r="B292" s="863" t="s">
        <v>217</v>
      </c>
      <c r="C292" s="863"/>
      <c r="D292" s="52" t="s">
        <v>51</v>
      </c>
      <c r="E292" s="53">
        <v>0.125</v>
      </c>
      <c r="F292" s="260">
        <f>SUMIF('Cjenik VSO'!$B$9:$B$85,$B292,'Cjenik VSO'!$C$9:$C$85)</f>
        <v>367.61</v>
      </c>
      <c r="G292" s="55">
        <f>E292*F292</f>
        <v>45.951250000000002</v>
      </c>
      <c r="I292" s="51"/>
      <c r="J292" s="863" t="s">
        <v>217</v>
      </c>
      <c r="K292" s="863"/>
      <c r="L292" s="52" t="s">
        <v>51</v>
      </c>
      <c r="M292" s="53">
        <v>0.125</v>
      </c>
      <c r="N292" s="260">
        <f>SUMIF('Cjenik VSO'!$B$9:$B$85,$B292,'Cjenik VSO'!$C$9:$C$85)</f>
        <v>367.61</v>
      </c>
      <c r="O292" s="55">
        <f>M292*N292</f>
        <v>45.951250000000002</v>
      </c>
    </row>
    <row r="293" spans="1:15" ht="25.15" customHeight="1">
      <c r="A293" s="56"/>
      <c r="B293" s="834" t="s">
        <v>570</v>
      </c>
      <c r="C293" s="834"/>
      <c r="D293" s="57" t="s">
        <v>51</v>
      </c>
      <c r="E293" s="58">
        <v>9.375E-2</v>
      </c>
      <c r="F293" s="263">
        <f>SUMIF('Cjenik VSO'!$B$9:$B$85,$B293,'Cjenik VSO'!$C$9:$C$85)</f>
        <v>293.52999999999997</v>
      </c>
      <c r="G293" s="60">
        <f>E293*F293</f>
        <v>27.518437499999997</v>
      </c>
      <c r="I293" s="56"/>
      <c r="J293" s="834" t="s">
        <v>570</v>
      </c>
      <c r="K293" s="834"/>
      <c r="L293" s="57" t="s">
        <v>51</v>
      </c>
      <c r="M293" s="58">
        <v>9.375E-2</v>
      </c>
      <c r="N293" s="263">
        <f>SUMIF('Cjenik VSO'!$B$9:$B$85,$B293,'Cjenik VSO'!$C$9:$C$85)</f>
        <v>293.52999999999997</v>
      </c>
      <c r="O293" s="60">
        <f>M293*N293</f>
        <v>27.518437499999997</v>
      </c>
    </row>
    <row r="294" spans="1:15" ht="25.15" customHeight="1">
      <c r="A294" s="56"/>
      <c r="B294" s="834" t="s">
        <v>572</v>
      </c>
      <c r="C294" s="834"/>
      <c r="D294" s="57" t="s">
        <v>51</v>
      </c>
      <c r="E294" s="58">
        <v>9.375E-2</v>
      </c>
      <c r="F294" s="263">
        <f>SUMIF('Cjenik VSO'!$B$9:$B$85,$B294,'Cjenik VSO'!$C$9:$C$85)</f>
        <v>68.709999999999994</v>
      </c>
      <c r="G294" s="60">
        <f>E294*F294</f>
        <v>6.4415624999999999</v>
      </c>
      <c r="I294" s="56"/>
      <c r="J294" s="834" t="s">
        <v>572</v>
      </c>
      <c r="K294" s="834"/>
      <c r="L294" s="57" t="s">
        <v>51</v>
      </c>
      <c r="M294" s="58">
        <v>9.375E-2</v>
      </c>
      <c r="N294" s="263">
        <f>SUMIF('Cjenik VSO'!$B$9:$B$85,$B294,'Cjenik VSO'!$C$9:$C$85)</f>
        <v>68.709999999999994</v>
      </c>
      <c r="O294" s="60">
        <f>M294*N294</f>
        <v>6.4415624999999999</v>
      </c>
    </row>
    <row r="295" spans="1:15" ht="25.15" customHeight="1">
      <c r="A295" s="56"/>
      <c r="B295" s="834" t="s">
        <v>74</v>
      </c>
      <c r="C295" s="834"/>
      <c r="D295" s="57" t="s">
        <v>51</v>
      </c>
      <c r="E295" s="58">
        <v>1.1719E-2</v>
      </c>
      <c r="F295" s="263">
        <f>SUMIF('Cjenik VSO'!$B$9:$B$85,$B295,'Cjenik VSO'!$C$9:$C$85)</f>
        <v>355.64</v>
      </c>
      <c r="G295" s="60">
        <f>E295*F295</f>
        <v>4.1677451599999999</v>
      </c>
      <c r="I295" s="56"/>
      <c r="J295" s="834" t="s">
        <v>74</v>
      </c>
      <c r="K295" s="834"/>
      <c r="L295" s="57" t="s">
        <v>51</v>
      </c>
      <c r="M295" s="58">
        <v>1.1719E-2</v>
      </c>
      <c r="N295" s="263">
        <f>SUMIF('Cjenik VSO'!$B$9:$B$85,$B295,'Cjenik VSO'!$C$9:$C$85)</f>
        <v>355.64</v>
      </c>
      <c r="O295" s="60">
        <f>M295*N295</f>
        <v>4.1677451599999999</v>
      </c>
    </row>
    <row r="296" spans="1:15" ht="25.15" customHeight="1" thickBot="1">
      <c r="A296" s="66"/>
      <c r="B296" s="859" t="s">
        <v>81</v>
      </c>
      <c r="C296" s="859"/>
      <c r="D296" s="67" t="s">
        <v>51</v>
      </c>
      <c r="E296" s="68">
        <v>1.1719E-2</v>
      </c>
      <c r="F296" s="262">
        <f>SUMIF('Cjenik VSO'!$B$9:$B$85,$B296,'Cjenik VSO'!$C$9:$C$85)</f>
        <v>107.11</v>
      </c>
      <c r="G296" s="70">
        <f>E296*F296</f>
        <v>1.25522209</v>
      </c>
      <c r="I296" s="66"/>
      <c r="J296" s="859" t="s">
        <v>81</v>
      </c>
      <c r="K296" s="859"/>
      <c r="L296" s="67" t="s">
        <v>51</v>
      </c>
      <c r="M296" s="68">
        <v>1.1719E-2</v>
      </c>
      <c r="N296" s="262">
        <f>SUMIF('Cjenik VSO'!$B$9:$B$85,$B296,'Cjenik VSO'!$C$9:$C$85)</f>
        <v>107.11</v>
      </c>
      <c r="O296" s="70">
        <f>M296*N296</f>
        <v>1.25522209</v>
      </c>
    </row>
    <row r="297" spans="1:15" ht="25.15" customHeight="1" thickTop="1" thickBot="1">
      <c r="B297" s="47"/>
      <c r="C297" s="24"/>
      <c r="D297" s="25"/>
      <c r="E297" s="850" t="str">
        <f>'Obrazac kalkulacije'!$E$18</f>
        <v>Ukupno (kn):</v>
      </c>
      <c r="F297" s="850"/>
      <c r="G297" s="26">
        <f>ROUND(SUM(G289+G291),2)</f>
        <v>97.65</v>
      </c>
      <c r="H297" s="269" t="e">
        <f>SUMIF(#REF!,$B285,#REF!)</f>
        <v>#REF!</v>
      </c>
      <c r="J297" s="47"/>
      <c r="K297" s="24"/>
      <c r="L297" s="25"/>
      <c r="M297" s="850" t="str">
        <f>'Obrazac kalkulacije'!$E$18</f>
        <v>Ukupno (kn):</v>
      </c>
      <c r="N297" s="850"/>
      <c r="O297" s="26">
        <f>ROUND(SUM(O289+O291),2)</f>
        <v>97.65</v>
      </c>
    </row>
    <row r="298" spans="1:15" ht="25.15" customHeight="1" thickTop="1" thickBot="1">
      <c r="E298" s="27" t="str">
        <f>'Obrazac kalkulacije'!$E$19</f>
        <v>PDV:</v>
      </c>
      <c r="F298" s="259">
        <f>'Obrazac kalkulacije'!$F$19</f>
        <v>0.25</v>
      </c>
      <c r="G298" s="29">
        <f>G297*F298</f>
        <v>24.412500000000001</v>
      </c>
      <c r="H298" s="270" t="e">
        <f>H297-G297</f>
        <v>#REF!</v>
      </c>
      <c r="M298" s="27" t="str">
        <f>'Obrazac kalkulacije'!$E$19</f>
        <v>PDV:</v>
      </c>
      <c r="N298" s="259">
        <f>'Obrazac kalkulacije'!$F$19</f>
        <v>0.25</v>
      </c>
      <c r="O298" s="29">
        <f>O297*N298</f>
        <v>24.412500000000001</v>
      </c>
    </row>
    <row r="299" spans="1:15" ht="25.15" customHeight="1" thickTop="1" thickBot="1">
      <c r="E299" s="840" t="str">
        <f>'Obrazac kalkulacije'!$E$20</f>
        <v>Sveukupno (kn):</v>
      </c>
      <c r="F299" s="840"/>
      <c r="G299" s="29">
        <f>ROUND(SUM(G297:G298),2)</f>
        <v>122.06</v>
      </c>
      <c r="H299" s="271" t="e">
        <f>G294+H298</f>
        <v>#REF!</v>
      </c>
      <c r="M299" s="840" t="str">
        <f>'Obrazac kalkulacije'!$E$20</f>
        <v>Sveukupno (kn):</v>
      </c>
      <c r="N299" s="840"/>
      <c r="O299" s="29">
        <f>ROUND(SUM(O297:O298),2)</f>
        <v>122.06</v>
      </c>
    </row>
    <row r="300" spans="1:15" ht="15" customHeight="1" thickTop="1"/>
    <row r="301" spans="1:15" ht="15" customHeight="1"/>
    <row r="302" spans="1:15" ht="15" customHeight="1"/>
    <row r="303" spans="1:15" ht="15" customHeight="1">
      <c r="C303" s="3" t="str">
        <f>'Obrazac kalkulacije'!$C$24</f>
        <v>IZVODITELJ:</v>
      </c>
      <c r="F303" s="841" t="str">
        <f>'Obrazac kalkulacije'!$F$24</f>
        <v>NARUČITELJ:</v>
      </c>
      <c r="G303" s="841"/>
      <c r="K303" s="3" t="str">
        <f>'Obrazac kalkulacije'!$C$24</f>
        <v>IZVODITELJ:</v>
      </c>
      <c r="N303" s="841" t="str">
        <f>'Obrazac kalkulacije'!$F$24</f>
        <v>NARUČITELJ:</v>
      </c>
      <c r="O303" s="841"/>
    </row>
    <row r="304" spans="1:15" ht="25.15" customHeight="1">
      <c r="C304" s="3" t="str">
        <f>'Obrazac kalkulacije'!$C$25</f>
        <v>__________________</v>
      </c>
      <c r="F304" s="841" t="str">
        <f>'Obrazac kalkulacije'!$F$25</f>
        <v>___________________</v>
      </c>
      <c r="G304" s="841"/>
      <c r="K304" s="3" t="str">
        <f>'Obrazac kalkulacije'!$C$25</f>
        <v>__________________</v>
      </c>
      <c r="N304" s="841" t="str">
        <f>'Obrazac kalkulacije'!$F$25</f>
        <v>___________________</v>
      </c>
      <c r="O304" s="841"/>
    </row>
    <row r="305" spans="1:15" ht="15" customHeight="1">
      <c r="F305" s="841"/>
      <c r="G305" s="841"/>
      <c r="N305" s="841"/>
      <c r="O305" s="841"/>
    </row>
    <row r="306" spans="1:15" ht="15" customHeight="1"/>
    <row r="307" spans="1:15" ht="15" customHeight="1">
      <c r="A307" s="149"/>
      <c r="B307" s="145" t="s">
        <v>561</v>
      </c>
      <c r="C307" s="836" t="s">
        <v>562</v>
      </c>
      <c r="D307" s="836"/>
      <c r="E307" s="836"/>
      <c r="F307" s="836"/>
      <c r="G307" s="836"/>
      <c r="I307" s="149"/>
      <c r="J307" s="145" t="s">
        <v>561</v>
      </c>
      <c r="K307" s="836" t="s">
        <v>562</v>
      </c>
      <c r="L307" s="836"/>
      <c r="M307" s="836"/>
      <c r="N307" s="836"/>
      <c r="O307" s="836"/>
    </row>
    <row r="308" spans="1:15" ht="150" customHeight="1">
      <c r="A308" s="9"/>
      <c r="B308" s="556" t="s">
        <v>612</v>
      </c>
      <c r="C308" s="852" t="s">
        <v>613</v>
      </c>
      <c r="D308" s="852"/>
      <c r="E308" s="852"/>
      <c r="F308" s="852"/>
      <c r="G308" s="852"/>
      <c r="I308" s="9"/>
      <c r="J308" s="41" t="s">
        <v>612</v>
      </c>
      <c r="K308" s="869" t="s">
        <v>614</v>
      </c>
      <c r="L308" s="869"/>
      <c r="M308" s="869"/>
      <c r="N308" s="869"/>
      <c r="O308" s="869"/>
    </row>
    <row r="309" spans="1:15" ht="15" customHeight="1" thickBot="1"/>
    <row r="310" spans="1:15" ht="30" customHeight="1" thickTop="1" thickBot="1">
      <c r="A310" s="10"/>
      <c r="B310" s="835" t="str">
        <f>'Obrazac kalkulacije'!$B$6:$C$6</f>
        <v>Opis</v>
      </c>
      <c r="C310" s="835"/>
      <c r="D310" s="10" t="str">
        <f>'Obrazac kalkulacije'!$D$6</f>
        <v>Jed.
mjere</v>
      </c>
      <c r="E310" s="10" t="str">
        <f>'Obrazac kalkulacije'!$E$6</f>
        <v>Normativ</v>
      </c>
      <c r="F310" s="10" t="str">
        <f>'Obrazac kalkulacije'!$F$6</f>
        <v>Jed.
cijena</v>
      </c>
      <c r="G310" s="10" t="str">
        <f>'Obrazac kalkulacije'!$G$6</f>
        <v>Iznos</v>
      </c>
      <c r="I310" s="10"/>
      <c r="J310" s="835" t="e">
        <f>'Obrazac kalkulacije'!$B$6:$C$6</f>
        <v>#VALUE!</v>
      </c>
      <c r="K310" s="835"/>
      <c r="L310" s="10" t="str">
        <f>'Obrazac kalkulacije'!$D$6</f>
        <v>Jed.
mjere</v>
      </c>
      <c r="M310" s="10" t="str">
        <f>'Obrazac kalkulacije'!$E$6</f>
        <v>Normativ</v>
      </c>
      <c r="N310" s="10" t="str">
        <f>'Obrazac kalkulacije'!$F$6</f>
        <v>Jed.
cijena</v>
      </c>
      <c r="O310" s="10" t="str">
        <f>'Obrazac kalkulacije'!$G$6</f>
        <v>Iznos</v>
      </c>
    </row>
    <row r="311" spans="1:15" ht="4.5" customHeight="1" thickTop="1">
      <c r="B311" s="42"/>
      <c r="C311" s="1"/>
      <c r="D311" s="11"/>
      <c r="E311" s="13"/>
      <c r="F311" s="258"/>
      <c r="G311" s="15"/>
      <c r="J311" s="42"/>
      <c r="K311" s="1"/>
      <c r="L311" s="11"/>
      <c r="M311" s="13"/>
      <c r="N311" s="258"/>
      <c r="O311" s="15"/>
    </row>
    <row r="312" spans="1:15" ht="25.15" customHeight="1">
      <c r="A312" s="16"/>
      <c r="B312" s="837" t="s">
        <v>565</v>
      </c>
      <c r="C312" s="837"/>
      <c r="D312" s="16"/>
      <c r="E312" s="16"/>
      <c r="F312" s="44"/>
      <c r="G312" s="18">
        <f>SUM(G313:G313)</f>
        <v>19.708000000000002</v>
      </c>
      <c r="I312" s="16"/>
      <c r="J312" s="837" t="s">
        <v>565</v>
      </c>
      <c r="K312" s="837"/>
      <c r="L312" s="16"/>
      <c r="M312" s="16"/>
      <c r="N312" s="44"/>
      <c r="O312" s="18">
        <f>SUM(O313:O313)</f>
        <v>19.708000000000002</v>
      </c>
    </row>
    <row r="313" spans="1:15" ht="25.15" customHeight="1">
      <c r="A313" s="32"/>
      <c r="B313" s="854" t="s">
        <v>53</v>
      </c>
      <c r="C313" s="854"/>
      <c r="D313" s="33" t="s">
        <v>51</v>
      </c>
      <c r="E313" s="34">
        <v>0.2</v>
      </c>
      <c r="F313" s="238">
        <f>SUMIF('Cjenik RS'!$C$11:$C$26,$B313,'Cjenik RS'!$D$11:$D$90)</f>
        <v>98.54</v>
      </c>
      <c r="G313" s="35">
        <f>E313*F313</f>
        <v>19.708000000000002</v>
      </c>
      <c r="I313" s="32"/>
      <c r="J313" s="854" t="s">
        <v>53</v>
      </c>
      <c r="K313" s="854"/>
      <c r="L313" s="33" t="s">
        <v>51</v>
      </c>
      <c r="M313" s="34">
        <v>0.2</v>
      </c>
      <c r="N313" s="238">
        <f>SUMIF('Cjenik RS'!$C$11:$C$26,J313,'Cjenik RS'!$D$11:$D$90)</f>
        <v>98.54</v>
      </c>
      <c r="O313" s="35">
        <f>M313*N313</f>
        <v>19.708000000000002</v>
      </c>
    </row>
    <row r="314" spans="1:15" ht="25.15" customHeight="1">
      <c r="A314" s="16"/>
      <c r="B314" s="837" t="s">
        <v>566</v>
      </c>
      <c r="C314" s="837"/>
      <c r="D314" s="16"/>
      <c r="E314" s="16"/>
      <c r="F314" s="238"/>
      <c r="G314" s="18">
        <f>SUM(G315:G319)</f>
        <v>152.38256250000001</v>
      </c>
      <c r="I314" s="16"/>
      <c r="J314" s="837" t="s">
        <v>566</v>
      </c>
      <c r="K314" s="837"/>
      <c r="L314" s="16"/>
      <c r="M314" s="16"/>
      <c r="N314" s="238"/>
      <c r="O314" s="18">
        <f>SUM(O315:O319)</f>
        <v>152.38256250000001</v>
      </c>
    </row>
    <row r="315" spans="1:15" ht="25.15" customHeight="1">
      <c r="A315" s="51"/>
      <c r="B315" s="863" t="s">
        <v>217</v>
      </c>
      <c r="C315" s="863"/>
      <c r="D315" s="52" t="s">
        <v>51</v>
      </c>
      <c r="E315" s="53">
        <v>0.2</v>
      </c>
      <c r="F315" s="260">
        <f>SUMIF('Cjenik VSO'!$B$9:$B$85,$B315,'Cjenik VSO'!$C$9:$C$85)</f>
        <v>367.61</v>
      </c>
      <c r="G315" s="55">
        <f>E315*F315</f>
        <v>73.522000000000006</v>
      </c>
      <c r="I315" s="51"/>
      <c r="J315" s="863" t="s">
        <v>217</v>
      </c>
      <c r="K315" s="863"/>
      <c r="L315" s="52" t="s">
        <v>51</v>
      </c>
      <c r="M315" s="53">
        <v>0.2</v>
      </c>
      <c r="N315" s="260">
        <f>SUMIF('Cjenik VSO'!$B$9:$B$85,$B315,'Cjenik VSO'!$C$9:$C$85)</f>
        <v>367.61</v>
      </c>
      <c r="O315" s="55">
        <f>M315*N315</f>
        <v>73.522000000000006</v>
      </c>
    </row>
    <row r="316" spans="1:15" ht="25.15" customHeight="1">
      <c r="A316" s="56"/>
      <c r="B316" s="834" t="s">
        <v>570</v>
      </c>
      <c r="C316" s="834"/>
      <c r="D316" s="57" t="s">
        <v>51</v>
      </c>
      <c r="E316" s="58">
        <v>0.19375000000000001</v>
      </c>
      <c r="F316" s="263">
        <f>SUMIF('Cjenik VSO'!$B$9:$B$85,$B316,'Cjenik VSO'!$C$9:$C$85)</f>
        <v>293.52999999999997</v>
      </c>
      <c r="G316" s="60">
        <f>E316*F316</f>
        <v>56.871437499999999</v>
      </c>
      <c r="I316" s="56"/>
      <c r="J316" s="834" t="s">
        <v>570</v>
      </c>
      <c r="K316" s="834"/>
      <c r="L316" s="57" t="s">
        <v>51</v>
      </c>
      <c r="M316" s="58">
        <v>0.19375000000000001</v>
      </c>
      <c r="N316" s="263">
        <f>SUMIF('Cjenik VSO'!$B$9:$B$85,$B316,'Cjenik VSO'!$C$9:$C$85)</f>
        <v>293.52999999999997</v>
      </c>
      <c r="O316" s="60">
        <f>M316*N316</f>
        <v>56.871437499999999</v>
      </c>
    </row>
    <row r="317" spans="1:15" ht="25.15" customHeight="1">
      <c r="A317" s="56"/>
      <c r="B317" s="834" t="s">
        <v>572</v>
      </c>
      <c r="C317" s="834"/>
      <c r="D317" s="57" t="s">
        <v>51</v>
      </c>
      <c r="E317" s="58">
        <v>0.19375000000000001</v>
      </c>
      <c r="F317" s="263">
        <f>SUMIF('Cjenik VSO'!$B$9:$B$85,$B317,'Cjenik VSO'!$C$9:$C$85)</f>
        <v>68.709999999999994</v>
      </c>
      <c r="G317" s="60">
        <f>E317*F317</f>
        <v>13.312562499999999</v>
      </c>
      <c r="I317" s="56"/>
      <c r="J317" s="834" t="s">
        <v>572</v>
      </c>
      <c r="K317" s="834"/>
      <c r="L317" s="57" t="s">
        <v>51</v>
      </c>
      <c r="M317" s="58">
        <v>0.19375000000000001</v>
      </c>
      <c r="N317" s="263">
        <f>SUMIF('Cjenik VSO'!$B$9:$B$85,$B317,'Cjenik VSO'!$C$9:$C$85)</f>
        <v>68.709999999999994</v>
      </c>
      <c r="O317" s="60">
        <f>M317*N317</f>
        <v>13.312562499999999</v>
      </c>
    </row>
    <row r="318" spans="1:15" ht="25.15" customHeight="1">
      <c r="A318" s="56"/>
      <c r="B318" s="834" t="s">
        <v>74</v>
      </c>
      <c r="C318" s="834"/>
      <c r="D318" s="57" t="s">
        <v>51</v>
      </c>
      <c r="E318" s="58">
        <v>1.8749999999999999E-2</v>
      </c>
      <c r="F318" s="263">
        <f>SUMIF('Cjenik VSO'!$B$9:$B$85,$B318,'Cjenik VSO'!$C$9:$C$85)</f>
        <v>355.64</v>
      </c>
      <c r="G318" s="60">
        <f>E318*F318</f>
        <v>6.6682499999999996</v>
      </c>
      <c r="I318" s="56"/>
      <c r="J318" s="834" t="s">
        <v>74</v>
      </c>
      <c r="K318" s="834"/>
      <c r="L318" s="57" t="s">
        <v>51</v>
      </c>
      <c r="M318" s="58">
        <v>1.8749999999999999E-2</v>
      </c>
      <c r="N318" s="263">
        <f>SUMIF('Cjenik VSO'!$B$9:$B$85,$B318,'Cjenik VSO'!$C$9:$C$85)</f>
        <v>355.64</v>
      </c>
      <c r="O318" s="60">
        <f>M318*N318</f>
        <v>6.6682499999999996</v>
      </c>
    </row>
    <row r="319" spans="1:15" ht="25.15" customHeight="1" thickBot="1">
      <c r="A319" s="66"/>
      <c r="B319" s="859" t="s">
        <v>81</v>
      </c>
      <c r="C319" s="859"/>
      <c r="D319" s="67" t="s">
        <v>51</v>
      </c>
      <c r="E319" s="68">
        <v>1.8749999999999999E-2</v>
      </c>
      <c r="F319" s="262">
        <f>SUMIF('Cjenik VSO'!$B$9:$B$85,$B319,'Cjenik VSO'!$C$9:$C$85)</f>
        <v>107.11</v>
      </c>
      <c r="G319" s="70">
        <f>E319*F319</f>
        <v>2.0083124999999997</v>
      </c>
      <c r="I319" s="66"/>
      <c r="J319" s="859" t="s">
        <v>81</v>
      </c>
      <c r="K319" s="859"/>
      <c r="L319" s="67" t="s">
        <v>51</v>
      </c>
      <c r="M319" s="68">
        <v>1.8749999999999999E-2</v>
      </c>
      <c r="N319" s="262">
        <f>SUMIF('Cjenik VSO'!$B$9:$B$85,$B319,'Cjenik VSO'!$C$9:$C$85)</f>
        <v>107.11</v>
      </c>
      <c r="O319" s="70">
        <f>M319*N319</f>
        <v>2.0083124999999997</v>
      </c>
    </row>
    <row r="320" spans="1:15" ht="25.15" customHeight="1" thickTop="1" thickBot="1">
      <c r="B320" s="47"/>
      <c r="C320" s="24"/>
      <c r="D320" s="25"/>
      <c r="E320" s="850" t="str">
        <f>'Obrazac kalkulacije'!$E$18</f>
        <v>Ukupno (kn):</v>
      </c>
      <c r="F320" s="850"/>
      <c r="G320" s="26">
        <f>ROUND(SUM(G312+G314),2)</f>
        <v>172.09</v>
      </c>
      <c r="H320" s="269" t="e">
        <f>SUMIF(#REF!,$B308,#REF!)</f>
        <v>#REF!</v>
      </c>
      <c r="J320" s="47"/>
      <c r="K320" s="24"/>
      <c r="L320" s="25"/>
      <c r="M320" s="850" t="str">
        <f>'Obrazac kalkulacije'!$E$18</f>
        <v>Ukupno (kn):</v>
      </c>
      <c r="N320" s="850"/>
      <c r="O320" s="26">
        <f>ROUND(SUM(O312+O314),2)</f>
        <v>172.09</v>
      </c>
    </row>
    <row r="321" spans="3:15" ht="25.15" customHeight="1" thickTop="1" thickBot="1">
      <c r="E321" s="27" t="str">
        <f>'Obrazac kalkulacije'!$E$19</f>
        <v>PDV:</v>
      </c>
      <c r="F321" s="259">
        <f>'Obrazac kalkulacije'!$F$19</f>
        <v>0.25</v>
      </c>
      <c r="G321" s="29">
        <f>G320*F321</f>
        <v>43.022500000000001</v>
      </c>
      <c r="H321" s="270" t="e">
        <f>H320-G320</f>
        <v>#REF!</v>
      </c>
      <c r="M321" s="27" t="str">
        <f>'Obrazac kalkulacije'!$E$19</f>
        <v>PDV:</v>
      </c>
      <c r="N321" s="259">
        <f>'Obrazac kalkulacije'!$F$19</f>
        <v>0.25</v>
      </c>
      <c r="O321" s="29">
        <f>O320*N321</f>
        <v>43.022500000000001</v>
      </c>
    </row>
    <row r="322" spans="3:15" ht="25.15" customHeight="1" thickTop="1" thickBot="1">
      <c r="E322" s="840" t="str">
        <f>'Obrazac kalkulacije'!$E$20</f>
        <v>Sveukupno (kn):</v>
      </c>
      <c r="F322" s="840"/>
      <c r="G322" s="29">
        <f>ROUND(SUM(G320:G321),2)</f>
        <v>215.11</v>
      </c>
      <c r="H322" s="271" t="e">
        <f>G317+H321</f>
        <v>#REF!</v>
      </c>
      <c r="M322" s="840" t="str">
        <f>'Obrazac kalkulacije'!$E$20</f>
        <v>Sveukupno (kn):</v>
      </c>
      <c r="N322" s="840"/>
      <c r="O322" s="29">
        <f>ROUND(SUM(O320:O321),2)</f>
        <v>215.11</v>
      </c>
    </row>
    <row r="323" spans="3:15" ht="15" customHeight="1" thickTop="1"/>
    <row r="324" spans="3:15" ht="15" customHeight="1"/>
    <row r="325" spans="3:15" ht="15" customHeight="1"/>
    <row r="326" spans="3:15" ht="15" customHeight="1">
      <c r="C326" s="3" t="str">
        <f>'Obrazac kalkulacije'!$C$24</f>
        <v>IZVODITELJ:</v>
      </c>
      <c r="F326" s="841" t="str">
        <f>'Obrazac kalkulacije'!$F$24</f>
        <v>NARUČITELJ:</v>
      </c>
      <c r="G326" s="841"/>
      <c r="K326" s="3" t="str">
        <f>'Obrazac kalkulacije'!$C$24</f>
        <v>IZVODITELJ:</v>
      </c>
      <c r="N326" s="841" t="str">
        <f>'Obrazac kalkulacije'!$F$24</f>
        <v>NARUČITELJ:</v>
      </c>
      <c r="O326" s="841"/>
    </row>
    <row r="327" spans="3:15" ht="25.15" customHeight="1">
      <c r="C327" s="3" t="str">
        <f>'Obrazac kalkulacije'!$C$25</f>
        <v>__________________</v>
      </c>
      <c r="F327" s="841" t="str">
        <f>'Obrazac kalkulacije'!$F$25</f>
        <v>___________________</v>
      </c>
      <c r="G327" s="841"/>
      <c r="K327" s="3" t="str">
        <f>'Obrazac kalkulacije'!$C$25</f>
        <v>__________________</v>
      </c>
      <c r="N327" s="841" t="str">
        <f>'Obrazac kalkulacije'!$F$25</f>
        <v>___________________</v>
      </c>
      <c r="O327" s="841"/>
    </row>
    <row r="328" spans="3:15" ht="15" customHeight="1">
      <c r="F328" s="841"/>
      <c r="G328" s="841"/>
      <c r="N328" s="841"/>
      <c r="O328" s="841"/>
    </row>
    <row r="329" spans="3:15" ht="15" customHeight="1"/>
  </sheetData>
  <sheetProtection selectLockedCells="1"/>
  <mergeCells count="446">
    <mergeCell ref="N282:O282"/>
    <mergeCell ref="K284:O284"/>
    <mergeCell ref="J290:K290"/>
    <mergeCell ref="K285:O285"/>
    <mergeCell ref="N326:O326"/>
    <mergeCell ref="J291:K291"/>
    <mergeCell ref="J292:K292"/>
    <mergeCell ref="J314:K314"/>
    <mergeCell ref="J315:K315"/>
    <mergeCell ref="J310:K310"/>
    <mergeCell ref="M299:N299"/>
    <mergeCell ref="N303:O303"/>
    <mergeCell ref="N304:O304"/>
    <mergeCell ref="K308:O308"/>
    <mergeCell ref="N305:O305"/>
    <mergeCell ref="K307:O307"/>
    <mergeCell ref="N327:O327"/>
    <mergeCell ref="J316:K316"/>
    <mergeCell ref="J317:K317"/>
    <mergeCell ref="J293:K293"/>
    <mergeCell ref="N328:O328"/>
    <mergeCell ref="J318:K318"/>
    <mergeCell ref="J319:K319"/>
    <mergeCell ref="M320:N320"/>
    <mergeCell ref="M322:N322"/>
    <mergeCell ref="J294:K294"/>
    <mergeCell ref="J295:K295"/>
    <mergeCell ref="J296:K296"/>
    <mergeCell ref="J312:K312"/>
    <mergeCell ref="J313:K313"/>
    <mergeCell ref="M274:N274"/>
    <mergeCell ref="M276:N276"/>
    <mergeCell ref="N280:O280"/>
    <mergeCell ref="N281:O281"/>
    <mergeCell ref="J289:K289"/>
    <mergeCell ref="M297:N297"/>
    <mergeCell ref="J227:K227"/>
    <mergeCell ref="J228:K228"/>
    <mergeCell ref="J229:K229"/>
    <mergeCell ref="K262:O262"/>
    <mergeCell ref="J264:K264"/>
    <mergeCell ref="K241:O241"/>
    <mergeCell ref="J243:K243"/>
    <mergeCell ref="J249:K249"/>
    <mergeCell ref="J250:K250"/>
    <mergeCell ref="N259:O259"/>
    <mergeCell ref="K261:O261"/>
    <mergeCell ref="J247:K247"/>
    <mergeCell ref="J248:K248"/>
    <mergeCell ref="M251:N251"/>
    <mergeCell ref="M253:N253"/>
    <mergeCell ref="N257:O257"/>
    <mergeCell ref="N258:O258"/>
    <mergeCell ref="J272:K272"/>
    <mergeCell ref="J273:K273"/>
    <mergeCell ref="J287:K287"/>
    <mergeCell ref="J266:K266"/>
    <mergeCell ref="J267:K267"/>
    <mergeCell ref="J268:K268"/>
    <mergeCell ref="J269:K269"/>
    <mergeCell ref="J270:K270"/>
    <mergeCell ref="J271:K271"/>
    <mergeCell ref="J245:K245"/>
    <mergeCell ref="J246:K246"/>
    <mergeCell ref="N238:O238"/>
    <mergeCell ref="K240:O240"/>
    <mergeCell ref="J226:K226"/>
    <mergeCell ref="J207:K207"/>
    <mergeCell ref="J208:K208"/>
    <mergeCell ref="J222:K222"/>
    <mergeCell ref="J224:K224"/>
    <mergeCell ref="J225:K225"/>
    <mergeCell ref="M211:N211"/>
    <mergeCell ref="M232:N232"/>
    <mergeCell ref="N215:O215"/>
    <mergeCell ref="N216:O216"/>
    <mergeCell ref="N217:O217"/>
    <mergeCell ref="K219:O219"/>
    <mergeCell ref="K220:O220"/>
    <mergeCell ref="M230:N230"/>
    <mergeCell ref="N236:O236"/>
    <mergeCell ref="N237:O237"/>
    <mergeCell ref="N196:O196"/>
    <mergeCell ref="K198:O198"/>
    <mergeCell ref="M209:N209"/>
    <mergeCell ref="K199:O199"/>
    <mergeCell ref="J201:K201"/>
    <mergeCell ref="M188:N188"/>
    <mergeCell ref="M190:N190"/>
    <mergeCell ref="J187:K187"/>
    <mergeCell ref="J186:K186"/>
    <mergeCell ref="N194:O194"/>
    <mergeCell ref="N195:O195"/>
    <mergeCell ref="J203:K203"/>
    <mergeCell ref="J204:K204"/>
    <mergeCell ref="J205:K205"/>
    <mergeCell ref="J206:K206"/>
    <mergeCell ref="J185:K185"/>
    <mergeCell ref="J164:K164"/>
    <mergeCell ref="J179:K179"/>
    <mergeCell ref="J181:K181"/>
    <mergeCell ref="J183:K183"/>
    <mergeCell ref="K177:O177"/>
    <mergeCell ref="J184:K184"/>
    <mergeCell ref="M145:N145"/>
    <mergeCell ref="M147:N147"/>
    <mergeCell ref="N151:O151"/>
    <mergeCell ref="N152:O152"/>
    <mergeCell ref="K156:O156"/>
    <mergeCell ref="J158:K158"/>
    <mergeCell ref="J182:K182"/>
    <mergeCell ref="N172:O172"/>
    <mergeCell ref="M166:N166"/>
    <mergeCell ref="M168:N168"/>
    <mergeCell ref="J160:K160"/>
    <mergeCell ref="J161:K161"/>
    <mergeCell ref="J162:K162"/>
    <mergeCell ref="N153:O153"/>
    <mergeCell ref="N173:O173"/>
    <mergeCell ref="N174:O174"/>
    <mergeCell ref="K176:O176"/>
    <mergeCell ref="K155:O155"/>
    <mergeCell ref="J163:K163"/>
    <mergeCell ref="J165:K165"/>
    <mergeCell ref="J136:K136"/>
    <mergeCell ref="J141:K141"/>
    <mergeCell ref="J119:K119"/>
    <mergeCell ref="J120:K120"/>
    <mergeCell ref="J121:K121"/>
    <mergeCell ref="J122:K122"/>
    <mergeCell ref="J138:K138"/>
    <mergeCell ref="J139:K139"/>
    <mergeCell ref="J140:K140"/>
    <mergeCell ref="J142:K142"/>
    <mergeCell ref="J143:K143"/>
    <mergeCell ref="J144:K144"/>
    <mergeCell ref="J116:K116"/>
    <mergeCell ref="N131:O131"/>
    <mergeCell ref="K133:O133"/>
    <mergeCell ref="K134:O134"/>
    <mergeCell ref="N129:O129"/>
    <mergeCell ref="N130:O130"/>
    <mergeCell ref="J117:K117"/>
    <mergeCell ref="J118:K118"/>
    <mergeCell ref="M123:N123"/>
    <mergeCell ref="M125:N125"/>
    <mergeCell ref="J114:K114"/>
    <mergeCell ref="J96:K96"/>
    <mergeCell ref="J97:K97"/>
    <mergeCell ref="N108:O108"/>
    <mergeCell ref="N109:O109"/>
    <mergeCell ref="K111:O111"/>
    <mergeCell ref="K112:O112"/>
    <mergeCell ref="M101:N101"/>
    <mergeCell ref="M103:N103"/>
    <mergeCell ref="N107:O107"/>
    <mergeCell ref="J77:K77"/>
    <mergeCell ref="J94:K94"/>
    <mergeCell ref="J95:K95"/>
    <mergeCell ref="J91:K91"/>
    <mergeCell ref="J93:K93"/>
    <mergeCell ref="M78:N78"/>
    <mergeCell ref="J98:K98"/>
    <mergeCell ref="J99:K99"/>
    <mergeCell ref="J100:K100"/>
    <mergeCell ref="M80:N80"/>
    <mergeCell ref="N84:O84"/>
    <mergeCell ref="N85:O85"/>
    <mergeCell ref="N86:O86"/>
    <mergeCell ref="K88:O88"/>
    <mergeCell ref="K89:O89"/>
    <mergeCell ref="J71:K71"/>
    <mergeCell ref="J76:K76"/>
    <mergeCell ref="J72:K72"/>
    <mergeCell ref="N62:O62"/>
    <mergeCell ref="N63:O63"/>
    <mergeCell ref="K65:O65"/>
    <mergeCell ref="K66:O66"/>
    <mergeCell ref="J73:K73"/>
    <mergeCell ref="J74:K74"/>
    <mergeCell ref="J75:K75"/>
    <mergeCell ref="J68:K68"/>
    <mergeCell ref="J70:K70"/>
    <mergeCell ref="M11:N11"/>
    <mergeCell ref="K2:O2"/>
    <mergeCell ref="K3:O3"/>
    <mergeCell ref="J5:K5"/>
    <mergeCell ref="J7:K7"/>
    <mergeCell ref="J8:K8"/>
    <mergeCell ref="J9:K9"/>
    <mergeCell ref="J10:K10"/>
    <mergeCell ref="B184:C184"/>
    <mergeCell ref="F173:G173"/>
    <mergeCell ref="B181:C181"/>
    <mergeCell ref="C176:G176"/>
    <mergeCell ref="C177:G177"/>
    <mergeCell ref="B179:C179"/>
    <mergeCell ref="F174:G174"/>
    <mergeCell ref="B183:C183"/>
    <mergeCell ref="C88:G88"/>
    <mergeCell ref="J27:K27"/>
    <mergeCell ref="J28:K28"/>
    <mergeCell ref="J29:K29"/>
    <mergeCell ref="J30:K30"/>
    <mergeCell ref="J31:K31"/>
    <mergeCell ref="J51:K51"/>
    <mergeCell ref="J52:K52"/>
    <mergeCell ref="N61:O61"/>
    <mergeCell ref="N39:O39"/>
    <mergeCell ref="N40:O40"/>
    <mergeCell ref="K42:O42"/>
    <mergeCell ref="K43:O43"/>
    <mergeCell ref="J45:K45"/>
    <mergeCell ref="J47:K47"/>
    <mergeCell ref="J48:K48"/>
    <mergeCell ref="J50:K50"/>
    <mergeCell ref="J49:K49"/>
    <mergeCell ref="M13:N13"/>
    <mergeCell ref="N17:O17"/>
    <mergeCell ref="N18:O18"/>
    <mergeCell ref="N19:O19"/>
    <mergeCell ref="M55:N55"/>
    <mergeCell ref="M57:N57"/>
    <mergeCell ref="M32:N32"/>
    <mergeCell ref="M34:N34"/>
    <mergeCell ref="N38:O38"/>
    <mergeCell ref="K21:O21"/>
    <mergeCell ref="K22:O22"/>
    <mergeCell ref="J24:K24"/>
    <mergeCell ref="J26:K26"/>
    <mergeCell ref="J53:K53"/>
    <mergeCell ref="J54:K54"/>
    <mergeCell ref="F328:G328"/>
    <mergeCell ref="F326:G326"/>
    <mergeCell ref="F327:G327"/>
    <mergeCell ref="E297:F297"/>
    <mergeCell ref="E299:F299"/>
    <mergeCell ref="E320:F320"/>
    <mergeCell ref="E322:F322"/>
    <mergeCell ref="F217:G217"/>
    <mergeCell ref="B185:C185"/>
    <mergeCell ref="F195:G195"/>
    <mergeCell ref="B205:C205"/>
    <mergeCell ref="B206:C206"/>
    <mergeCell ref="E190:F190"/>
    <mergeCell ref="F194:G194"/>
    <mergeCell ref="F196:G196"/>
    <mergeCell ref="C198:G198"/>
    <mergeCell ref="C199:G199"/>
    <mergeCell ref="B201:C201"/>
    <mergeCell ref="B291:C291"/>
    <mergeCell ref="F282:G282"/>
    <mergeCell ref="F258:G258"/>
    <mergeCell ref="F259:G259"/>
    <mergeCell ref="C261:G261"/>
    <mergeCell ref="C262:G262"/>
    <mergeCell ref="F305:G305"/>
    <mergeCell ref="C284:G284"/>
    <mergeCell ref="F281:G281"/>
    <mergeCell ref="E276:F276"/>
    <mergeCell ref="B310:C310"/>
    <mergeCell ref="B313:C313"/>
    <mergeCell ref="C308:G308"/>
    <mergeCell ref="C307:G307"/>
    <mergeCell ref="F303:G303"/>
    <mergeCell ref="F304:G304"/>
    <mergeCell ref="C285:G285"/>
    <mergeCell ref="B287:C287"/>
    <mergeCell ref="B293:C293"/>
    <mergeCell ref="F280:G280"/>
    <mergeCell ref="B292:C292"/>
    <mergeCell ref="B289:C289"/>
    <mergeCell ref="B290:C290"/>
    <mergeCell ref="B319:C319"/>
    <mergeCell ref="B315:C315"/>
    <mergeCell ref="B317:C317"/>
    <mergeCell ref="B316:C316"/>
    <mergeCell ref="B318:C318"/>
    <mergeCell ref="B295:C295"/>
    <mergeCell ref="B294:C294"/>
    <mergeCell ref="B312:C312"/>
    <mergeCell ref="B314:C314"/>
    <mergeCell ref="B296:C296"/>
    <mergeCell ref="E274:F274"/>
    <mergeCell ref="B273:C273"/>
    <mergeCell ref="E253:F253"/>
    <mergeCell ref="B272:C272"/>
    <mergeCell ref="B271:C271"/>
    <mergeCell ref="B270:C270"/>
    <mergeCell ref="B269:C269"/>
    <mergeCell ref="F257:G257"/>
    <mergeCell ref="B243:C243"/>
    <mergeCell ref="B245:C245"/>
    <mergeCell ref="B250:C250"/>
    <mergeCell ref="B248:C248"/>
    <mergeCell ref="B246:C246"/>
    <mergeCell ref="B268:C268"/>
    <mergeCell ref="B267:C267"/>
    <mergeCell ref="B247:C247"/>
    <mergeCell ref="E251:F251"/>
    <mergeCell ref="B97:C97"/>
    <mergeCell ref="E101:F101"/>
    <mergeCell ref="E103:F103"/>
    <mergeCell ref="B121:C121"/>
    <mergeCell ref="C156:G156"/>
    <mergeCell ref="F151:G151"/>
    <mergeCell ref="F172:G172"/>
    <mergeCell ref="F153:G153"/>
    <mergeCell ref="B160:C160"/>
    <mergeCell ref="B158:C158"/>
    <mergeCell ref="B165:C165"/>
    <mergeCell ref="E123:F123"/>
    <mergeCell ref="C112:G112"/>
    <mergeCell ref="B116:C116"/>
    <mergeCell ref="B114:C114"/>
    <mergeCell ref="B139:C139"/>
    <mergeCell ref="B136:C136"/>
    <mergeCell ref="B138:C138"/>
    <mergeCell ref="B119:C119"/>
    <mergeCell ref="B120:C120"/>
    <mergeCell ref="B117:C117"/>
    <mergeCell ref="B142:C142"/>
    <mergeCell ref="F108:G108"/>
    <mergeCell ref="F109:G109"/>
    <mergeCell ref="B50:C50"/>
    <mergeCell ref="F40:G40"/>
    <mergeCell ref="F39:G39"/>
    <mergeCell ref="C65:G65"/>
    <mergeCell ref="B70:C70"/>
    <mergeCell ref="B72:C72"/>
    <mergeCell ref="B91:C91"/>
    <mergeCell ref="B77:C77"/>
    <mergeCell ref="B71:C71"/>
    <mergeCell ref="B75:C75"/>
    <mergeCell ref="B74:C74"/>
    <mergeCell ref="F86:G86"/>
    <mergeCell ref="F84:G84"/>
    <mergeCell ref="E80:F80"/>
    <mergeCell ref="E78:F78"/>
    <mergeCell ref="F62:G62"/>
    <mergeCell ref="F63:G63"/>
    <mergeCell ref="B51:C51"/>
    <mergeCell ref="B52:C52"/>
    <mergeCell ref="B73:C73"/>
    <mergeCell ref="C2:G2"/>
    <mergeCell ref="C3:G3"/>
    <mergeCell ref="B7:C7"/>
    <mergeCell ref="B9:C9"/>
    <mergeCell ref="B5:C5"/>
    <mergeCell ref="B8:C8"/>
    <mergeCell ref="C43:G43"/>
    <mergeCell ref="F38:G38"/>
    <mergeCell ref="F17:G17"/>
    <mergeCell ref="F18:G18"/>
    <mergeCell ref="C42:G42"/>
    <mergeCell ref="B28:C28"/>
    <mergeCell ref="F19:G19"/>
    <mergeCell ref="C21:G21"/>
    <mergeCell ref="C22:G22"/>
    <mergeCell ref="B24:C24"/>
    <mergeCell ref="E32:F32"/>
    <mergeCell ref="B29:C29"/>
    <mergeCell ref="B10:C10"/>
    <mergeCell ref="B27:C27"/>
    <mergeCell ref="E11:F11"/>
    <mergeCell ref="B30:C30"/>
    <mergeCell ref="E34:F34"/>
    <mergeCell ref="B26:C26"/>
    <mergeCell ref="E13:F13"/>
    <mergeCell ref="B49:C49"/>
    <mergeCell ref="B54:C54"/>
    <mergeCell ref="E55:F55"/>
    <mergeCell ref="B53:C53"/>
    <mergeCell ref="F107:G107"/>
    <mergeCell ref="B100:C100"/>
    <mergeCell ref="B98:C98"/>
    <mergeCell ref="B96:C96"/>
    <mergeCell ref="B99:C99"/>
    <mergeCell ref="F85:G85"/>
    <mergeCell ref="C89:G89"/>
    <mergeCell ref="B95:C95"/>
    <mergeCell ref="B94:C94"/>
    <mergeCell ref="B93:C93"/>
    <mergeCell ref="B76:C76"/>
    <mergeCell ref="B45:C45"/>
    <mergeCell ref="C66:G66"/>
    <mergeCell ref="E57:F57"/>
    <mergeCell ref="F61:G61"/>
    <mergeCell ref="B47:C47"/>
    <mergeCell ref="B48:C48"/>
    <mergeCell ref="B31:C31"/>
    <mergeCell ref="B68:C68"/>
    <mergeCell ref="B143:C143"/>
    <mergeCell ref="B163:C163"/>
    <mergeCell ref="B182:C182"/>
    <mergeCell ref="B207:C207"/>
    <mergeCell ref="B204:C204"/>
    <mergeCell ref="E188:F188"/>
    <mergeCell ref="F152:G152"/>
    <mergeCell ref="E145:F145"/>
    <mergeCell ref="C111:G111"/>
    <mergeCell ref="C134:G134"/>
    <mergeCell ref="C133:G133"/>
    <mergeCell ref="B122:C122"/>
    <mergeCell ref="F130:G130"/>
    <mergeCell ref="E125:F125"/>
    <mergeCell ref="F129:G129"/>
    <mergeCell ref="B144:C144"/>
    <mergeCell ref="B118:C118"/>
    <mergeCell ref="F131:G131"/>
    <mergeCell ref="B141:C141"/>
    <mergeCell ref="B140:C140"/>
    <mergeCell ref="B187:C187"/>
    <mergeCell ref="B186:C186"/>
    <mergeCell ref="E147:F147"/>
    <mergeCell ref="C155:G155"/>
    <mergeCell ref="B161:C161"/>
    <mergeCell ref="B164:C164"/>
    <mergeCell ref="E166:F166"/>
    <mergeCell ref="B162:C162"/>
    <mergeCell ref="B222:C222"/>
    <mergeCell ref="B225:C225"/>
    <mergeCell ref="F215:G215"/>
    <mergeCell ref="E168:F168"/>
    <mergeCell ref="C219:G219"/>
    <mergeCell ref="F216:G216"/>
    <mergeCell ref="C241:G241"/>
    <mergeCell ref="B249:C249"/>
    <mergeCell ref="F237:G237"/>
    <mergeCell ref="B264:C264"/>
    <mergeCell ref="B266:C266"/>
    <mergeCell ref="B203:C203"/>
    <mergeCell ref="E209:F209"/>
    <mergeCell ref="B208:C208"/>
    <mergeCell ref="B228:C228"/>
    <mergeCell ref="C220:G220"/>
    <mergeCell ref="B224:C224"/>
    <mergeCell ref="E211:F211"/>
    <mergeCell ref="B227:C227"/>
    <mergeCell ref="B226:C226"/>
    <mergeCell ref="B229:C229"/>
    <mergeCell ref="F236:G236"/>
    <mergeCell ref="F238:G238"/>
    <mergeCell ref="C240:G240"/>
    <mergeCell ref="E232:F232"/>
    <mergeCell ref="E230:F230"/>
  </mergeCells>
  <phoneticPr fontId="0" type="noConversion"/>
  <pageMargins left="0.98425196850393704" right="0.39370078740157483" top="0.39370078740157483" bottom="0.39370078740157483" header="0.19685039370078741" footer="0.19685039370078741"/>
  <pageSetup paperSize="9" scale="94" orientation="portrait" horizontalDpi="4294967293" r:id="rId1"/>
  <headerFooter alignWithMargins="0">
    <oddHeader>&amp;L&amp;8HRVATSKE CESTE d.o.o.&amp;C&amp;8STANDARD REDOVNOG ODRŽAVANJA CESTA 2009.&amp;R&amp;8&amp;D</oddHeader>
    <oddFooter>&amp;L&amp;8&amp;F&amp;C&amp;8&amp;A&amp;R&amp;8&amp;P / &amp;N</oddFooter>
  </headerFooter>
  <rowBreaks count="14" manualBreakCount="14">
    <brk id="19" max="16383" man="1"/>
    <brk id="40" max="6" man="1"/>
    <brk id="63" max="6" man="1"/>
    <brk id="86" max="6" man="1"/>
    <brk id="109" max="6" man="1"/>
    <brk id="131" max="6" man="1"/>
    <brk id="153" max="6" man="1"/>
    <brk id="174" max="6" man="1"/>
    <brk id="196" max="6" man="1"/>
    <brk id="217" max="6" man="1"/>
    <brk id="238" max="6" man="1"/>
    <brk id="259" max="6" man="1"/>
    <brk id="282" max="6" man="1"/>
    <brk id="305" max="6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'Cjenik RS'!$C$11:$C$26</xm:f>
          </x14:formula1>
          <xm:sqref>B8:C8 J8:K8 B27:C27 J27:K27 B48:C48 J48:K48 B71:C71 J71:K71 B94:C94 J94:K94 B139:C139 J139:K139 B161:C161 J161:K161 B182:C182 J182:K182 B204:C204 J204:K204 B225:C225 J225:K225 B246:C246 J246:K246 B267:C267 J267:K267 B290:C290 J290:K290 B313:C313 J313:K313</xm:sqref>
        </x14:dataValidation>
        <x14:dataValidation type="list" allowBlank="1" showInputMessage="1" showErrorMessage="1" xr:uid="{00000000-0002-0000-0800-000001000000}">
          <x14:formula1>
            <xm:f>'Cjenik VSO (pomoćna)'!$B$9:$B$13</xm:f>
          </x14:formula1>
          <xm:sqref>B315:C319 J315:K319 B292:C296 J292:K296 B269:C273 J269:K273 B248:C250 J248:K250 B227:C229 J227:K229 B206:C208 J206:K208 B184:C187 J184:K187 B163:C165 J163:K165 B141:C144 J141:K144 B117:C122 J117:K122 B96:C100 J96:K100 B73:C77 J73:K77 B50:C54 J50:K54 B29:C31 J29:K31 B10:C10 J10:K10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23</vt:i4>
      </vt:variant>
      <vt:variant>
        <vt:lpstr>Imenovani rasponi</vt:lpstr>
      </vt:variant>
      <vt:variant>
        <vt:i4>31</vt:i4>
      </vt:variant>
    </vt:vector>
  </HeadingPairs>
  <TitlesOfParts>
    <vt:vector size="54" baseType="lpstr">
      <vt:lpstr>situacija 12 2021</vt:lpstr>
      <vt:lpstr>CJENIK</vt:lpstr>
      <vt:lpstr>rekapitulacija</vt:lpstr>
      <vt:lpstr>Grupa radova 2.</vt:lpstr>
      <vt:lpstr>Grupa radova 3.</vt:lpstr>
      <vt:lpstr>Grupa radova 4.</vt:lpstr>
      <vt:lpstr>Grupa radova 5.</vt:lpstr>
      <vt:lpstr>Grupa radova 6.</vt:lpstr>
      <vt:lpstr>Grupa radova 7.</vt:lpstr>
      <vt:lpstr>Grupa radova 8.</vt:lpstr>
      <vt:lpstr>Grupa radova 9.</vt:lpstr>
      <vt:lpstr>Grupa radova 10.</vt:lpstr>
      <vt:lpstr>Grupa radova 11.</vt:lpstr>
      <vt:lpstr>Obrazac kalkulacije</vt:lpstr>
      <vt:lpstr>Cjenik RS</vt:lpstr>
      <vt:lpstr>Cjenik M</vt:lpstr>
      <vt:lpstr>Cjenik PM</vt:lpstr>
      <vt:lpstr>Devizni tecaj, porez i gorivo</vt:lpstr>
      <vt:lpstr>Nabavna cijena</vt:lpstr>
      <vt:lpstr>Cijena sata rada</vt:lpstr>
      <vt:lpstr>Cjenik VSO (pomoćna)</vt:lpstr>
      <vt:lpstr>Cjenik VSO</vt:lpstr>
      <vt:lpstr>Cjenik M (pomoćna)</vt:lpstr>
      <vt:lpstr>'Cijena sata rada'!Ispis_naslova</vt:lpstr>
      <vt:lpstr>CJENIK!Ispis_naslova</vt:lpstr>
      <vt:lpstr>'Cjenik M'!Ispis_naslova</vt:lpstr>
      <vt:lpstr>'Cjenik M (pomoćna)'!Ispis_naslova</vt:lpstr>
      <vt:lpstr>'Cjenik PM'!Ispis_naslova</vt:lpstr>
      <vt:lpstr>'Cjenik VSO'!Ispis_naslova</vt:lpstr>
      <vt:lpstr>'Cjenik VSO (pomoćna)'!Ispis_naslova</vt:lpstr>
      <vt:lpstr>'Nabavna cijena'!Ispis_naslova</vt:lpstr>
      <vt:lpstr>rekapitulacija!Ispis_naslova</vt:lpstr>
      <vt:lpstr>'situacija 12 2021'!Ispis_naslova</vt:lpstr>
      <vt:lpstr>'Cijena sata rada'!Podrucje_ispisa</vt:lpstr>
      <vt:lpstr>'Cjenik M'!Podrucje_ispisa</vt:lpstr>
      <vt:lpstr>'Cjenik M (pomoćna)'!Podrucje_ispisa</vt:lpstr>
      <vt:lpstr>'Cjenik PM'!Podrucje_ispisa</vt:lpstr>
      <vt:lpstr>'Cjenik RS'!Podrucje_ispisa</vt:lpstr>
      <vt:lpstr>'Cjenik VSO'!Podrucje_ispisa</vt:lpstr>
      <vt:lpstr>'Cjenik VSO (pomoćna)'!Podrucje_ispisa</vt:lpstr>
      <vt:lpstr>'Devizni tecaj, porez i gorivo'!Podrucje_ispisa</vt:lpstr>
      <vt:lpstr>'Grupa radova 10.'!Podrucje_ispisa</vt:lpstr>
      <vt:lpstr>'Grupa radova 11.'!Podrucje_ispisa</vt:lpstr>
      <vt:lpstr>'Grupa radova 2.'!Podrucje_ispisa</vt:lpstr>
      <vt:lpstr>'Grupa radova 3.'!Podrucje_ispisa</vt:lpstr>
      <vt:lpstr>'Grupa radova 4.'!Podrucje_ispisa</vt:lpstr>
      <vt:lpstr>'Grupa radova 5.'!Podrucje_ispisa</vt:lpstr>
      <vt:lpstr>'Grupa radova 6.'!Podrucje_ispisa</vt:lpstr>
      <vt:lpstr>'Grupa radova 7.'!Podrucje_ispisa</vt:lpstr>
      <vt:lpstr>'Grupa radova 8.'!Podrucje_ispisa</vt:lpstr>
      <vt:lpstr>'Grupa radova 9.'!Podrucje_ispisa</vt:lpstr>
      <vt:lpstr>'Nabavna cijena'!Podrucje_ispisa</vt:lpstr>
      <vt:lpstr>'Obrazac kalkulacije'!Podrucje_ispisa</vt:lpstr>
      <vt:lpstr>rekapitulacija!Podrucje_ispisa</vt:lpstr>
    </vt:vector>
  </TitlesOfParts>
  <Manager/>
  <Company>Hrvatske ceste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2009 - Analiza cijena</dc:title>
  <dc:subject/>
  <dc:creator>TomoV.</dc:creator>
  <cp:keywords/>
  <dc:description/>
  <cp:lastModifiedBy>Windows korisnik</cp:lastModifiedBy>
  <cp:revision/>
  <cp:lastPrinted>2022-01-03T11:46:35Z</cp:lastPrinted>
  <dcterms:created xsi:type="dcterms:W3CDTF">2004-12-03T09:36:05Z</dcterms:created>
  <dcterms:modified xsi:type="dcterms:W3CDTF">2022-01-03T12:23:36Z</dcterms:modified>
  <cp:category/>
  <cp:contentStatus/>
</cp:coreProperties>
</file>